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20-April-26\"/>
    </mc:Choice>
  </mc:AlternateContent>
  <bookViews>
    <workbookView xWindow="0" yWindow="0" windowWidth="2880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shares'!$A$1:$FA$220</definedName>
    <definedName name="Expry_Roll___20" localSheetId="15">'NIFTY GRP'!$A$1:$EY$51</definedName>
    <definedName name="fii" localSheetId="18">FII!$A$1:$N$16</definedName>
    <definedName name="_xlnm.Print_Area" localSheetId="14">Disclaimar!$A$1:$A$24</definedName>
    <definedName name="stats__2" localSheetId="16">'Data Vlaue (Cr)'!$A$1:$FB$220</definedName>
  </definedNames>
  <calcPr calcId="162913"/>
</workbook>
</file>

<file path=xl/calcChain.xml><?xml version="1.0" encoding="utf-8"?>
<calcChain xmlns="http://schemas.openxmlformats.org/spreadsheetml/2006/main">
  <c r="G224" i="13" l="1"/>
  <c r="F224" i="13"/>
  <c r="E224" i="13"/>
  <c r="D224" i="13"/>
  <c r="C224" i="13"/>
  <c r="B224" i="13"/>
  <c r="G223" i="13"/>
  <c r="F223" i="13"/>
  <c r="E223" i="13"/>
  <c r="D223" i="13"/>
  <c r="C223" i="13"/>
  <c r="B223" i="13"/>
  <c r="G222" i="13"/>
  <c r="F222" i="13"/>
  <c r="E222" i="13"/>
  <c r="D222" i="13"/>
  <c r="C222" i="13"/>
  <c r="B222" i="13"/>
  <c r="G221" i="13"/>
  <c r="F221" i="13"/>
  <c r="E221" i="13"/>
  <c r="D221" i="13"/>
  <c r="C221" i="13"/>
  <c r="B221" i="13"/>
  <c r="G220" i="13"/>
  <c r="F220" i="13"/>
  <c r="E220" i="13"/>
  <c r="D220" i="13"/>
  <c r="C220" i="13"/>
  <c r="B220" i="13"/>
  <c r="G219" i="13"/>
  <c r="F219" i="13"/>
  <c r="E219" i="13"/>
  <c r="D219" i="13"/>
  <c r="C219" i="13"/>
  <c r="B219" i="13"/>
  <c r="G218" i="13"/>
  <c r="F218" i="13"/>
  <c r="E218" i="13"/>
  <c r="D218" i="13"/>
  <c r="C218" i="13"/>
  <c r="B218" i="13"/>
  <c r="G217" i="13"/>
  <c r="F217" i="13"/>
  <c r="E217" i="13"/>
  <c r="D217" i="13"/>
  <c r="C217" i="13"/>
  <c r="B217" i="13"/>
  <c r="A220" i="13"/>
  <c r="A221" i="13"/>
  <c r="A222" i="13"/>
  <c r="A223" i="13"/>
  <c r="A224"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9" i="13"/>
  <c r="A8" i="13"/>
  <c r="A7" i="13"/>
  <c r="A6" i="13"/>
  <c r="F86" i="18" l="1"/>
  <c r="F80" i="18"/>
  <c r="F94" i="18"/>
  <c r="F168" i="18"/>
  <c r="E168" i="18"/>
  <c r="E94" i="18"/>
  <c r="E80" i="18"/>
  <c r="E86" i="18"/>
  <c r="D224" i="14"/>
  <c r="C224" i="14"/>
  <c r="B224" i="14"/>
  <c r="E222" i="14"/>
  <c r="D219" i="14"/>
  <c r="A222" i="14"/>
  <c r="A223" i="14"/>
  <c r="C223" i="14" s="1"/>
  <c r="A224" i="14"/>
  <c r="E224" i="14" s="1"/>
  <c r="A225" i="14"/>
  <c r="E225" i="14" s="1"/>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C219" i="14" s="1"/>
  <c r="A220" i="14"/>
  <c r="F220" i="14" s="1"/>
  <c r="A221" i="14"/>
  <c r="E221" i="14" s="1"/>
  <c r="A9" i="14"/>
  <c r="A8" i="14"/>
  <c r="A7" i="14"/>
  <c r="A221" i="3"/>
  <c r="Q221" i="3" s="1"/>
  <c r="A222" i="3"/>
  <c r="Q222" i="3" s="1"/>
  <c r="A223" i="3"/>
  <c r="A224" i="3"/>
  <c r="O224" i="3" s="1"/>
  <c r="A225" i="3"/>
  <c r="P225" i="3" s="1"/>
  <c r="A225" i="2"/>
  <c r="A226" i="2"/>
  <c r="A227" i="2"/>
  <c r="P227" i="2" s="1"/>
  <c r="A228" i="2"/>
  <c r="Q228" i="2" s="1"/>
  <c r="A229" i="2"/>
  <c r="H224" i="12"/>
  <c r="F224" i="12"/>
  <c r="D222" i="12"/>
  <c r="H221" i="12"/>
  <c r="F221" i="12"/>
  <c r="F219" i="12"/>
  <c r="A222" i="12"/>
  <c r="J222" i="12" s="1"/>
  <c r="A223" i="12"/>
  <c r="D223" i="12" s="1"/>
  <c r="A224" i="12"/>
  <c r="D224" i="12" s="1"/>
  <c r="A225" i="12"/>
  <c r="H225" i="12" s="1"/>
  <c r="A215" i="12"/>
  <c r="A216" i="12"/>
  <c r="A217" i="12"/>
  <c r="A218" i="12"/>
  <c r="A219" i="12"/>
  <c r="D219" i="12" s="1"/>
  <c r="A220" i="12"/>
  <c r="B220" i="12" s="1"/>
  <c r="A221" i="12"/>
  <c r="D221" i="12" s="1"/>
  <c r="G225" i="11"/>
  <c r="K223" i="11"/>
  <c r="O221" i="11"/>
  <c r="E220" i="11"/>
  <c r="E21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I218" i="11" s="1"/>
  <c r="A219" i="11"/>
  <c r="N219" i="11" s="1"/>
  <c r="A220" i="11"/>
  <c r="A221" i="11"/>
  <c r="N221" i="11" s="1"/>
  <c r="A222" i="11"/>
  <c r="M222" i="11" s="1"/>
  <c r="A223" i="11"/>
  <c r="N223" i="11" s="1"/>
  <c r="A224" i="11"/>
  <c r="M224" i="11" s="1"/>
  <c r="A225" i="11"/>
  <c r="N225" i="11" s="1"/>
  <c r="A9" i="11"/>
  <c r="A8" i="11"/>
  <c r="A7" i="11"/>
  <c r="D224" i="10"/>
  <c r="L220" i="10"/>
  <c r="I219" i="10"/>
  <c r="G218"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N218" i="10" s="1"/>
  <c r="A219" i="10"/>
  <c r="L219" i="10" s="1"/>
  <c r="A220" i="10"/>
  <c r="G220" i="10" s="1"/>
  <c r="A221" i="10"/>
  <c r="A222" i="10"/>
  <c r="L222" i="10" s="1"/>
  <c r="A223" i="10"/>
  <c r="L223" i="10" s="1"/>
  <c r="A224" i="10"/>
  <c r="L224" i="10" s="1"/>
  <c r="A225" i="10"/>
  <c r="A10" i="10"/>
  <c r="A9" i="10"/>
  <c r="A8" i="10"/>
  <c r="A7" i="10"/>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10" i="8"/>
  <c r="A9" i="8"/>
  <c r="A8" i="8"/>
  <c r="A7" i="8"/>
  <c r="L225" i="6"/>
  <c r="D225" i="6"/>
  <c r="A225" i="6"/>
  <c r="M225" i="6" s="1"/>
  <c r="G223" i="6"/>
  <c r="E222" i="6"/>
  <c r="O219" i="6"/>
  <c r="M218"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L218" i="6" s="1"/>
  <c r="A219" i="6"/>
  <c r="N219" i="6" s="1"/>
  <c r="A220" i="6"/>
  <c r="L220" i="6" s="1"/>
  <c r="A221" i="6"/>
  <c r="G221" i="6" s="1"/>
  <c r="A222" i="6"/>
  <c r="L222" i="6" s="1"/>
  <c r="A223" i="6"/>
  <c r="N223" i="6" s="1"/>
  <c r="A224" i="6"/>
  <c r="L224" i="6" s="1"/>
  <c r="A10" i="6"/>
  <c r="A9" i="6"/>
  <c r="A8" i="6"/>
  <c r="A7" i="6"/>
  <c r="M222"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I218" i="7" s="1"/>
  <c r="A219" i="7"/>
  <c r="I219" i="7" s="1"/>
  <c r="A220" i="7"/>
  <c r="I220" i="7" s="1"/>
  <c r="A221" i="7"/>
  <c r="A222" i="7"/>
  <c r="I222" i="7" s="1"/>
  <c r="A223" i="7"/>
  <c r="I223" i="7" s="1"/>
  <c r="A224" i="7"/>
  <c r="I224" i="7" s="1"/>
  <c r="A225" i="7"/>
  <c r="G225" i="7" s="1"/>
  <c r="A10" i="7"/>
  <c r="A9" i="7"/>
  <c r="A8" i="7"/>
  <c r="A7" i="7"/>
  <c r="O225" i="3"/>
  <c r="I225" i="3"/>
  <c r="B225" i="3"/>
  <c r="P224" i="3"/>
  <c r="Q223" i="3"/>
  <c r="P223" i="3"/>
  <c r="O223" i="3"/>
  <c r="N223" i="3"/>
  <c r="M223" i="3"/>
  <c r="L223" i="3"/>
  <c r="J223" i="3"/>
  <c r="I223" i="3"/>
  <c r="G223" i="3"/>
  <c r="F223" i="3"/>
  <c r="D223" i="3"/>
  <c r="C223" i="3"/>
  <c r="B223" i="3"/>
  <c r="N222" i="3"/>
  <c r="C222" i="3"/>
  <c r="N221" i="3"/>
  <c r="I221" i="3"/>
  <c r="C221"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P218" i="3" s="1"/>
  <c r="A219" i="3"/>
  <c r="O219" i="3" s="1"/>
  <c r="A220" i="3"/>
  <c r="N220" i="3" s="1"/>
  <c r="A12" i="3"/>
  <c r="A13" i="3"/>
  <c r="A11" i="3"/>
  <c r="A10" i="3"/>
  <c r="A9" i="3"/>
  <c r="A8" i="3"/>
  <c r="A7" i="3"/>
  <c r="S229" i="2"/>
  <c r="R229" i="2"/>
  <c r="Q229" i="2"/>
  <c r="P229" i="2"/>
  <c r="M229" i="2"/>
  <c r="L229" i="2"/>
  <c r="I229" i="2"/>
  <c r="H229" i="2"/>
  <c r="E229" i="2"/>
  <c r="D229" i="2"/>
  <c r="C229" i="2"/>
  <c r="B229" i="2"/>
  <c r="R228" i="2"/>
  <c r="R227" i="2"/>
  <c r="Q227" i="2"/>
  <c r="L227" i="2"/>
  <c r="I227" i="2"/>
  <c r="D227" i="2"/>
  <c r="C227" i="2"/>
  <c r="S226" i="2"/>
  <c r="R226" i="2"/>
  <c r="Q226" i="2"/>
  <c r="P226" i="2"/>
  <c r="M226" i="2"/>
  <c r="L226" i="2"/>
  <c r="I226" i="2"/>
  <c r="H226" i="2"/>
  <c r="E226" i="2"/>
  <c r="D226" i="2"/>
  <c r="G226" i="2" s="1"/>
  <c r="C226" i="2"/>
  <c r="B226" i="2"/>
  <c r="S225" i="2"/>
  <c r="R225" i="2"/>
  <c r="Q225" i="2"/>
  <c r="P225" i="2"/>
  <c r="M225" i="2"/>
  <c r="L225" i="2"/>
  <c r="N225" i="2" s="1"/>
  <c r="O225" i="2" s="1"/>
  <c r="I225" i="2"/>
  <c r="H225" i="2"/>
  <c r="J225" i="2" s="1"/>
  <c r="K225" i="2" s="1"/>
  <c r="E225" i="2"/>
  <c r="D225" i="2"/>
  <c r="G225" i="2" s="1"/>
  <c r="C225" i="2"/>
  <c r="B225" i="2"/>
  <c r="E224" i="2"/>
  <c r="S222"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R222" i="2" s="1"/>
  <c r="A223" i="2"/>
  <c r="R223" i="2" s="1"/>
  <c r="A224" i="2"/>
  <c r="S224" i="2" s="1"/>
  <c r="A15" i="2"/>
  <c r="A14" i="2"/>
  <c r="A13" i="2"/>
  <c r="A12" i="2"/>
  <c r="A11" i="2"/>
  <c r="E223" i="2" l="1"/>
  <c r="P224" i="2"/>
  <c r="C228" i="2"/>
  <c r="D221" i="3"/>
  <c r="E221" i="3" s="1"/>
  <c r="J221" i="3"/>
  <c r="O221" i="3"/>
  <c r="C225" i="3"/>
  <c r="J225" i="3"/>
  <c r="K225" i="3" s="1"/>
  <c r="Q225" i="3"/>
  <c r="C218" i="7"/>
  <c r="O219" i="7"/>
  <c r="G223" i="7"/>
  <c r="C219" i="6"/>
  <c r="E220" i="6"/>
  <c r="I222" i="6"/>
  <c r="K223" i="6"/>
  <c r="N223" i="12" s="1"/>
  <c r="M224" i="6"/>
  <c r="F225" i="6"/>
  <c r="N225" i="6"/>
  <c r="K218" i="10"/>
  <c r="M219" i="10"/>
  <c r="H222" i="10"/>
  <c r="E218" i="11"/>
  <c r="G219" i="11"/>
  <c r="C221" i="11"/>
  <c r="I222" i="11"/>
  <c r="O223" i="11"/>
  <c r="K225" i="11"/>
  <c r="H219" i="12"/>
  <c r="J220" i="12"/>
  <c r="F222" i="12"/>
  <c r="H223" i="12"/>
  <c r="C220" i="14"/>
  <c r="D223" i="14"/>
  <c r="F224" i="14"/>
  <c r="D222" i="2"/>
  <c r="G222" i="2" s="1"/>
  <c r="M223" i="2"/>
  <c r="F226" i="2"/>
  <c r="H228" i="2"/>
  <c r="F221" i="3"/>
  <c r="L221" i="3"/>
  <c r="P221" i="3"/>
  <c r="D225" i="3"/>
  <c r="M225" i="3"/>
  <c r="G218" i="7"/>
  <c r="O223" i="7"/>
  <c r="E218" i="6"/>
  <c r="G219" i="6"/>
  <c r="I220" i="6"/>
  <c r="M222" i="6"/>
  <c r="O223" i="6"/>
  <c r="H225" i="6"/>
  <c r="O218" i="10"/>
  <c r="C220" i="10"/>
  <c r="B223" i="10"/>
  <c r="M218" i="11"/>
  <c r="K219" i="11"/>
  <c r="G221" i="11"/>
  <c r="C223" i="11"/>
  <c r="O225" i="11"/>
  <c r="B219" i="12"/>
  <c r="J219" i="12"/>
  <c r="B221" i="12"/>
  <c r="J221" i="12"/>
  <c r="H222" i="12"/>
  <c r="B224" i="12"/>
  <c r="J224" i="12"/>
  <c r="B221" i="14"/>
  <c r="G221" i="14" s="1"/>
  <c r="B225" i="14"/>
  <c r="G225" i="14" s="1"/>
  <c r="G219" i="7"/>
  <c r="I224" i="6"/>
  <c r="F220" i="12"/>
  <c r="I222" i="2"/>
  <c r="S223" i="2"/>
  <c r="M228" i="2"/>
  <c r="B221" i="3"/>
  <c r="G221" i="3"/>
  <c r="M221" i="3"/>
  <c r="G225" i="3"/>
  <c r="N225" i="3"/>
  <c r="M218" i="7"/>
  <c r="E222" i="7"/>
  <c r="I218" i="6"/>
  <c r="K219" i="6"/>
  <c r="M220" i="6"/>
  <c r="C223" i="6"/>
  <c r="E224" i="6"/>
  <c r="B225" i="6"/>
  <c r="J225" i="6"/>
  <c r="C218" i="10"/>
  <c r="E219" i="10"/>
  <c r="J223" i="10"/>
  <c r="C219" i="11"/>
  <c r="O219" i="11"/>
  <c r="K221" i="11"/>
  <c r="G223" i="11"/>
  <c r="C225" i="11"/>
  <c r="B222" i="12"/>
  <c r="F221" i="14"/>
  <c r="F225" i="14"/>
  <c r="N221" i="7"/>
  <c r="J221" i="7"/>
  <c r="F221" i="7"/>
  <c r="B221" i="7"/>
  <c r="L221" i="7"/>
  <c r="H221" i="7"/>
  <c r="D221" i="7"/>
  <c r="O225" i="7"/>
  <c r="N217" i="6"/>
  <c r="J217" i="6"/>
  <c r="F217" i="6"/>
  <c r="B217" i="6"/>
  <c r="M217" i="6"/>
  <c r="I217" i="6"/>
  <c r="E217" i="6"/>
  <c r="L217" i="6"/>
  <c r="H217" i="6"/>
  <c r="D217" i="6"/>
  <c r="E222" i="2"/>
  <c r="P222" i="2"/>
  <c r="B223" i="2"/>
  <c r="H223" i="2"/>
  <c r="P223" i="2"/>
  <c r="B224" i="2"/>
  <c r="L224" i="2"/>
  <c r="Q224" i="2"/>
  <c r="J226" i="2"/>
  <c r="K226" i="2" s="1"/>
  <c r="G229" i="2"/>
  <c r="N229" i="2"/>
  <c r="O229" i="2" s="1"/>
  <c r="L224" i="7"/>
  <c r="H224" i="7"/>
  <c r="D224" i="7"/>
  <c r="N224" i="7"/>
  <c r="J224" i="7"/>
  <c r="F224" i="7"/>
  <c r="B224" i="7"/>
  <c r="L220" i="7"/>
  <c r="H220" i="7"/>
  <c r="D220" i="7"/>
  <c r="N220" i="7"/>
  <c r="J220" i="7"/>
  <c r="F220" i="7"/>
  <c r="B220" i="7"/>
  <c r="D218" i="7"/>
  <c r="H218" i="7"/>
  <c r="O218" i="7"/>
  <c r="C220" i="7"/>
  <c r="K220" i="7"/>
  <c r="E221" i="7"/>
  <c r="M221" i="7"/>
  <c r="G222" i="7"/>
  <c r="O222" i="7"/>
  <c r="C224" i="7"/>
  <c r="K224" i="7"/>
  <c r="E225" i="7"/>
  <c r="K217" i="6"/>
  <c r="C221" i="6"/>
  <c r="M225" i="10"/>
  <c r="I225" i="10"/>
  <c r="E225" i="10"/>
  <c r="O225" i="10"/>
  <c r="K225" i="10"/>
  <c r="G225" i="10"/>
  <c r="C225" i="10"/>
  <c r="L225" i="10"/>
  <c r="D225" i="10"/>
  <c r="J225" i="10"/>
  <c r="B225" i="10"/>
  <c r="H225" i="10"/>
  <c r="M221" i="10"/>
  <c r="I221" i="10"/>
  <c r="E221" i="10"/>
  <c r="O221" i="10"/>
  <c r="K221" i="10"/>
  <c r="G221" i="10"/>
  <c r="C221" i="10"/>
  <c r="L221" i="10"/>
  <c r="D221" i="10"/>
  <c r="J221" i="10"/>
  <c r="B221" i="10"/>
  <c r="H221" i="10"/>
  <c r="F225" i="10"/>
  <c r="C221" i="7"/>
  <c r="K221" i="7"/>
  <c r="G217" i="6"/>
  <c r="O221" i="6"/>
  <c r="B222" i="2"/>
  <c r="L222" i="2"/>
  <c r="Q222" i="2"/>
  <c r="C223" i="2"/>
  <c r="I223" i="2"/>
  <c r="Q223" i="2"/>
  <c r="C224" i="2"/>
  <c r="H224" i="2"/>
  <c r="M224" i="2"/>
  <c r="R224" i="2"/>
  <c r="N223" i="7"/>
  <c r="J223" i="7"/>
  <c r="F223" i="7"/>
  <c r="B223" i="7"/>
  <c r="L223" i="7"/>
  <c r="H223" i="7"/>
  <c r="D223" i="7"/>
  <c r="N219" i="7"/>
  <c r="J219" i="7"/>
  <c r="F219" i="7"/>
  <c r="B219" i="7"/>
  <c r="L219" i="7"/>
  <c r="H219" i="7"/>
  <c r="D219" i="7"/>
  <c r="E218" i="7"/>
  <c r="C219" i="7"/>
  <c r="K219" i="7"/>
  <c r="E220" i="7"/>
  <c r="M220" i="7"/>
  <c r="G221" i="7"/>
  <c r="O221" i="7"/>
  <c r="C223" i="7"/>
  <c r="K223" i="7"/>
  <c r="E224" i="7"/>
  <c r="M224" i="7"/>
  <c r="O217" i="6"/>
  <c r="F221" i="10"/>
  <c r="N225" i="10"/>
  <c r="N225" i="7"/>
  <c r="J225" i="7"/>
  <c r="F225" i="7"/>
  <c r="B225" i="7"/>
  <c r="M225" i="7"/>
  <c r="I225" i="7"/>
  <c r="L225" i="7"/>
  <c r="H225" i="7"/>
  <c r="D225" i="7"/>
  <c r="C225" i="7"/>
  <c r="N221" i="6"/>
  <c r="J221" i="6"/>
  <c r="F221" i="6"/>
  <c r="B221" i="6"/>
  <c r="M221" i="6"/>
  <c r="I221" i="6"/>
  <c r="E221" i="6"/>
  <c r="L221" i="6"/>
  <c r="O221" i="12" s="1"/>
  <c r="H221" i="6"/>
  <c r="L221" i="12" s="1"/>
  <c r="D221" i="6"/>
  <c r="C222" i="2"/>
  <c r="H222" i="2"/>
  <c r="J222" i="2" s="1"/>
  <c r="K222" i="2" s="1"/>
  <c r="M222" i="2"/>
  <c r="D223" i="2"/>
  <c r="G223" i="2" s="1"/>
  <c r="L223" i="2"/>
  <c r="N223" i="2" s="1"/>
  <c r="O223" i="2" s="1"/>
  <c r="D224" i="2"/>
  <c r="I224" i="2"/>
  <c r="N226" i="2"/>
  <c r="O226" i="2" s="1"/>
  <c r="J229" i="2"/>
  <c r="K229" i="2" s="1"/>
  <c r="L222" i="7"/>
  <c r="H222" i="7"/>
  <c r="D222" i="7"/>
  <c r="N222" i="7"/>
  <c r="J222" i="7"/>
  <c r="F222" i="7"/>
  <c r="B222" i="7"/>
  <c r="L218" i="7"/>
  <c r="N218" i="7"/>
  <c r="J218" i="7"/>
  <c r="B218" i="7"/>
  <c r="F218" i="7"/>
  <c r="K218" i="7"/>
  <c r="E219" i="7"/>
  <c r="M219" i="7"/>
  <c r="G220" i="7"/>
  <c r="O220" i="7"/>
  <c r="I221" i="7"/>
  <c r="C222" i="7"/>
  <c r="K222" i="7"/>
  <c r="E223" i="7"/>
  <c r="M223" i="7"/>
  <c r="G224" i="7"/>
  <c r="O224" i="7"/>
  <c r="K225" i="7"/>
  <c r="C217" i="6"/>
  <c r="K221" i="6"/>
  <c r="N221" i="10"/>
  <c r="M218" i="12"/>
  <c r="I218" i="12"/>
  <c r="E218" i="12"/>
  <c r="H218" i="12"/>
  <c r="D218" i="12"/>
  <c r="O218" i="12"/>
  <c r="K218" i="12"/>
  <c r="G218" i="12"/>
  <c r="C218" i="12"/>
  <c r="J218" i="12"/>
  <c r="F218" i="12"/>
  <c r="O225" i="12"/>
  <c r="K225" i="12"/>
  <c r="G225" i="12"/>
  <c r="C225" i="12"/>
  <c r="J225" i="12"/>
  <c r="F225" i="12"/>
  <c r="B225" i="12"/>
  <c r="I225" i="12"/>
  <c r="E225" i="12"/>
  <c r="D225" i="12"/>
  <c r="L225" i="12"/>
  <c r="B218" i="12"/>
  <c r="L222" i="12"/>
  <c r="N221" i="12"/>
  <c r="N219" i="12"/>
  <c r="B218" i="6"/>
  <c r="F218" i="6"/>
  <c r="J218" i="6"/>
  <c r="N218" i="6"/>
  <c r="D219" i="6"/>
  <c r="H219" i="6"/>
  <c r="L219" i="12" s="1"/>
  <c r="L219" i="6"/>
  <c r="B220" i="6"/>
  <c r="F220" i="6"/>
  <c r="J220" i="6"/>
  <c r="N220" i="6"/>
  <c r="B222" i="6"/>
  <c r="F222" i="6"/>
  <c r="J222" i="6"/>
  <c r="N222" i="6"/>
  <c r="D223" i="6"/>
  <c r="H223" i="6"/>
  <c r="L223" i="12" s="1"/>
  <c r="L223" i="6"/>
  <c r="O223" i="12" s="1"/>
  <c r="B224" i="6"/>
  <c r="F224" i="6"/>
  <c r="J224" i="6"/>
  <c r="N224" i="6"/>
  <c r="C225" i="6"/>
  <c r="G225" i="6"/>
  <c r="K225" i="6"/>
  <c r="N225" i="12" s="1"/>
  <c r="O225" i="6"/>
  <c r="O224" i="10"/>
  <c r="K224" i="10"/>
  <c r="G224" i="10"/>
  <c r="C224" i="10"/>
  <c r="M224" i="10"/>
  <c r="I224" i="10"/>
  <c r="E224" i="10"/>
  <c r="O220" i="10"/>
  <c r="K220" i="10"/>
  <c r="M220" i="10"/>
  <c r="D218" i="10"/>
  <c r="H218" i="10"/>
  <c r="L218" i="10"/>
  <c r="B219" i="10"/>
  <c r="F219" i="10"/>
  <c r="J219" i="10"/>
  <c r="N219" i="10"/>
  <c r="D220" i="10"/>
  <c r="H220" i="10"/>
  <c r="N220" i="10"/>
  <c r="B222" i="10"/>
  <c r="J222" i="10"/>
  <c r="D223" i="10"/>
  <c r="F224" i="10"/>
  <c r="N224" i="10"/>
  <c r="L224" i="11"/>
  <c r="H224" i="11"/>
  <c r="D224" i="11"/>
  <c r="O224" i="11"/>
  <c r="K224" i="11"/>
  <c r="G224" i="11"/>
  <c r="C224" i="11"/>
  <c r="N224" i="11"/>
  <c r="J224" i="11"/>
  <c r="F224" i="11"/>
  <c r="B224" i="11"/>
  <c r="L220" i="11"/>
  <c r="H220" i="11"/>
  <c r="D220" i="11"/>
  <c r="O220" i="11"/>
  <c r="K220" i="11"/>
  <c r="G220" i="11"/>
  <c r="C220" i="11"/>
  <c r="N220" i="11"/>
  <c r="J220" i="11"/>
  <c r="F220" i="11"/>
  <c r="B220" i="11"/>
  <c r="I220" i="11"/>
  <c r="M224" i="12"/>
  <c r="N220" i="12"/>
  <c r="C218" i="6"/>
  <c r="G218" i="6"/>
  <c r="K218" i="6"/>
  <c r="N218" i="12" s="1"/>
  <c r="O218" i="6"/>
  <c r="E219" i="6"/>
  <c r="I219" i="6"/>
  <c r="M219" i="12" s="1"/>
  <c r="M219" i="6"/>
  <c r="C220" i="6"/>
  <c r="G220" i="6"/>
  <c r="K220" i="6"/>
  <c r="O220" i="6"/>
  <c r="C222" i="6"/>
  <c r="G222" i="6"/>
  <c r="K222" i="6"/>
  <c r="N222" i="12" s="1"/>
  <c r="O222" i="6"/>
  <c r="E223" i="6"/>
  <c r="I223" i="6"/>
  <c r="M223" i="6"/>
  <c r="C224" i="6"/>
  <c r="G224" i="6"/>
  <c r="K224" i="6"/>
  <c r="O224" i="6"/>
  <c r="M223" i="10"/>
  <c r="I223" i="10"/>
  <c r="E223" i="10"/>
  <c r="O223" i="10"/>
  <c r="K223" i="10"/>
  <c r="G223" i="10"/>
  <c r="C223" i="10"/>
  <c r="E218" i="10"/>
  <c r="I218" i="10"/>
  <c r="M218" i="10"/>
  <c r="C219" i="10"/>
  <c r="G219" i="10"/>
  <c r="K219" i="10"/>
  <c r="O219" i="10"/>
  <c r="E220" i="10"/>
  <c r="I220" i="10"/>
  <c r="D222" i="10"/>
  <c r="F223" i="10"/>
  <c r="N223" i="10"/>
  <c r="H224" i="10"/>
  <c r="M220" i="11"/>
  <c r="E224" i="11"/>
  <c r="M220" i="12"/>
  <c r="N224" i="12"/>
  <c r="D218" i="14"/>
  <c r="C218" i="14"/>
  <c r="F218" i="14"/>
  <c r="B218" i="14"/>
  <c r="D222" i="14"/>
  <c r="C222" i="14"/>
  <c r="F222" i="14"/>
  <c r="B222" i="14"/>
  <c r="G222" i="14" s="1"/>
  <c r="D218" i="6"/>
  <c r="H218" i="6"/>
  <c r="L218" i="12" s="1"/>
  <c r="B219" i="6"/>
  <c r="F219" i="6"/>
  <c r="J219" i="6"/>
  <c r="D220" i="6"/>
  <c r="H220" i="6"/>
  <c r="D222" i="6"/>
  <c r="H222" i="6"/>
  <c r="B223" i="6"/>
  <c r="F223" i="6"/>
  <c r="J223" i="6"/>
  <c r="D224" i="6"/>
  <c r="H224" i="6"/>
  <c r="L224" i="12" s="1"/>
  <c r="E225" i="6"/>
  <c r="I225" i="6"/>
  <c r="M225" i="12" s="1"/>
  <c r="O222" i="10"/>
  <c r="K222" i="10"/>
  <c r="G222" i="10"/>
  <c r="C222" i="10"/>
  <c r="M222" i="10"/>
  <c r="I222" i="10"/>
  <c r="E222" i="10"/>
  <c r="B218" i="10"/>
  <c r="F218" i="10"/>
  <c r="J218" i="10"/>
  <c r="D219" i="10"/>
  <c r="H219" i="10"/>
  <c r="B220" i="10"/>
  <c r="F220" i="10"/>
  <c r="J220" i="10"/>
  <c r="F222" i="10"/>
  <c r="N222" i="10"/>
  <c r="H223" i="10"/>
  <c r="B224" i="10"/>
  <c r="J224" i="10"/>
  <c r="L222" i="11"/>
  <c r="H222" i="11"/>
  <c r="D222" i="11"/>
  <c r="O222" i="11"/>
  <c r="K222" i="11"/>
  <c r="G222" i="11"/>
  <c r="C222" i="11"/>
  <c r="N222" i="11"/>
  <c r="J222" i="11"/>
  <c r="F222" i="11"/>
  <c r="B222" i="11"/>
  <c r="L218" i="11"/>
  <c r="H218" i="11"/>
  <c r="D218" i="11"/>
  <c r="O218" i="11"/>
  <c r="K218" i="11"/>
  <c r="G218" i="11"/>
  <c r="C218" i="11"/>
  <c r="N218" i="11"/>
  <c r="J218" i="11"/>
  <c r="F218" i="11"/>
  <c r="B218" i="11"/>
  <c r="E222" i="11"/>
  <c r="I224" i="11"/>
  <c r="O219" i="12"/>
  <c r="M222" i="12"/>
  <c r="E218" i="14"/>
  <c r="D219" i="11"/>
  <c r="H219" i="11"/>
  <c r="L219" i="11"/>
  <c r="D221" i="11"/>
  <c r="H221" i="11"/>
  <c r="L221" i="11"/>
  <c r="D223" i="11"/>
  <c r="H223" i="11"/>
  <c r="L223" i="11"/>
  <c r="D225" i="11"/>
  <c r="H225" i="11"/>
  <c r="L225" i="11"/>
  <c r="E219" i="12"/>
  <c r="I219" i="12"/>
  <c r="C220" i="12"/>
  <c r="G220" i="12"/>
  <c r="K220" i="12"/>
  <c r="O220" i="12"/>
  <c r="E221" i="12"/>
  <c r="I221" i="12"/>
  <c r="M221" i="12"/>
  <c r="C222" i="12"/>
  <c r="G222" i="12"/>
  <c r="K222" i="12"/>
  <c r="O222" i="12"/>
  <c r="E223" i="12"/>
  <c r="I223" i="12"/>
  <c r="M223" i="12"/>
  <c r="C224" i="12"/>
  <c r="G224" i="12"/>
  <c r="K224" i="12"/>
  <c r="O224" i="12"/>
  <c r="E219" i="14"/>
  <c r="D220" i="14"/>
  <c r="C221" i="14"/>
  <c r="E223" i="14"/>
  <c r="C225" i="14"/>
  <c r="I219" i="11"/>
  <c r="M219" i="11"/>
  <c r="E221" i="11"/>
  <c r="I221" i="11"/>
  <c r="M221" i="11"/>
  <c r="E223" i="11"/>
  <c r="I223" i="11"/>
  <c r="M223" i="11"/>
  <c r="E225" i="11"/>
  <c r="I225" i="11"/>
  <c r="M225" i="11"/>
  <c r="D220" i="12"/>
  <c r="H220" i="12"/>
  <c r="L220" i="12"/>
  <c r="B223" i="12"/>
  <c r="F223" i="12"/>
  <c r="J223" i="12"/>
  <c r="B219" i="14"/>
  <c r="F219" i="14"/>
  <c r="E220" i="14"/>
  <c r="D221" i="14"/>
  <c r="B223" i="14"/>
  <c r="G223" i="14" s="1"/>
  <c r="F223" i="14"/>
  <c r="D225" i="14"/>
  <c r="B219" i="11"/>
  <c r="F219" i="11"/>
  <c r="J219" i="11"/>
  <c r="B221" i="11"/>
  <c r="F221" i="11"/>
  <c r="J221" i="11"/>
  <c r="B223" i="11"/>
  <c r="F223" i="11"/>
  <c r="J223" i="11"/>
  <c r="B225" i="11"/>
  <c r="F225" i="11"/>
  <c r="J225" i="11"/>
  <c r="C219" i="12"/>
  <c r="G219" i="12"/>
  <c r="K219" i="12"/>
  <c r="E220" i="12"/>
  <c r="I220" i="12"/>
  <c r="C221" i="12"/>
  <c r="G221" i="12"/>
  <c r="K221" i="12"/>
  <c r="E222" i="12"/>
  <c r="I222" i="12"/>
  <c r="C223" i="12"/>
  <c r="G223" i="12"/>
  <c r="K223" i="12"/>
  <c r="E224" i="12"/>
  <c r="I224" i="12"/>
  <c r="B220" i="14"/>
  <c r="G220" i="14" s="1"/>
  <c r="G224" i="14"/>
  <c r="I222" i="3"/>
  <c r="L219" i="3"/>
  <c r="D220" i="3"/>
  <c r="B218" i="3"/>
  <c r="F219" i="3"/>
  <c r="J220" i="3"/>
  <c r="F222" i="3"/>
  <c r="P222" i="3"/>
  <c r="Q218" i="3"/>
  <c r="G218" i="3"/>
  <c r="O220" i="3"/>
  <c r="M218" i="3"/>
  <c r="P219" i="3"/>
  <c r="L222" i="3"/>
  <c r="F224" i="3"/>
  <c r="C218" i="3"/>
  <c r="I218" i="3"/>
  <c r="N218" i="3"/>
  <c r="B219" i="3"/>
  <c r="G219" i="3"/>
  <c r="M219" i="3"/>
  <c r="Q219" i="3"/>
  <c r="F220" i="3"/>
  <c r="L220" i="3"/>
  <c r="P220" i="3"/>
  <c r="I224" i="3"/>
  <c r="D218" i="3"/>
  <c r="J218" i="3"/>
  <c r="O218" i="3"/>
  <c r="C219" i="3"/>
  <c r="I219" i="3"/>
  <c r="N219" i="3"/>
  <c r="B220" i="3"/>
  <c r="G220" i="3"/>
  <c r="M220" i="3"/>
  <c r="Q220" i="3"/>
  <c r="L224" i="3"/>
  <c r="F218" i="3"/>
  <c r="H218" i="3" s="1"/>
  <c r="L218" i="3"/>
  <c r="D219" i="3"/>
  <c r="J219" i="3"/>
  <c r="C220" i="3"/>
  <c r="I220" i="3"/>
  <c r="C224" i="3"/>
  <c r="N224" i="3"/>
  <c r="D222" i="3"/>
  <c r="E222" i="3" s="1"/>
  <c r="J222" i="3"/>
  <c r="O222" i="3"/>
  <c r="E223" i="3"/>
  <c r="K223" i="3"/>
  <c r="B224" i="3"/>
  <c r="G224" i="3"/>
  <c r="M224" i="3"/>
  <c r="Q224" i="3"/>
  <c r="F225" i="3"/>
  <c r="L225" i="3"/>
  <c r="K221" i="3"/>
  <c r="B222" i="3"/>
  <c r="G222" i="3"/>
  <c r="M222" i="3"/>
  <c r="H223" i="3"/>
  <c r="D224" i="3"/>
  <c r="E224" i="3" s="1"/>
  <c r="J224" i="3"/>
  <c r="E225" i="3"/>
  <c r="I228" i="2"/>
  <c r="J228" i="2" s="1"/>
  <c r="K228" i="2" s="1"/>
  <c r="S228" i="2"/>
  <c r="E227" i="2"/>
  <c r="G227" i="2" s="1"/>
  <c r="M227" i="2"/>
  <c r="N227" i="2" s="1"/>
  <c r="O227" i="2" s="1"/>
  <c r="S227" i="2"/>
  <c r="E228" i="2"/>
  <c r="D228" i="2"/>
  <c r="P228" i="2"/>
  <c r="B227" i="2"/>
  <c r="H227" i="2"/>
  <c r="J227" i="2" s="1"/>
  <c r="K227" i="2" s="1"/>
  <c r="B228" i="2"/>
  <c r="L228" i="2"/>
  <c r="N228" i="2" s="1"/>
  <c r="O228" i="2" s="1"/>
  <c r="F223" i="2"/>
  <c r="F225" i="2"/>
  <c r="F227" i="2"/>
  <c r="F229" i="2"/>
  <c r="F43" i="18"/>
  <c r="F150" i="18"/>
  <c r="F175" i="18"/>
  <c r="F6" i="18"/>
  <c r="F16" i="18"/>
  <c r="F183" i="18"/>
  <c r="F98" i="18"/>
  <c r="F35" i="18"/>
  <c r="F55" i="18"/>
  <c r="H221" i="3" l="1"/>
  <c r="H225" i="3"/>
  <c r="J224" i="2"/>
  <c r="K224" i="2" s="1"/>
  <c r="F222" i="2"/>
  <c r="G218" i="14"/>
  <c r="G219" i="14"/>
  <c r="N222" i="2"/>
  <c r="O222" i="2" s="1"/>
  <c r="J223" i="2"/>
  <c r="K223" i="2" s="1"/>
  <c r="K222" i="3"/>
  <c r="N224" i="2"/>
  <c r="O224" i="2" s="1"/>
  <c r="G224" i="2"/>
  <c r="F224" i="2"/>
  <c r="E220" i="3"/>
  <c r="K224" i="3"/>
  <c r="K219" i="3"/>
  <c r="H219" i="3"/>
  <c r="H220" i="3"/>
  <c r="H222" i="3"/>
  <c r="H224" i="3"/>
  <c r="K220" i="3"/>
  <c r="K218" i="3"/>
  <c r="E219" i="3"/>
  <c r="E218" i="3"/>
  <c r="G228" i="2"/>
  <c r="F228" i="2"/>
  <c r="L4" i="21"/>
  <c r="L3" i="21"/>
  <c r="F199" i="18"/>
  <c r="B215" i="14" l="1"/>
  <c r="C216" i="14"/>
  <c r="D217" i="14"/>
  <c r="B213" i="13"/>
  <c r="B214" i="13"/>
  <c r="D215" i="13"/>
  <c r="B216" i="13"/>
  <c r="A214" i="12"/>
  <c r="B214" i="12" s="1"/>
  <c r="B215" i="12"/>
  <c r="C216" i="12"/>
  <c r="B217" i="12"/>
  <c r="D213" i="11"/>
  <c r="B214" i="11"/>
  <c r="C215" i="11"/>
  <c r="D216" i="11"/>
  <c r="D217" i="11"/>
  <c r="B214" i="10"/>
  <c r="C215" i="10"/>
  <c r="B216" i="10"/>
  <c r="B217" i="10"/>
  <c r="B54" i="8"/>
  <c r="D55" i="8"/>
  <c r="B56" i="8"/>
  <c r="B212" i="6"/>
  <c r="C213" i="6"/>
  <c r="D214" i="6"/>
  <c r="B215" i="6"/>
  <c r="B216" i="6"/>
  <c r="B214" i="7"/>
  <c r="B215" i="7"/>
  <c r="D216" i="7"/>
  <c r="B217" i="7"/>
  <c r="B215" i="2"/>
  <c r="B216" i="2"/>
  <c r="D217" i="2"/>
  <c r="B219" i="2"/>
  <c r="B220" i="2"/>
  <c r="D221" i="2"/>
  <c r="L216" i="10" l="1"/>
  <c r="G215" i="13"/>
  <c r="I216" i="10"/>
  <c r="G216" i="10"/>
  <c r="N216" i="11"/>
  <c r="L215" i="2"/>
  <c r="O216" i="10"/>
  <c r="E216" i="10"/>
  <c r="K217" i="11"/>
  <c r="J216" i="12"/>
  <c r="I214" i="12"/>
  <c r="I216" i="12"/>
  <c r="I214" i="7"/>
  <c r="G216" i="11"/>
  <c r="B216" i="12"/>
  <c r="H214" i="12"/>
  <c r="E216" i="14"/>
  <c r="M215" i="6"/>
  <c r="N215" i="10"/>
  <c r="I215" i="6"/>
  <c r="M215" i="10"/>
  <c r="K216" i="10"/>
  <c r="D216" i="10"/>
  <c r="E215" i="10"/>
  <c r="F217" i="11"/>
  <c r="I214" i="11"/>
  <c r="G213" i="11"/>
  <c r="C214" i="12"/>
  <c r="F215" i="13"/>
  <c r="B216" i="14"/>
  <c r="K213" i="11"/>
  <c r="K214" i="6"/>
  <c r="M215" i="11"/>
  <c r="F213" i="11"/>
  <c r="B215" i="13"/>
  <c r="F217" i="14"/>
  <c r="K216" i="7"/>
  <c r="F214" i="6"/>
  <c r="J215" i="11"/>
  <c r="M213" i="11"/>
  <c r="B213" i="11"/>
  <c r="M218" i="2"/>
  <c r="I217" i="2"/>
  <c r="Q215" i="2"/>
  <c r="E215" i="2"/>
  <c r="M216" i="6"/>
  <c r="E215" i="6"/>
  <c r="M216" i="10"/>
  <c r="H216" i="10"/>
  <c r="C216" i="10"/>
  <c r="I215" i="10"/>
  <c r="M214" i="10"/>
  <c r="N217" i="11"/>
  <c r="I217" i="11"/>
  <c r="C217" i="11"/>
  <c r="O213" i="11"/>
  <c r="J213" i="11"/>
  <c r="E213" i="11"/>
  <c r="G214" i="12"/>
  <c r="C217" i="14"/>
  <c r="S218" i="2"/>
  <c r="S217" i="2"/>
  <c r="I215" i="2"/>
  <c r="O217" i="11"/>
  <c r="J217" i="11"/>
  <c r="E217" i="11"/>
  <c r="E218" i="2"/>
  <c r="E217" i="2"/>
  <c r="G217" i="2" s="1"/>
  <c r="M215" i="2"/>
  <c r="N215" i="2" s="1"/>
  <c r="O215" i="2" s="1"/>
  <c r="D215" i="2"/>
  <c r="F215" i="10"/>
  <c r="I214" i="10"/>
  <c r="M217" i="11"/>
  <c r="G217" i="11"/>
  <c r="B217" i="11"/>
  <c r="M214" i="11"/>
  <c r="N213" i="11"/>
  <c r="I213" i="11"/>
  <c r="C213" i="11"/>
  <c r="D214" i="12"/>
  <c r="I213" i="6"/>
  <c r="L217" i="10"/>
  <c r="Q219" i="2"/>
  <c r="R218" i="2"/>
  <c r="L218" i="2"/>
  <c r="D218" i="2"/>
  <c r="L215" i="6"/>
  <c r="H215" i="6"/>
  <c r="D215" i="6"/>
  <c r="O214" i="6"/>
  <c r="J214" i="6"/>
  <c r="E214" i="6"/>
  <c r="N213" i="6"/>
  <c r="F213" i="6"/>
  <c r="M212" i="6"/>
  <c r="K217" i="10"/>
  <c r="M216" i="11"/>
  <c r="F216" i="11"/>
  <c r="S221" i="2"/>
  <c r="I219" i="2"/>
  <c r="Q218" i="2"/>
  <c r="I218" i="2"/>
  <c r="C218" i="2"/>
  <c r="R217" i="2"/>
  <c r="Q216" i="2"/>
  <c r="F216" i="7"/>
  <c r="H214" i="7"/>
  <c r="O215" i="6"/>
  <c r="K215" i="6"/>
  <c r="G215" i="6"/>
  <c r="C215" i="6"/>
  <c r="N214" i="6"/>
  <c r="I214" i="6"/>
  <c r="C214" i="6"/>
  <c r="M213" i="6"/>
  <c r="E213" i="6"/>
  <c r="I212" i="6"/>
  <c r="G217" i="10"/>
  <c r="N216" i="10"/>
  <c r="J216" i="10"/>
  <c r="F216" i="10"/>
  <c r="J215" i="10"/>
  <c r="B215" i="10"/>
  <c r="E214" i="10"/>
  <c r="K216" i="11"/>
  <c r="C216" i="11"/>
  <c r="F216" i="12"/>
  <c r="I215" i="12"/>
  <c r="E215" i="13"/>
  <c r="B217" i="14"/>
  <c r="P218" i="2"/>
  <c r="H218" i="2"/>
  <c r="B218" i="2"/>
  <c r="B216" i="3"/>
  <c r="N215" i="6"/>
  <c r="J215" i="6"/>
  <c r="F215" i="6"/>
  <c r="M214" i="6"/>
  <c r="G214" i="6"/>
  <c r="B214" i="6"/>
  <c r="J213" i="6"/>
  <c r="B213" i="6"/>
  <c r="E212" i="6"/>
  <c r="E217" i="10"/>
  <c r="I216" i="11"/>
  <c r="B216" i="11"/>
  <c r="E216" i="12"/>
  <c r="E215" i="12"/>
  <c r="C215" i="13"/>
  <c r="J55" i="8"/>
  <c r="F55" i="8"/>
  <c r="E55" i="8"/>
  <c r="B214" i="3"/>
  <c r="I214" i="3"/>
  <c r="Q214" i="3"/>
  <c r="L214" i="3"/>
  <c r="D214" i="3"/>
  <c r="M214" i="3"/>
  <c r="P214" i="3"/>
  <c r="R221" i="2"/>
  <c r="E221" i="2"/>
  <c r="G221" i="2" s="1"/>
  <c r="Q220" i="2"/>
  <c r="P219" i="2"/>
  <c r="H219" i="2"/>
  <c r="Q217" i="2"/>
  <c r="C217" i="2"/>
  <c r="F217" i="2" s="1"/>
  <c r="M216" i="2"/>
  <c r="D213" i="3"/>
  <c r="J211" i="3"/>
  <c r="L217" i="7"/>
  <c r="H217" i="7"/>
  <c r="D217" i="7"/>
  <c r="O216" i="7"/>
  <c r="J216" i="7"/>
  <c r="E216" i="7"/>
  <c r="M215" i="7"/>
  <c r="M214" i="7"/>
  <c r="E214" i="7"/>
  <c r="I216" i="6"/>
  <c r="O217" i="10"/>
  <c r="I217" i="10"/>
  <c r="D217" i="10"/>
  <c r="F215" i="11"/>
  <c r="H217" i="12"/>
  <c r="D217" i="12"/>
  <c r="D216" i="13"/>
  <c r="E213" i="13"/>
  <c r="M217" i="7"/>
  <c r="I217" i="7"/>
  <c r="E217" i="7"/>
  <c r="I217" i="12"/>
  <c r="E217" i="12"/>
  <c r="E216" i="13"/>
  <c r="Q221" i="2"/>
  <c r="C221" i="2"/>
  <c r="F221" i="2" s="1"/>
  <c r="M220" i="2"/>
  <c r="M219" i="2"/>
  <c r="E219" i="2"/>
  <c r="N218" i="2"/>
  <c r="O218" i="2" s="1"/>
  <c r="M217" i="2"/>
  <c r="B217" i="2"/>
  <c r="I216" i="2"/>
  <c r="P215" i="2"/>
  <c r="H215" i="2"/>
  <c r="C217" i="3"/>
  <c r="J215" i="3"/>
  <c r="O217" i="7"/>
  <c r="K217" i="7"/>
  <c r="G217" i="7"/>
  <c r="C217" i="7"/>
  <c r="N216" i="7"/>
  <c r="I216" i="7"/>
  <c r="C216" i="7"/>
  <c r="I215" i="7"/>
  <c r="L214" i="7"/>
  <c r="D214" i="7"/>
  <c r="E216" i="6"/>
  <c r="M217" i="10"/>
  <c r="H217" i="10"/>
  <c r="C217" i="10"/>
  <c r="L217" i="11"/>
  <c r="H217" i="11"/>
  <c r="O216" i="11"/>
  <c r="J216" i="11"/>
  <c r="E216" i="11"/>
  <c r="N215" i="11"/>
  <c r="B215" i="11"/>
  <c r="L213" i="11"/>
  <c r="H213" i="11"/>
  <c r="K217" i="12"/>
  <c r="G217" i="12"/>
  <c r="C217" i="12"/>
  <c r="K214" i="12"/>
  <c r="E214" i="12"/>
  <c r="G216" i="13"/>
  <c r="C216" i="13"/>
  <c r="D213" i="13"/>
  <c r="E217" i="14"/>
  <c r="F216" i="14"/>
  <c r="E215" i="14"/>
  <c r="G215" i="14" s="1"/>
  <c r="I221" i="2"/>
  <c r="M221" i="2"/>
  <c r="B221" i="2"/>
  <c r="L219" i="2"/>
  <c r="D219" i="2"/>
  <c r="E216" i="2"/>
  <c r="N217" i="7"/>
  <c r="J217" i="7"/>
  <c r="F217" i="7"/>
  <c r="M216" i="7"/>
  <c r="G216" i="7"/>
  <c r="B216" i="7"/>
  <c r="E215" i="7"/>
  <c r="J217" i="12"/>
  <c r="F217" i="12"/>
  <c r="F216" i="13"/>
  <c r="E214" i="13"/>
  <c r="I54" i="8"/>
  <c r="E56" i="8"/>
  <c r="I55" i="8"/>
  <c r="C55" i="8"/>
  <c r="H54" i="8"/>
  <c r="I56" i="8"/>
  <c r="H56" i="8"/>
  <c r="D56" i="8"/>
  <c r="G55" i="8"/>
  <c r="B55" i="8"/>
  <c r="E54" i="8"/>
  <c r="D54" i="8"/>
  <c r="D215" i="14"/>
  <c r="D216" i="14"/>
  <c r="C215" i="14"/>
  <c r="F215" i="14"/>
  <c r="D214" i="13"/>
  <c r="G213" i="13"/>
  <c r="C213" i="13"/>
  <c r="G214" i="13"/>
  <c r="C214" i="13"/>
  <c r="F213" i="13"/>
  <c r="F214" i="13"/>
  <c r="H215" i="12"/>
  <c r="D215" i="12"/>
  <c r="H216" i="12"/>
  <c r="D216" i="12"/>
  <c r="K215" i="12"/>
  <c r="G215" i="12"/>
  <c r="C215" i="12"/>
  <c r="J214" i="12"/>
  <c r="F214" i="12"/>
  <c r="K216" i="12"/>
  <c r="G216" i="12"/>
  <c r="J215" i="12"/>
  <c r="F215" i="12"/>
  <c r="I215" i="11"/>
  <c r="E215" i="11"/>
  <c r="L215" i="11"/>
  <c r="H215" i="11"/>
  <c r="D215" i="11"/>
  <c r="O214" i="11"/>
  <c r="K214" i="11"/>
  <c r="G214" i="11"/>
  <c r="C214" i="11"/>
  <c r="E214" i="11"/>
  <c r="L214" i="11"/>
  <c r="H214" i="11"/>
  <c r="D214" i="11"/>
  <c r="L216" i="11"/>
  <c r="H216" i="11"/>
  <c r="O215" i="11"/>
  <c r="K215" i="11"/>
  <c r="G215" i="11"/>
  <c r="N214" i="11"/>
  <c r="J214" i="11"/>
  <c r="F214" i="11"/>
  <c r="L214" i="10"/>
  <c r="H214" i="10"/>
  <c r="D214" i="10"/>
  <c r="N217" i="10"/>
  <c r="J217" i="10"/>
  <c r="F217" i="10"/>
  <c r="L215" i="10"/>
  <c r="H215" i="10"/>
  <c r="D215" i="10"/>
  <c r="O214" i="10"/>
  <c r="K214" i="10"/>
  <c r="G214" i="10"/>
  <c r="C214" i="10"/>
  <c r="O215" i="10"/>
  <c r="K215" i="10"/>
  <c r="G215" i="10"/>
  <c r="N214" i="10"/>
  <c r="J214" i="10"/>
  <c r="F214" i="10"/>
  <c r="C56" i="8"/>
  <c r="G54" i="8"/>
  <c r="C54" i="8"/>
  <c r="G56" i="8"/>
  <c r="J56" i="8"/>
  <c r="F56" i="8"/>
  <c r="H55" i="8"/>
  <c r="J54" i="8"/>
  <c r="F54" i="8"/>
  <c r="L216" i="6"/>
  <c r="H216" i="6"/>
  <c r="D216" i="6"/>
  <c r="L212" i="6"/>
  <c r="H212" i="6"/>
  <c r="D212" i="6"/>
  <c r="O216" i="6"/>
  <c r="K216" i="6"/>
  <c r="G216" i="6"/>
  <c r="C216" i="6"/>
  <c r="L213" i="6"/>
  <c r="H213" i="6"/>
  <c r="D213" i="6"/>
  <c r="O212" i="6"/>
  <c r="K212" i="6"/>
  <c r="G212" i="6"/>
  <c r="C212" i="6"/>
  <c r="N216" i="6"/>
  <c r="J216" i="6"/>
  <c r="F216" i="6"/>
  <c r="L214" i="6"/>
  <c r="H214" i="6"/>
  <c r="O213" i="6"/>
  <c r="K213" i="6"/>
  <c r="G213" i="6"/>
  <c r="N212" i="6"/>
  <c r="J212" i="6"/>
  <c r="F212" i="6"/>
  <c r="L215" i="7"/>
  <c r="H215" i="7"/>
  <c r="D215" i="7"/>
  <c r="O214" i="7"/>
  <c r="K214" i="7"/>
  <c r="G214" i="7"/>
  <c r="C214" i="7"/>
  <c r="L216" i="7"/>
  <c r="H216" i="7"/>
  <c r="O215" i="7"/>
  <c r="K215" i="7"/>
  <c r="G215" i="7"/>
  <c r="C215" i="7"/>
  <c r="N214" i="7"/>
  <c r="J214" i="7"/>
  <c r="F214" i="7"/>
  <c r="N215" i="7"/>
  <c r="J215" i="7"/>
  <c r="F215" i="7"/>
  <c r="L217" i="3"/>
  <c r="O214" i="3"/>
  <c r="G214" i="3"/>
  <c r="C214" i="3"/>
  <c r="N211" i="3"/>
  <c r="N214" i="3"/>
  <c r="J214" i="3"/>
  <c r="F214" i="3"/>
  <c r="I220" i="2"/>
  <c r="E220" i="2"/>
  <c r="P220" i="2"/>
  <c r="L220" i="2"/>
  <c r="H220" i="2"/>
  <c r="J220" i="2" s="1"/>
  <c r="K220" i="2" s="1"/>
  <c r="D220" i="2"/>
  <c r="S219" i="2"/>
  <c r="C219" i="2"/>
  <c r="P216" i="2"/>
  <c r="L216" i="2"/>
  <c r="H216" i="2"/>
  <c r="D216" i="2"/>
  <c r="S215" i="2"/>
  <c r="C215" i="2"/>
  <c r="P221" i="2"/>
  <c r="L221" i="2"/>
  <c r="H221" i="2"/>
  <c r="S220" i="2"/>
  <c r="C220" i="2"/>
  <c r="R219" i="2"/>
  <c r="P217" i="2"/>
  <c r="L217" i="2"/>
  <c r="H217" i="2"/>
  <c r="S216" i="2"/>
  <c r="C216" i="2"/>
  <c r="R215" i="2"/>
  <c r="R220" i="2"/>
  <c r="R216" i="2"/>
  <c r="B205" i="14"/>
  <c r="B206" i="14"/>
  <c r="D207" i="14"/>
  <c r="B208" i="14"/>
  <c r="B209" i="14"/>
  <c r="B210" i="14"/>
  <c r="D211" i="14"/>
  <c r="B212" i="14"/>
  <c r="B213" i="14"/>
  <c r="B214" i="14"/>
  <c r="B211" i="13"/>
  <c r="C212" i="13"/>
  <c r="A211" i="12"/>
  <c r="B211" i="12" s="1"/>
  <c r="A212" i="12"/>
  <c r="B212" i="12" s="1"/>
  <c r="A213" i="12"/>
  <c r="D213" i="12" s="1"/>
  <c r="B212" i="11"/>
  <c r="B213" i="10"/>
  <c r="B213" i="7"/>
  <c r="G218" i="2" l="1"/>
  <c r="F215" i="2"/>
  <c r="G216" i="14"/>
  <c r="F211" i="3"/>
  <c r="J218" i="2"/>
  <c r="K218" i="2" s="1"/>
  <c r="J217" i="2"/>
  <c r="K217" i="2" s="1"/>
  <c r="F215" i="3"/>
  <c r="J215" i="2"/>
  <c r="K215" i="2" s="1"/>
  <c r="G215" i="2"/>
  <c r="D208" i="14"/>
  <c r="F218" i="2"/>
  <c r="N217" i="2"/>
  <c r="O217" i="2" s="1"/>
  <c r="N216" i="3"/>
  <c r="G219" i="2"/>
  <c r="F219" i="2"/>
  <c r="N220" i="2"/>
  <c r="O220" i="2" s="1"/>
  <c r="K214" i="3"/>
  <c r="F216" i="3"/>
  <c r="F207" i="14"/>
  <c r="E208" i="14"/>
  <c r="G208" i="14" s="1"/>
  <c r="E207" i="14"/>
  <c r="N221" i="2"/>
  <c r="O221" i="2" s="1"/>
  <c r="J217" i="3"/>
  <c r="L213" i="3"/>
  <c r="Q216" i="3"/>
  <c r="C208" i="14"/>
  <c r="F213" i="3"/>
  <c r="C213" i="3"/>
  <c r="E213" i="3" s="1"/>
  <c r="P213" i="3"/>
  <c r="D216" i="3"/>
  <c r="P216" i="3"/>
  <c r="K213" i="12"/>
  <c r="J216" i="2"/>
  <c r="K216" i="2" s="1"/>
  <c r="J213" i="3"/>
  <c r="G213" i="3"/>
  <c r="E214" i="3"/>
  <c r="G216" i="3"/>
  <c r="C216" i="3"/>
  <c r="J216" i="3"/>
  <c r="L213" i="10"/>
  <c r="F211" i="14"/>
  <c r="J221" i="2"/>
  <c r="K221" i="2" s="1"/>
  <c r="N216" i="2"/>
  <c r="O216" i="2" s="1"/>
  <c r="N213" i="3"/>
  <c r="O213" i="3"/>
  <c r="M216" i="3"/>
  <c r="L216" i="3"/>
  <c r="G217" i="14"/>
  <c r="I216" i="3"/>
  <c r="O216" i="3"/>
  <c r="J219" i="2"/>
  <c r="K219" i="2" s="1"/>
  <c r="H214" i="3"/>
  <c r="F212" i="3"/>
  <c r="L212" i="3"/>
  <c r="P212" i="3"/>
  <c r="J212" i="3"/>
  <c r="B212" i="3"/>
  <c r="G212" i="3"/>
  <c r="M212" i="3"/>
  <c r="Q212" i="3"/>
  <c r="O212" i="3"/>
  <c r="C212" i="3"/>
  <c r="I212" i="3"/>
  <c r="N212" i="3"/>
  <c r="D212" i="3"/>
  <c r="B217" i="3"/>
  <c r="Q217" i="3"/>
  <c r="M217" i="3"/>
  <c r="I217" i="3"/>
  <c r="D213" i="10"/>
  <c r="F213" i="12"/>
  <c r="I211" i="12"/>
  <c r="E211" i="14"/>
  <c r="F208" i="14"/>
  <c r="C207" i="14"/>
  <c r="N217" i="3"/>
  <c r="G217" i="3"/>
  <c r="P217" i="3"/>
  <c r="B215" i="3"/>
  <c r="G215" i="3"/>
  <c r="O215" i="3"/>
  <c r="I215" i="3"/>
  <c r="K215" i="3" s="1"/>
  <c r="P215" i="3"/>
  <c r="D215" i="3"/>
  <c r="C215" i="3"/>
  <c r="L215" i="3"/>
  <c r="Q215" i="3"/>
  <c r="M215" i="3"/>
  <c r="O217" i="3"/>
  <c r="N215" i="3"/>
  <c r="B211" i="3"/>
  <c r="D211" i="3"/>
  <c r="M211" i="3"/>
  <c r="G211" i="3"/>
  <c r="O211" i="3"/>
  <c r="C211" i="3"/>
  <c r="Q211" i="3"/>
  <c r="I211" i="3"/>
  <c r="K211" i="3" s="1"/>
  <c r="P211" i="3"/>
  <c r="L211" i="3"/>
  <c r="E212" i="12"/>
  <c r="F217" i="3"/>
  <c r="D217" i="3"/>
  <c r="E217" i="3" s="1"/>
  <c r="N219" i="2"/>
  <c r="O219" i="2" s="1"/>
  <c r="B213" i="3"/>
  <c r="M213" i="3"/>
  <c r="Q213" i="3"/>
  <c r="I213" i="3"/>
  <c r="M213" i="10"/>
  <c r="I212" i="12"/>
  <c r="F216" i="2"/>
  <c r="G216" i="2"/>
  <c r="F220" i="2"/>
  <c r="G220" i="2"/>
  <c r="I213" i="10"/>
  <c r="C213" i="12"/>
  <c r="D212" i="14"/>
  <c r="E214" i="14"/>
  <c r="G214" i="14" s="1"/>
  <c r="I213" i="7"/>
  <c r="I213" i="12"/>
  <c r="E213" i="10"/>
  <c r="I212" i="11"/>
  <c r="G213" i="12"/>
  <c r="B213" i="12"/>
  <c r="F212" i="13"/>
  <c r="C212" i="14"/>
  <c r="E212" i="11"/>
  <c r="E212" i="13"/>
  <c r="L212" i="11"/>
  <c r="M212" i="11"/>
  <c r="D212" i="11"/>
  <c r="J213" i="12"/>
  <c r="E213" i="12"/>
  <c r="B212" i="13"/>
  <c r="E212" i="14"/>
  <c r="G212" i="14" s="1"/>
  <c r="M213" i="7"/>
  <c r="E213" i="7"/>
  <c r="L213" i="7"/>
  <c r="D213" i="7"/>
  <c r="H213" i="10"/>
  <c r="H212" i="11"/>
  <c r="H211" i="12"/>
  <c r="F212" i="14"/>
  <c r="C211" i="14"/>
  <c r="E209" i="14"/>
  <c r="G209" i="14" s="1"/>
  <c r="B207" i="14"/>
  <c r="E205" i="14"/>
  <c r="G205" i="14" s="1"/>
  <c r="E211" i="12"/>
  <c r="E211" i="13"/>
  <c r="E213" i="14"/>
  <c r="G213" i="14" s="1"/>
  <c r="B211" i="14"/>
  <c r="D209" i="14"/>
  <c r="D205" i="14"/>
  <c r="H213" i="7"/>
  <c r="D211" i="12"/>
  <c r="D213" i="14"/>
  <c r="E206" i="14"/>
  <c r="G206" i="14" s="1"/>
  <c r="D214" i="14"/>
  <c r="C213" i="14"/>
  <c r="D210" i="14"/>
  <c r="C209" i="14"/>
  <c r="D206" i="14"/>
  <c r="C205" i="14"/>
  <c r="C214" i="14"/>
  <c r="F213" i="14"/>
  <c r="C210" i="14"/>
  <c r="F209" i="14"/>
  <c r="C206" i="14"/>
  <c r="F205" i="14"/>
  <c r="E210" i="14"/>
  <c r="G210" i="14" s="1"/>
  <c r="F214" i="14"/>
  <c r="F210" i="14"/>
  <c r="F206" i="14"/>
  <c r="D211" i="13"/>
  <c r="D212" i="13"/>
  <c r="G211" i="13"/>
  <c r="C211" i="13"/>
  <c r="G212" i="13"/>
  <c r="F211" i="13"/>
  <c r="H212" i="12"/>
  <c r="D212" i="12"/>
  <c r="K211" i="12"/>
  <c r="G211" i="12"/>
  <c r="C211" i="12"/>
  <c r="H213" i="12"/>
  <c r="K212" i="12"/>
  <c r="G212" i="12"/>
  <c r="C212" i="12"/>
  <c r="J211" i="12"/>
  <c r="F211" i="12"/>
  <c r="J212" i="12"/>
  <c r="F212" i="12"/>
  <c r="O212" i="11"/>
  <c r="K212" i="11"/>
  <c r="G212" i="11"/>
  <c r="C212" i="11"/>
  <c r="N212" i="11"/>
  <c r="J212" i="11"/>
  <c r="F212" i="11"/>
  <c r="O213" i="10"/>
  <c r="K213" i="10"/>
  <c r="G213" i="10"/>
  <c r="C213" i="10"/>
  <c r="N213" i="10"/>
  <c r="J213" i="10"/>
  <c r="F213" i="10"/>
  <c r="O213" i="7"/>
  <c r="K213" i="7"/>
  <c r="G213" i="7"/>
  <c r="C213" i="7"/>
  <c r="N213" i="7"/>
  <c r="J213" i="7"/>
  <c r="F213" i="7"/>
  <c r="B7" i="13"/>
  <c r="B9" i="13"/>
  <c r="B11" i="13"/>
  <c r="B13" i="13"/>
  <c r="B15" i="13"/>
  <c r="B17" i="13"/>
  <c r="B19" i="13"/>
  <c r="B21" i="13"/>
  <c r="B23" i="13"/>
  <c r="B25" i="13"/>
  <c r="B27" i="13"/>
  <c r="B29" i="13"/>
  <c r="B31" i="13"/>
  <c r="D89" i="13"/>
  <c r="C90" i="13"/>
  <c r="C91" i="13"/>
  <c r="C92" i="13"/>
  <c r="C93" i="13"/>
  <c r="C94" i="13"/>
  <c r="C95" i="13"/>
  <c r="C96" i="13"/>
  <c r="C97" i="13"/>
  <c r="C98" i="13"/>
  <c r="C99" i="13"/>
  <c r="C100" i="13"/>
  <c r="C102" i="13"/>
  <c r="C103" i="13"/>
  <c r="C104" i="13"/>
  <c r="C106" i="13"/>
  <c r="C107" i="13"/>
  <c r="C108" i="13"/>
  <c r="C110" i="13"/>
  <c r="C111" i="13"/>
  <c r="C112" i="13"/>
  <c r="C114" i="13"/>
  <c r="C115" i="13"/>
  <c r="C116" i="13"/>
  <c r="C118" i="13"/>
  <c r="C119" i="13"/>
  <c r="C120" i="13"/>
  <c r="C122" i="13"/>
  <c r="C123" i="13"/>
  <c r="C124" i="13"/>
  <c r="C126" i="13"/>
  <c r="C127" i="13"/>
  <c r="C128" i="13"/>
  <c r="C130" i="13"/>
  <c r="C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E211" i="3" l="1"/>
  <c r="H211" i="3"/>
  <c r="H216" i="3"/>
  <c r="E216" i="3"/>
  <c r="G211" i="14"/>
  <c r="K213" i="3"/>
  <c r="H215" i="3"/>
  <c r="K216" i="3"/>
  <c r="H213" i="3"/>
  <c r="K217" i="3"/>
  <c r="G207" i="14"/>
  <c r="E212" i="3"/>
  <c r="H217" i="3"/>
  <c r="H212" i="3"/>
  <c r="E215" i="3"/>
  <c r="K212" i="3"/>
  <c r="D108" i="13"/>
  <c r="D90" i="13"/>
  <c r="D100" i="13"/>
  <c r="B90" i="13"/>
  <c r="C150" i="13"/>
  <c r="C156" i="13"/>
  <c r="B114" i="13"/>
  <c r="D198" i="13"/>
  <c r="C182" i="13"/>
  <c r="C184" i="13"/>
  <c r="D189" i="13"/>
  <c r="D161" i="13"/>
  <c r="C189" i="13"/>
  <c r="C161" i="13"/>
  <c r="D210" i="13"/>
  <c r="C152" i="13"/>
  <c r="D178" i="13"/>
  <c r="D120" i="13"/>
  <c r="D194" i="13"/>
  <c r="D182" i="13"/>
  <c r="C180" i="13"/>
  <c r="C178" i="13"/>
  <c r="C148" i="13"/>
  <c r="C141" i="13"/>
  <c r="C138" i="13"/>
  <c r="C210" i="13"/>
  <c r="C181" i="13"/>
  <c r="D177" i="13"/>
  <c r="C170" i="13"/>
  <c r="C157" i="13"/>
  <c r="C149" i="13"/>
  <c r="C134" i="13"/>
  <c r="D205" i="13"/>
  <c r="C202" i="13"/>
  <c r="C193" i="13"/>
  <c r="C188" i="13"/>
  <c r="C146" i="13"/>
  <c r="D112" i="13"/>
  <c r="C205" i="13"/>
  <c r="C200" i="13"/>
  <c r="C198" i="13"/>
  <c r="C196" i="13"/>
  <c r="C194" i="13"/>
  <c r="C177" i="13"/>
  <c r="C172" i="13"/>
  <c r="C165" i="13"/>
  <c r="C154" i="13"/>
  <c r="C132" i="13"/>
  <c r="B106" i="13"/>
  <c r="D209" i="13"/>
  <c r="D173" i="13"/>
  <c r="D166" i="13"/>
  <c r="D162" i="13"/>
  <c r="D145" i="13"/>
  <c r="C209" i="13"/>
  <c r="C204" i="13"/>
  <c r="C197" i="13"/>
  <c r="D193" i="13"/>
  <c r="C186" i="13"/>
  <c r="C173" i="13"/>
  <c r="C168" i="13"/>
  <c r="C166" i="13"/>
  <c r="C164" i="13"/>
  <c r="C162" i="13"/>
  <c r="D157" i="13"/>
  <c r="D150" i="13"/>
  <c r="D146" i="13"/>
  <c r="C145" i="13"/>
  <c r="C136" i="13"/>
  <c r="D116" i="13"/>
  <c r="D94" i="13"/>
  <c r="D206" i="13"/>
  <c r="D201" i="13"/>
  <c r="D190" i="13"/>
  <c r="D185" i="13"/>
  <c r="D174" i="13"/>
  <c r="D169" i="13"/>
  <c r="D158" i="13"/>
  <c r="D153" i="13"/>
  <c r="C140" i="13"/>
  <c r="C133" i="13"/>
  <c r="D128" i="13"/>
  <c r="B122" i="13"/>
  <c r="B94" i="13"/>
  <c r="D91" i="13"/>
  <c r="C208" i="13"/>
  <c r="C206" i="13"/>
  <c r="D202" i="13"/>
  <c r="C201" i="13"/>
  <c r="D197" i="13"/>
  <c r="C192" i="13"/>
  <c r="C190" i="13"/>
  <c r="D186" i="13"/>
  <c r="C185" i="13"/>
  <c r="D181" i="13"/>
  <c r="C176" i="13"/>
  <c r="C174" i="13"/>
  <c r="D170" i="13"/>
  <c r="C169" i="13"/>
  <c r="D165" i="13"/>
  <c r="C160" i="13"/>
  <c r="C158" i="13"/>
  <c r="D154" i="13"/>
  <c r="C153" i="13"/>
  <c r="D149" i="13"/>
  <c r="C144" i="13"/>
  <c r="D141" i="13"/>
  <c r="D134" i="13"/>
  <c r="B130" i="13"/>
  <c r="D124" i="13"/>
  <c r="D104" i="13"/>
  <c r="B98" i="13"/>
  <c r="D95" i="13"/>
  <c r="D142" i="13"/>
  <c r="D137" i="13"/>
  <c r="C142" i="13"/>
  <c r="D138" i="13"/>
  <c r="C137" i="13"/>
  <c r="D133" i="13"/>
  <c r="B126" i="13"/>
  <c r="B118" i="13"/>
  <c r="B110" i="13"/>
  <c r="B102" i="13"/>
  <c r="B97" i="13"/>
  <c r="B93" i="13"/>
  <c r="D175" i="13"/>
  <c r="D163" i="13"/>
  <c r="D143" i="13"/>
  <c r="D139" i="13"/>
  <c r="D135" i="13"/>
  <c r="D131" i="13"/>
  <c r="D127" i="13"/>
  <c r="D123" i="13"/>
  <c r="D119" i="13"/>
  <c r="D115" i="13"/>
  <c r="D111" i="13"/>
  <c r="D107" i="13"/>
  <c r="D103" i="13"/>
  <c r="D99" i="13"/>
  <c r="D96" i="13"/>
  <c r="B95" i="13"/>
  <c r="D92" i="13"/>
  <c r="B91" i="13"/>
  <c r="D207" i="13"/>
  <c r="D203" i="13"/>
  <c r="D199" i="13"/>
  <c r="D195" i="13"/>
  <c r="D191" i="13"/>
  <c r="D187" i="13"/>
  <c r="D183" i="13"/>
  <c r="D179" i="13"/>
  <c r="D171" i="13"/>
  <c r="D167" i="13"/>
  <c r="D159" i="13"/>
  <c r="D155" i="13"/>
  <c r="D151" i="13"/>
  <c r="D147" i="13"/>
  <c r="D208" i="13"/>
  <c r="C207" i="13"/>
  <c r="D204" i="13"/>
  <c r="C203" i="13"/>
  <c r="D200" i="13"/>
  <c r="C199" i="13"/>
  <c r="D196" i="13"/>
  <c r="C195" i="13"/>
  <c r="D192" i="13"/>
  <c r="C191" i="13"/>
  <c r="D188" i="13"/>
  <c r="C187" i="13"/>
  <c r="D184" i="13"/>
  <c r="C183" i="13"/>
  <c r="D180" i="13"/>
  <c r="C179" i="13"/>
  <c r="D176" i="13"/>
  <c r="C175" i="13"/>
  <c r="D172" i="13"/>
  <c r="C171" i="13"/>
  <c r="D168" i="13"/>
  <c r="C167" i="13"/>
  <c r="D164" i="13"/>
  <c r="C163" i="13"/>
  <c r="D160" i="13"/>
  <c r="C159" i="13"/>
  <c r="D156" i="13"/>
  <c r="C155" i="13"/>
  <c r="D152" i="13"/>
  <c r="C151" i="13"/>
  <c r="D148" i="13"/>
  <c r="C147" i="13"/>
  <c r="D144" i="13"/>
  <c r="C143" i="13"/>
  <c r="D140" i="13"/>
  <c r="C139" i="13"/>
  <c r="D136" i="13"/>
  <c r="C135" i="13"/>
  <c r="D132" i="13"/>
  <c r="B131" i="13"/>
  <c r="B127" i="13"/>
  <c r="B123" i="13"/>
  <c r="B119" i="13"/>
  <c r="B115" i="13"/>
  <c r="B111" i="13"/>
  <c r="B107" i="13"/>
  <c r="B103" i="13"/>
  <c r="B99" i="13"/>
  <c r="D97" i="13"/>
  <c r="B96" i="13"/>
  <c r="D93" i="13"/>
  <c r="B92" i="13"/>
  <c r="C88" i="13"/>
  <c r="D88" i="13"/>
  <c r="B88" i="13"/>
  <c r="C80" i="13"/>
  <c r="D80" i="13"/>
  <c r="B80" i="13"/>
  <c r="C72" i="13"/>
  <c r="D72" i="13"/>
  <c r="B72" i="13"/>
  <c r="C64" i="13"/>
  <c r="D64" i="13"/>
  <c r="B64" i="13"/>
  <c r="C56" i="13"/>
  <c r="D56" i="13"/>
  <c r="B56" i="13"/>
  <c r="C48" i="13"/>
  <c r="D48" i="13"/>
  <c r="B48" i="13"/>
  <c r="C40" i="13"/>
  <c r="D40" i="13"/>
  <c r="B40" i="13"/>
  <c r="C32" i="13"/>
  <c r="D32" i="13"/>
  <c r="B32" i="13"/>
  <c r="C24" i="13"/>
  <c r="D24" i="13"/>
  <c r="B24" i="13"/>
  <c r="C12" i="13"/>
  <c r="D12" i="13"/>
  <c r="B12" i="13"/>
  <c r="C16" i="13"/>
  <c r="D16" i="13"/>
  <c r="B16" i="13"/>
  <c r="C84" i="13"/>
  <c r="D84" i="13"/>
  <c r="B84" i="13"/>
  <c r="C76" i="13"/>
  <c r="D76" i="13"/>
  <c r="B76" i="13"/>
  <c r="C68" i="13"/>
  <c r="D68" i="13"/>
  <c r="B68" i="13"/>
  <c r="C60" i="13"/>
  <c r="D60" i="13"/>
  <c r="B60" i="13"/>
  <c r="C52" i="13"/>
  <c r="D52" i="13"/>
  <c r="B52" i="13"/>
  <c r="C44" i="13"/>
  <c r="D44" i="13"/>
  <c r="B44" i="13"/>
  <c r="C36" i="13"/>
  <c r="D36" i="13"/>
  <c r="B36" i="13"/>
  <c r="C28" i="13"/>
  <c r="D28" i="13"/>
  <c r="B28" i="13"/>
  <c r="C20" i="13"/>
  <c r="D20" i="13"/>
  <c r="B20" i="13"/>
  <c r="C8" i="13"/>
  <c r="D8" i="13"/>
  <c r="B8" i="13"/>
  <c r="C129" i="13"/>
  <c r="B129" i="13"/>
  <c r="D129" i="13"/>
  <c r="C125" i="13"/>
  <c r="B125" i="13"/>
  <c r="D125" i="13"/>
  <c r="C121" i="13"/>
  <c r="B121" i="13"/>
  <c r="D121" i="13"/>
  <c r="C117" i="13"/>
  <c r="B117" i="13"/>
  <c r="D117" i="13"/>
  <c r="C113" i="13"/>
  <c r="B113" i="13"/>
  <c r="D113" i="13"/>
  <c r="C109" i="13"/>
  <c r="B109" i="13"/>
  <c r="D109" i="13"/>
  <c r="C105" i="13"/>
  <c r="B105" i="13"/>
  <c r="D105" i="13"/>
  <c r="C101" i="13"/>
  <c r="B101" i="13"/>
  <c r="D101" i="13"/>
  <c r="C87" i="13"/>
  <c r="D87" i="13"/>
  <c r="B87" i="13"/>
  <c r="C83" i="13"/>
  <c r="D83" i="13"/>
  <c r="B83" i="13"/>
  <c r="C79" i="13"/>
  <c r="D79" i="13"/>
  <c r="B79" i="13"/>
  <c r="C75" i="13"/>
  <c r="D75" i="13"/>
  <c r="B75" i="13"/>
  <c r="C71" i="13"/>
  <c r="D71" i="13"/>
  <c r="B71" i="13"/>
  <c r="C67" i="13"/>
  <c r="D67" i="13"/>
  <c r="B67" i="13"/>
  <c r="C63" i="13"/>
  <c r="D63" i="13"/>
  <c r="B63" i="13"/>
  <c r="C59" i="13"/>
  <c r="D59" i="13"/>
  <c r="B59" i="13"/>
  <c r="C55" i="13"/>
  <c r="D55" i="13"/>
  <c r="B55" i="13"/>
  <c r="C51" i="13"/>
  <c r="D51" i="13"/>
  <c r="B51" i="13"/>
  <c r="C47" i="13"/>
  <c r="D47" i="13"/>
  <c r="B47" i="13"/>
  <c r="C43" i="13"/>
  <c r="D43" i="13"/>
  <c r="B43" i="13"/>
  <c r="C39" i="13"/>
  <c r="D39" i="13"/>
  <c r="B39" i="13"/>
  <c r="C35" i="13"/>
  <c r="D35" i="13"/>
  <c r="B35" i="13"/>
  <c r="B128" i="13"/>
  <c r="B124" i="13"/>
  <c r="B120" i="13"/>
  <c r="B116" i="13"/>
  <c r="B112" i="13"/>
  <c r="B108" i="13"/>
  <c r="B104" i="13"/>
  <c r="B100" i="13"/>
  <c r="C86" i="13"/>
  <c r="D86" i="13"/>
  <c r="B86" i="13"/>
  <c r="C82" i="13"/>
  <c r="D82" i="13"/>
  <c r="B82" i="13"/>
  <c r="C78" i="13"/>
  <c r="D78" i="13"/>
  <c r="B78" i="13"/>
  <c r="C74" i="13"/>
  <c r="D74" i="13"/>
  <c r="B74" i="13"/>
  <c r="C70" i="13"/>
  <c r="D70" i="13"/>
  <c r="B70" i="13"/>
  <c r="C66" i="13"/>
  <c r="D66" i="13"/>
  <c r="B66" i="13"/>
  <c r="C62" i="13"/>
  <c r="D62" i="13"/>
  <c r="B62" i="13"/>
  <c r="C58" i="13"/>
  <c r="D58" i="13"/>
  <c r="B58" i="13"/>
  <c r="C54" i="13"/>
  <c r="D54" i="13"/>
  <c r="B54" i="13"/>
  <c r="C50" i="13"/>
  <c r="D50" i="13"/>
  <c r="B50" i="13"/>
  <c r="C46" i="13"/>
  <c r="D46" i="13"/>
  <c r="B46" i="13"/>
  <c r="C42" i="13"/>
  <c r="D42" i="13"/>
  <c r="B42" i="13"/>
  <c r="C38" i="13"/>
  <c r="D38" i="13"/>
  <c r="B38" i="13"/>
  <c r="C34" i="13"/>
  <c r="D34" i="13"/>
  <c r="B34" i="13"/>
  <c r="C30" i="13"/>
  <c r="D30" i="13"/>
  <c r="B30" i="13"/>
  <c r="C26" i="13"/>
  <c r="D26" i="13"/>
  <c r="B26" i="13"/>
  <c r="C22" i="13"/>
  <c r="D22" i="13"/>
  <c r="B22" i="13"/>
  <c r="C18" i="13"/>
  <c r="D18" i="13"/>
  <c r="B18" i="13"/>
  <c r="C14" i="13"/>
  <c r="D14" i="13"/>
  <c r="B14" i="13"/>
  <c r="C10" i="13"/>
  <c r="D10" i="13"/>
  <c r="B10" i="13"/>
  <c r="C6" i="13"/>
  <c r="D6" i="13"/>
  <c r="B6" i="13"/>
  <c r="D130" i="13"/>
  <c r="D126" i="13"/>
  <c r="D122" i="13"/>
  <c r="D118" i="13"/>
  <c r="D114" i="13"/>
  <c r="D110" i="13"/>
  <c r="D106" i="13"/>
  <c r="D102" i="13"/>
  <c r="D98" i="13"/>
  <c r="C89" i="13"/>
  <c r="B89" i="13"/>
  <c r="C85" i="13"/>
  <c r="D85" i="13"/>
  <c r="B85" i="13"/>
  <c r="C81" i="13"/>
  <c r="D81" i="13"/>
  <c r="B81" i="13"/>
  <c r="C77" i="13"/>
  <c r="D77" i="13"/>
  <c r="B77" i="13"/>
  <c r="C73" i="13"/>
  <c r="D73" i="13"/>
  <c r="B73" i="13"/>
  <c r="C69" i="13"/>
  <c r="D69" i="13"/>
  <c r="B69" i="13"/>
  <c r="C65" i="13"/>
  <c r="D65" i="13"/>
  <c r="B65" i="13"/>
  <c r="C61" i="13"/>
  <c r="D61" i="13"/>
  <c r="B61" i="13"/>
  <c r="C57" i="13"/>
  <c r="D57" i="13"/>
  <c r="B57" i="13"/>
  <c r="C53" i="13"/>
  <c r="D53" i="13"/>
  <c r="B53" i="13"/>
  <c r="C49" i="13"/>
  <c r="D49" i="13"/>
  <c r="B49" i="13"/>
  <c r="C45" i="13"/>
  <c r="D45" i="13"/>
  <c r="B45" i="13"/>
  <c r="C41" i="13"/>
  <c r="D41" i="13"/>
  <c r="B41" i="13"/>
  <c r="C37" i="13"/>
  <c r="D37" i="13"/>
  <c r="B37" i="13"/>
  <c r="C33" i="13"/>
  <c r="D33" i="13"/>
  <c r="B33" i="13"/>
  <c r="C31" i="13"/>
  <c r="D31" i="13"/>
  <c r="C29" i="13"/>
  <c r="D29" i="13"/>
  <c r="C27" i="13"/>
  <c r="D27" i="13"/>
  <c r="C25" i="13"/>
  <c r="D25" i="13"/>
  <c r="C23" i="13"/>
  <c r="D23" i="13"/>
  <c r="C21" i="13"/>
  <c r="D21" i="13"/>
  <c r="C19" i="13"/>
  <c r="D19" i="13"/>
  <c r="C17" i="13"/>
  <c r="D17" i="13"/>
  <c r="C15" i="13"/>
  <c r="D15" i="13"/>
  <c r="C13" i="13"/>
  <c r="D13" i="13"/>
  <c r="C11" i="13"/>
  <c r="D11" i="13"/>
  <c r="C9" i="13"/>
  <c r="D9" i="13"/>
  <c r="C7" i="13"/>
  <c r="D7"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A210" i="12"/>
  <c r="D189" i="11"/>
  <c r="F190" i="11"/>
  <c r="D191" i="11"/>
  <c r="L193" i="11"/>
  <c r="N194" i="11"/>
  <c r="H195" i="11"/>
  <c r="D197" i="11"/>
  <c r="F198" i="11"/>
  <c r="D199" i="11"/>
  <c r="F200" i="11"/>
  <c r="F201" i="11"/>
  <c r="H202" i="11"/>
  <c r="C203" i="11"/>
  <c r="C205" i="11"/>
  <c r="D206" i="11"/>
  <c r="C207" i="11"/>
  <c r="C209" i="11"/>
  <c r="H210" i="11"/>
  <c r="C211" i="11"/>
  <c r="O190" i="10"/>
  <c r="E191" i="10"/>
  <c r="G192" i="10"/>
  <c r="E193" i="10"/>
  <c r="G194" i="10"/>
  <c r="M195" i="10"/>
  <c r="O196" i="10"/>
  <c r="I197" i="10"/>
  <c r="O198" i="10"/>
  <c r="E199" i="10"/>
  <c r="G200" i="10"/>
  <c r="E201" i="10"/>
  <c r="G202" i="10"/>
  <c r="M203" i="10"/>
  <c r="O204" i="10"/>
  <c r="I205" i="10"/>
  <c r="O206" i="10"/>
  <c r="E207" i="10"/>
  <c r="E209" i="10"/>
  <c r="G210" i="10"/>
  <c r="D211" i="10"/>
  <c r="I212" i="10"/>
  <c r="B145" i="14"/>
  <c r="C189" i="14"/>
  <c r="B190" i="14"/>
  <c r="E191" i="14"/>
  <c r="E193" i="14"/>
  <c r="D194" i="14"/>
  <c r="C195" i="14"/>
  <c r="C197" i="14"/>
  <c r="B198" i="14"/>
  <c r="E199" i="14"/>
  <c r="D202" i="14"/>
  <c r="C203" i="14"/>
  <c r="F206" i="18"/>
  <c r="F171" i="18"/>
  <c r="F112" i="18"/>
  <c r="F32" i="18"/>
  <c r="K211" i="6"/>
  <c r="H190" i="7"/>
  <c r="N191" i="7"/>
  <c r="H192" i="7"/>
  <c r="F195" i="7"/>
  <c r="L196" i="7"/>
  <c r="J197" i="7"/>
  <c r="H198" i="7"/>
  <c r="N199" i="7"/>
  <c r="D200" i="7"/>
  <c r="D202" i="7"/>
  <c r="F203" i="7"/>
  <c r="L204" i="7"/>
  <c r="J205" i="7"/>
  <c r="H206" i="7"/>
  <c r="J207" i="7"/>
  <c r="F208" i="7"/>
  <c r="E209" i="7"/>
  <c r="F210" i="7"/>
  <c r="B211" i="7"/>
  <c r="D212" i="7"/>
  <c r="C189" i="3"/>
  <c r="G190" i="3"/>
  <c r="I196" i="3"/>
  <c r="C197" i="3"/>
  <c r="I200" i="3"/>
  <c r="L202" i="3"/>
  <c r="B208" i="3"/>
  <c r="B210" i="3" l="1"/>
  <c r="M210" i="3"/>
  <c r="I210" i="3"/>
  <c r="Q210" i="3"/>
  <c r="L210" i="3"/>
  <c r="D210" i="3"/>
  <c r="P210" i="3"/>
  <c r="G210" i="3"/>
  <c r="J210" i="3"/>
  <c r="C210" i="3"/>
  <c r="E210" i="3" s="1"/>
  <c r="F210" i="3"/>
  <c r="O210" i="3"/>
  <c r="N210" i="3"/>
  <c r="O214" i="12"/>
  <c r="M215" i="12"/>
  <c r="N216" i="12"/>
  <c r="L217" i="12"/>
  <c r="M216" i="12"/>
  <c r="M217" i="12"/>
  <c r="N217" i="12"/>
  <c r="M214" i="12"/>
  <c r="O217" i="12"/>
  <c r="L214" i="12"/>
  <c r="O216" i="12"/>
  <c r="O215" i="12"/>
  <c r="N214" i="12"/>
  <c r="L216" i="12"/>
  <c r="L215" i="12"/>
  <c r="N215" i="12"/>
  <c r="N211" i="12"/>
  <c r="I213" i="2"/>
  <c r="C209" i="3"/>
  <c r="E208" i="2"/>
  <c r="N204" i="3"/>
  <c r="B209" i="2"/>
  <c r="C205" i="3"/>
  <c r="C207" i="2"/>
  <c r="I203" i="3"/>
  <c r="M205" i="2"/>
  <c r="C201" i="3"/>
  <c r="Q197" i="2"/>
  <c r="C193" i="3"/>
  <c r="R211" i="2"/>
  <c r="I207" i="3"/>
  <c r="E203" i="2"/>
  <c r="D199" i="3"/>
  <c r="H199" i="2"/>
  <c r="N195" i="3"/>
  <c r="R195" i="2"/>
  <c r="N191" i="3"/>
  <c r="C214" i="2"/>
  <c r="L210" i="2"/>
  <c r="P206" i="3"/>
  <c r="M202" i="2"/>
  <c r="G198" i="3"/>
  <c r="C198" i="2"/>
  <c r="C194" i="3"/>
  <c r="L207" i="7"/>
  <c r="I201" i="10"/>
  <c r="E198" i="14"/>
  <c r="G198" i="14" s="1"/>
  <c r="F209" i="11"/>
  <c r="M211" i="7"/>
  <c r="J200" i="11"/>
  <c r="E211" i="7"/>
  <c r="C194" i="14"/>
  <c r="K194" i="10"/>
  <c r="B207" i="11"/>
  <c r="O212" i="7"/>
  <c r="D192" i="7"/>
  <c r="E190" i="14"/>
  <c r="G190" i="14" s="1"/>
  <c r="C211" i="10"/>
  <c r="F205" i="11"/>
  <c r="G212" i="7"/>
  <c r="K208" i="7"/>
  <c r="C202" i="14"/>
  <c r="F211" i="11"/>
  <c r="B203" i="11"/>
  <c r="C204" i="3"/>
  <c r="C192" i="3"/>
  <c r="J192" i="3"/>
  <c r="F208" i="3"/>
  <c r="J196" i="3"/>
  <c r="K196" i="3" s="1"/>
  <c r="E204" i="14"/>
  <c r="D204" i="14"/>
  <c r="E196" i="14"/>
  <c r="D196" i="14"/>
  <c r="E188" i="14"/>
  <c r="D188" i="14"/>
  <c r="O208" i="3"/>
  <c r="J200" i="3"/>
  <c r="K200" i="3" s="1"/>
  <c r="F192" i="3"/>
  <c r="C208" i="3"/>
  <c r="J208" i="3"/>
  <c r="C196" i="3"/>
  <c r="B196" i="3"/>
  <c r="N196" i="3"/>
  <c r="C200" i="14"/>
  <c r="B200" i="14"/>
  <c r="F200" i="14"/>
  <c r="C192" i="14"/>
  <c r="B192" i="14"/>
  <c r="F192" i="14"/>
  <c r="D202" i="3"/>
  <c r="P202" i="3"/>
  <c r="D190" i="3"/>
  <c r="C190" i="3"/>
  <c r="N208" i="3"/>
  <c r="G202" i="3"/>
  <c r="I199" i="3"/>
  <c r="F196" i="3"/>
  <c r="O192" i="3"/>
  <c r="B192" i="3"/>
  <c r="P190" i="3"/>
  <c r="E208" i="11"/>
  <c r="H208" i="11"/>
  <c r="L208" i="11"/>
  <c r="E204" i="11"/>
  <c r="H204" i="11"/>
  <c r="L204" i="11"/>
  <c r="N196" i="11"/>
  <c r="B196" i="11"/>
  <c r="F192" i="11"/>
  <c r="J192" i="11"/>
  <c r="D204" i="11"/>
  <c r="C200" i="3"/>
  <c r="F200" i="3"/>
  <c r="O200" i="3"/>
  <c r="O204" i="3"/>
  <c r="N200" i="3"/>
  <c r="I192" i="3"/>
  <c r="I208" i="3"/>
  <c r="C202" i="3"/>
  <c r="B200" i="3"/>
  <c r="O196" i="3"/>
  <c r="N192" i="3"/>
  <c r="L190" i="3"/>
  <c r="C210" i="7"/>
  <c r="J210" i="7"/>
  <c r="N210" i="7"/>
  <c r="B210" i="7"/>
  <c r="D194" i="7"/>
  <c r="H194" i="7"/>
  <c r="H194" i="12" s="1"/>
  <c r="H202" i="7"/>
  <c r="H202" i="12" s="1"/>
  <c r="D208" i="11"/>
  <c r="N212" i="7"/>
  <c r="F212" i="7"/>
  <c r="L211" i="7"/>
  <c r="D211" i="7"/>
  <c r="J208" i="7"/>
  <c r="B207" i="7"/>
  <c r="H200" i="7"/>
  <c r="H200" i="12" s="1"/>
  <c r="J195" i="7"/>
  <c r="B191" i="7"/>
  <c r="O211" i="10"/>
  <c r="M210" i="10"/>
  <c r="C206" i="10"/>
  <c r="I193" i="10"/>
  <c r="B211" i="11"/>
  <c r="B209" i="11"/>
  <c r="N207" i="11"/>
  <c r="H206" i="11"/>
  <c r="B205" i="11"/>
  <c r="N203" i="11"/>
  <c r="N201" i="11"/>
  <c r="H199" i="11"/>
  <c r="K212" i="7"/>
  <c r="C212" i="7"/>
  <c r="I211" i="7"/>
  <c r="O208" i="7"/>
  <c r="G208" i="7"/>
  <c r="F203" i="14"/>
  <c r="F195" i="14"/>
  <c r="K211" i="10"/>
  <c r="H210" i="10"/>
  <c r="C198" i="10"/>
  <c r="N211" i="11"/>
  <c r="N209" i="11"/>
  <c r="J207" i="11"/>
  <c r="N205" i="11"/>
  <c r="J203" i="11"/>
  <c r="J201" i="11"/>
  <c r="J212" i="7"/>
  <c r="B212" i="7"/>
  <c r="H211" i="7"/>
  <c r="N208" i="7"/>
  <c r="J203" i="7"/>
  <c r="B199" i="7"/>
  <c r="B203" i="14"/>
  <c r="D199" i="14"/>
  <c r="B195" i="14"/>
  <c r="D191" i="14"/>
  <c r="G211" i="10"/>
  <c r="I209" i="10"/>
  <c r="K202" i="10"/>
  <c r="C190" i="10"/>
  <c r="J211" i="11"/>
  <c r="J209" i="11"/>
  <c r="F207" i="11"/>
  <c r="J205" i="11"/>
  <c r="F203" i="11"/>
  <c r="H191" i="11"/>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09" i="7"/>
  <c r="K209" i="12" s="1"/>
  <c r="H209" i="7"/>
  <c r="H209" i="12" s="1"/>
  <c r="D209" i="7"/>
  <c r="N205" i="7"/>
  <c r="Q208" i="3"/>
  <c r="M208" i="3"/>
  <c r="D208" i="3"/>
  <c r="Q204" i="3"/>
  <c r="M204" i="3"/>
  <c r="D204" i="3"/>
  <c r="L203" i="3"/>
  <c r="G203" i="3"/>
  <c r="C203" i="3"/>
  <c r="O202" i="3"/>
  <c r="J202" i="3"/>
  <c r="F202" i="3"/>
  <c r="B202" i="3"/>
  <c r="Q200" i="3"/>
  <c r="M200" i="3"/>
  <c r="D200" i="3"/>
  <c r="P199" i="3"/>
  <c r="L199" i="3"/>
  <c r="G199" i="3"/>
  <c r="N197" i="3"/>
  <c r="I197" i="3"/>
  <c r="Q196" i="3"/>
  <c r="M196" i="3"/>
  <c r="D196" i="3"/>
  <c r="Q192" i="3"/>
  <c r="M192" i="3"/>
  <c r="D192"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J196" i="12" s="1"/>
  <c r="O196" i="7"/>
  <c r="E192" i="7"/>
  <c r="I192" i="7"/>
  <c r="I192" i="12" s="1"/>
  <c r="M192" i="7"/>
  <c r="B192" i="7"/>
  <c r="F192" i="7"/>
  <c r="J192" i="7"/>
  <c r="N192" i="7"/>
  <c r="C192" i="7"/>
  <c r="G192" i="7"/>
  <c r="K192" i="7"/>
  <c r="J192" i="12" s="1"/>
  <c r="O192" i="7"/>
  <c r="M212" i="7"/>
  <c r="I212" i="7"/>
  <c r="E212" i="7"/>
  <c r="O211" i="7"/>
  <c r="K211" i="7"/>
  <c r="G211" i="7"/>
  <c r="C211" i="7"/>
  <c r="M210" i="7"/>
  <c r="I210" i="7"/>
  <c r="E210" i="7"/>
  <c r="O209" i="7"/>
  <c r="K209" i="7"/>
  <c r="J209" i="12" s="1"/>
  <c r="G209" i="7"/>
  <c r="C209" i="7"/>
  <c r="M208" i="7"/>
  <c r="I208" i="7"/>
  <c r="I208" i="12" s="1"/>
  <c r="D208" i="7"/>
  <c r="L206" i="7"/>
  <c r="K206" i="12" s="1"/>
  <c r="H204" i="7"/>
  <c r="H204" i="12" s="1"/>
  <c r="B201" i="7"/>
  <c r="L198" i="7"/>
  <c r="K198" i="12" s="1"/>
  <c r="H196" i="7"/>
  <c r="H196" i="12" s="1"/>
  <c r="B193" i="7"/>
  <c r="L190" i="7"/>
  <c r="K190" i="12" s="1"/>
  <c r="M212" i="10"/>
  <c r="O197" i="3"/>
  <c r="J197" i="3"/>
  <c r="F197" i="3"/>
  <c r="B197" i="3"/>
  <c r="O189" i="3"/>
  <c r="B189" i="3"/>
  <c r="C205" i="7"/>
  <c r="G205" i="7"/>
  <c r="K205" i="7"/>
  <c r="J205" i="12" s="1"/>
  <c r="O205" i="7"/>
  <c r="D205" i="7"/>
  <c r="H205" i="7"/>
  <c r="H205" i="12" s="1"/>
  <c r="L205" i="7"/>
  <c r="K205" i="12" s="1"/>
  <c r="E205" i="7"/>
  <c r="I205" i="7"/>
  <c r="I205" i="12" s="1"/>
  <c r="M205" i="7"/>
  <c r="C197" i="7"/>
  <c r="G197" i="7"/>
  <c r="K197" i="7"/>
  <c r="J197" i="12" s="1"/>
  <c r="O197" i="7"/>
  <c r="D197" i="7"/>
  <c r="H197" i="7"/>
  <c r="H197" i="12" s="1"/>
  <c r="L197" i="7"/>
  <c r="K197" i="12" s="1"/>
  <c r="E197" i="7"/>
  <c r="I197" i="7"/>
  <c r="I197" i="12" s="1"/>
  <c r="M197" i="7"/>
  <c r="F201" i="7"/>
  <c r="N197" i="7"/>
  <c r="F193" i="7"/>
  <c r="P208" i="3"/>
  <c r="L208" i="3"/>
  <c r="G208" i="3"/>
  <c r="P204" i="3"/>
  <c r="L204" i="3"/>
  <c r="G204" i="3"/>
  <c r="O203" i="3"/>
  <c r="J203" i="3"/>
  <c r="K203" i="3" s="1"/>
  <c r="F203" i="3"/>
  <c r="N202" i="3"/>
  <c r="I202" i="3"/>
  <c r="P200" i="3"/>
  <c r="L200" i="3"/>
  <c r="G200" i="3"/>
  <c r="O199" i="3"/>
  <c r="J199" i="3"/>
  <c r="F199" i="3"/>
  <c r="Q197" i="3"/>
  <c r="M197" i="3"/>
  <c r="D197" i="3"/>
  <c r="E197" i="3" s="1"/>
  <c r="P196" i="3"/>
  <c r="L196" i="3"/>
  <c r="G196" i="3"/>
  <c r="I194" i="3"/>
  <c r="P192" i="3"/>
  <c r="L192" i="3"/>
  <c r="G192" i="3"/>
  <c r="O191" i="3"/>
  <c r="J191" i="3"/>
  <c r="F191" i="3"/>
  <c r="N190" i="3"/>
  <c r="I190" i="3"/>
  <c r="Q189" i="3"/>
  <c r="M189" i="3"/>
  <c r="D189" i="3"/>
  <c r="E189" i="3" s="1"/>
  <c r="C207" i="7"/>
  <c r="G207" i="7"/>
  <c r="K207" i="7"/>
  <c r="J207" i="12" s="1"/>
  <c r="O207" i="7"/>
  <c r="D207" i="7"/>
  <c r="E207" i="7"/>
  <c r="I207" i="7"/>
  <c r="I207" i="12" s="1"/>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K195" i="12" s="1"/>
  <c r="E195" i="7"/>
  <c r="I195" i="7"/>
  <c r="I195" i="12" s="1"/>
  <c r="M195" i="7"/>
  <c r="C191" i="7"/>
  <c r="G191" i="7"/>
  <c r="K191" i="7"/>
  <c r="J191" i="12" s="1"/>
  <c r="O191" i="7"/>
  <c r="D191" i="7"/>
  <c r="H191" i="7"/>
  <c r="H191" i="12" s="1"/>
  <c r="L191" i="7"/>
  <c r="K191" i="12" s="1"/>
  <c r="E191" i="7"/>
  <c r="I191" i="7"/>
  <c r="I191" i="12" s="1"/>
  <c r="M191" i="7"/>
  <c r="L212" i="7"/>
  <c r="H212" i="7"/>
  <c r="N211" i="7"/>
  <c r="J211" i="7"/>
  <c r="F211" i="7"/>
  <c r="L210" i="7"/>
  <c r="K210" i="12" s="1"/>
  <c r="H210" i="7"/>
  <c r="H210" i="12" s="1"/>
  <c r="D210" i="7"/>
  <c r="N209" i="7"/>
  <c r="J209" i="7"/>
  <c r="F209" i="7"/>
  <c r="B209" i="7"/>
  <c r="L208" i="7"/>
  <c r="H208" i="7"/>
  <c r="H208" i="12" s="1"/>
  <c r="B208" i="7"/>
  <c r="H207" i="7"/>
  <c r="F205" i="7"/>
  <c r="D204" i="7"/>
  <c r="B203" i="7"/>
  <c r="N201" i="7"/>
  <c r="L200" i="7"/>
  <c r="K200" i="12" s="1"/>
  <c r="J199" i="7"/>
  <c r="F197" i="7"/>
  <c r="D196" i="7"/>
  <c r="B195" i="7"/>
  <c r="N193" i="7"/>
  <c r="L192" i="7"/>
  <c r="K192" i="12" s="1"/>
  <c r="J191" i="7"/>
  <c r="Q202" i="3"/>
  <c r="M202" i="3"/>
  <c r="P197" i="3"/>
  <c r="L197" i="3"/>
  <c r="G197" i="3"/>
  <c r="Q194"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I194" i="12" s="1"/>
  <c r="M194" i="7"/>
  <c r="B194" i="7"/>
  <c r="F194" i="7"/>
  <c r="J194" i="7"/>
  <c r="N194" i="7"/>
  <c r="C194" i="7"/>
  <c r="G194" i="7"/>
  <c r="K194" i="7"/>
  <c r="J194" i="12" s="1"/>
  <c r="O194" i="7"/>
  <c r="E190" i="7"/>
  <c r="I190" i="7"/>
  <c r="I190" i="12" s="1"/>
  <c r="M190" i="7"/>
  <c r="B190" i="7"/>
  <c r="F190" i="7"/>
  <c r="J190" i="7"/>
  <c r="N190" i="7"/>
  <c r="C190" i="7"/>
  <c r="G190" i="7"/>
  <c r="K190" i="7"/>
  <c r="J190" i="12" s="1"/>
  <c r="O190" i="7"/>
  <c r="O210" i="7"/>
  <c r="K210" i="7"/>
  <c r="J210" i="12" s="1"/>
  <c r="G210" i="7"/>
  <c r="M209" i="7"/>
  <c r="I209" i="7"/>
  <c r="N207" i="7"/>
  <c r="F207" i="7"/>
  <c r="D206" i="7"/>
  <c r="B205" i="7"/>
  <c r="N203" i="7"/>
  <c r="L202" i="7"/>
  <c r="K202" i="12" s="1"/>
  <c r="J201" i="7"/>
  <c r="F199" i="7"/>
  <c r="D198" i="7"/>
  <c r="B197" i="7"/>
  <c r="N195" i="7"/>
  <c r="L194" i="7"/>
  <c r="K194" i="12" s="1"/>
  <c r="J193" i="7"/>
  <c r="F191" i="7"/>
  <c r="D190" i="7"/>
  <c r="B201" i="14"/>
  <c r="F201" i="14"/>
  <c r="C201" i="14"/>
  <c r="D201" i="14"/>
  <c r="D197" i="14"/>
  <c r="E197" i="14"/>
  <c r="B197" i="14"/>
  <c r="F197" i="14"/>
  <c r="B193" i="14"/>
  <c r="G193" i="14" s="1"/>
  <c r="F193" i="14"/>
  <c r="C193" i="14"/>
  <c r="D193" i="14"/>
  <c r="D189" i="14"/>
  <c r="E189" i="14"/>
  <c r="B189" i="14"/>
  <c r="F189" i="14"/>
  <c r="E201" i="14"/>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12" i="10"/>
  <c r="G208" i="10"/>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1" i="10"/>
  <c r="J211" i="10"/>
  <c r="F211" i="10"/>
  <c r="B211" i="10"/>
  <c r="L210" i="10"/>
  <c r="M205" i="10"/>
  <c r="I203" i="10"/>
  <c r="M197" i="10"/>
  <c r="I195" i="10"/>
  <c r="L210" i="11"/>
  <c r="L202" i="11"/>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1" i="10"/>
  <c r="I211" i="10"/>
  <c r="E211" i="10"/>
  <c r="O210" i="10"/>
  <c r="K210" i="10"/>
  <c r="C210" i="10"/>
  <c r="M207" i="10"/>
  <c r="K206" i="10"/>
  <c r="E203" i="10"/>
  <c r="C202" i="10"/>
  <c r="M199" i="10"/>
  <c r="K198" i="10"/>
  <c r="E195" i="10"/>
  <c r="C194" i="10"/>
  <c r="M191" i="10"/>
  <c r="K190" i="10"/>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1" i="10"/>
  <c r="H211" i="10"/>
  <c r="N210" i="10"/>
  <c r="J210" i="10"/>
  <c r="M209" i="10"/>
  <c r="I207" i="10"/>
  <c r="G206" i="10"/>
  <c r="E205" i="10"/>
  <c r="O202" i="10"/>
  <c r="M201" i="10"/>
  <c r="I199" i="10"/>
  <c r="G198" i="10"/>
  <c r="E197" i="10"/>
  <c r="O194" i="10"/>
  <c r="M193" i="10"/>
  <c r="I191" i="10"/>
  <c r="G190" i="10"/>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C209" i="12"/>
  <c r="G209" i="12"/>
  <c r="D209" i="12"/>
  <c r="E209" i="12"/>
  <c r="I209" i="12"/>
  <c r="B209" i="12"/>
  <c r="F209" i="12"/>
  <c r="C205" i="12"/>
  <c r="G205" i="12"/>
  <c r="D205" i="12"/>
  <c r="E205" i="12"/>
  <c r="F205" i="12"/>
  <c r="C201" i="12"/>
  <c r="G201" i="12"/>
  <c r="D201" i="12"/>
  <c r="E201" i="12"/>
  <c r="B201" i="12"/>
  <c r="F201" i="12"/>
  <c r="B197" i="12"/>
  <c r="F197" i="12"/>
  <c r="C197" i="12"/>
  <c r="D197" i="12"/>
  <c r="G197" i="12"/>
  <c r="E197" i="12"/>
  <c r="B193" i="12"/>
  <c r="F193" i="12"/>
  <c r="C193" i="12"/>
  <c r="G193" i="12"/>
  <c r="D193" i="12"/>
  <c r="E193" i="12"/>
  <c r="B189" i="12"/>
  <c r="F189" i="12"/>
  <c r="C189" i="12"/>
  <c r="G189" i="12"/>
  <c r="D189" i="12"/>
  <c r="E189" i="12"/>
  <c r="F207" i="13"/>
  <c r="G207" i="13"/>
  <c r="E207" i="13"/>
  <c r="F203" i="13"/>
  <c r="G203" i="13"/>
  <c r="E203" i="13"/>
  <c r="F199" i="13"/>
  <c r="G199" i="13"/>
  <c r="E199" i="13"/>
  <c r="F195" i="13"/>
  <c r="G195" i="13"/>
  <c r="E195" i="13"/>
  <c r="F191" i="13"/>
  <c r="G191" i="13"/>
  <c r="E191" i="13"/>
  <c r="F187" i="13"/>
  <c r="G187" i="13"/>
  <c r="E187" i="13"/>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E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G196" i="12"/>
  <c r="K196" i="12"/>
  <c r="D192" i="12"/>
  <c r="H192" i="12"/>
  <c r="E192" i="12"/>
  <c r="B192" i="12"/>
  <c r="F192" i="12"/>
  <c r="C192" i="12"/>
  <c r="G192" i="12"/>
  <c r="D188" i="12"/>
  <c r="E188" i="12"/>
  <c r="B188" i="12"/>
  <c r="F188" i="12"/>
  <c r="G188" i="12"/>
  <c r="C188" i="12"/>
  <c r="E210" i="13"/>
  <c r="F210" i="13"/>
  <c r="G210" i="13"/>
  <c r="E206" i="13"/>
  <c r="F206" i="13"/>
  <c r="G206" i="13"/>
  <c r="E202" i="13"/>
  <c r="F202" i="13"/>
  <c r="G202" i="13"/>
  <c r="E198" i="13"/>
  <c r="F198" i="13"/>
  <c r="G198" i="13"/>
  <c r="E194" i="13"/>
  <c r="F194" i="13"/>
  <c r="G194" i="13"/>
  <c r="E190" i="13"/>
  <c r="F190" i="13"/>
  <c r="G190" i="13"/>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C207" i="12"/>
  <c r="G207" i="12"/>
  <c r="K207" i="12"/>
  <c r="D207" i="12"/>
  <c r="H207" i="12"/>
  <c r="E207" i="12"/>
  <c r="B207" i="12"/>
  <c r="C203" i="12"/>
  <c r="G203" i="12"/>
  <c r="D203" i="12"/>
  <c r="E203" i="12"/>
  <c r="B203" i="12"/>
  <c r="F203" i="12"/>
  <c r="C199" i="12"/>
  <c r="G199" i="12"/>
  <c r="D199" i="12"/>
  <c r="E199" i="12"/>
  <c r="B199" i="12"/>
  <c r="B195" i="12"/>
  <c r="F195" i="12"/>
  <c r="C195" i="12"/>
  <c r="G195" i="12"/>
  <c r="D195" i="12"/>
  <c r="E195" i="12"/>
  <c r="B191" i="12"/>
  <c r="F191" i="12"/>
  <c r="C191" i="12"/>
  <c r="G191" i="12"/>
  <c r="D191" i="12"/>
  <c r="E191" i="12"/>
  <c r="F209" i="13"/>
  <c r="G209" i="13"/>
  <c r="E209" i="13"/>
  <c r="F205" i="13"/>
  <c r="G205" i="13"/>
  <c r="E205" i="13"/>
  <c r="F201" i="13"/>
  <c r="G201" i="13"/>
  <c r="E201" i="13"/>
  <c r="F197" i="13"/>
  <c r="G197" i="13"/>
  <c r="F193" i="13"/>
  <c r="G193" i="13"/>
  <c r="E193" i="13"/>
  <c r="F189" i="13"/>
  <c r="G189" i="13"/>
  <c r="E189" i="13"/>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E210" i="12"/>
  <c r="I210" i="12"/>
  <c r="B210" i="12"/>
  <c r="F210" i="12"/>
  <c r="C210" i="12"/>
  <c r="G210" i="12"/>
  <c r="D210" i="12"/>
  <c r="E206" i="12"/>
  <c r="B206" i="12"/>
  <c r="F206" i="12"/>
  <c r="C206" i="12"/>
  <c r="G206" i="12"/>
  <c r="H206" i="12"/>
  <c r="E202" i="12"/>
  <c r="B202" i="12"/>
  <c r="F202" i="12"/>
  <c r="C202" i="12"/>
  <c r="G202" i="12"/>
  <c r="D202" i="12"/>
  <c r="E198" i="12"/>
  <c r="B198" i="12"/>
  <c r="F198" i="12"/>
  <c r="C198" i="12"/>
  <c r="G198" i="12"/>
  <c r="H198" i="12"/>
  <c r="D194" i="12"/>
  <c r="E194" i="12"/>
  <c r="B194" i="12"/>
  <c r="F194" i="12"/>
  <c r="C194" i="12"/>
  <c r="G194" i="12"/>
  <c r="D190" i="12"/>
  <c r="H190" i="12"/>
  <c r="E190" i="12"/>
  <c r="B190" i="12"/>
  <c r="F190" i="12"/>
  <c r="C190" i="12"/>
  <c r="G190" i="12"/>
  <c r="E208" i="13"/>
  <c r="F208" i="13"/>
  <c r="G208" i="13"/>
  <c r="E204" i="13"/>
  <c r="F204" i="13"/>
  <c r="G204" i="13"/>
  <c r="E200" i="13"/>
  <c r="F200" i="13"/>
  <c r="G200" i="13"/>
  <c r="E196" i="13"/>
  <c r="F196" i="13"/>
  <c r="G196" i="13"/>
  <c r="E192" i="13"/>
  <c r="F192" i="13"/>
  <c r="G192" i="13"/>
  <c r="E188" i="13"/>
  <c r="F188" i="13"/>
  <c r="G188" i="13"/>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O213" i="12"/>
  <c r="L213" i="12"/>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N213" i="12"/>
  <c r="M212" i="12"/>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O212" i="12"/>
  <c r="L212" i="12"/>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M213" i="12"/>
  <c r="N212" i="12"/>
  <c r="M211" i="6"/>
  <c r="I211" i="6"/>
  <c r="M211" i="12" s="1"/>
  <c r="Q213" i="2"/>
  <c r="D205" i="2"/>
  <c r="I197" i="2"/>
  <c r="H208" i="2"/>
  <c r="C212" i="2"/>
  <c r="R212" i="2"/>
  <c r="I204" i="2"/>
  <c r="L204" i="2"/>
  <c r="M200" i="2"/>
  <c r="P200" i="2"/>
  <c r="C196" i="2"/>
  <c r="D196" i="2"/>
  <c r="R196" i="2"/>
  <c r="B200" i="2"/>
  <c r="D212" i="2"/>
  <c r="E211" i="2"/>
  <c r="P207" i="2"/>
  <c r="L199" i="2"/>
  <c r="S209" i="2"/>
  <c r="H207" i="2"/>
  <c r="R203" i="2"/>
  <c r="C199" i="2"/>
  <c r="E195" i="2"/>
  <c r="D206" i="2"/>
  <c r="L206" i="2"/>
  <c r="R206" i="2"/>
  <c r="E206" i="2"/>
  <c r="M206" i="2"/>
  <c r="S206" i="2"/>
  <c r="B194" i="2"/>
  <c r="H194" i="2"/>
  <c r="P194" i="2"/>
  <c r="C194" i="2"/>
  <c r="I194" i="2"/>
  <c r="Q194" i="2"/>
  <c r="C206" i="2"/>
  <c r="S202"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H214" i="2"/>
  <c r="P213" i="2"/>
  <c r="H213" i="2"/>
  <c r="Q212" i="2"/>
  <c r="M211" i="2"/>
  <c r="D211" i="2"/>
  <c r="R209" i="2"/>
  <c r="S208" i="2"/>
  <c r="P206" i="2"/>
  <c r="B206" i="2"/>
  <c r="L205" i="2"/>
  <c r="C205" i="2"/>
  <c r="Q203" i="2"/>
  <c r="I203" i="2"/>
  <c r="R202" i="2"/>
  <c r="D202" i="2"/>
  <c r="E201" i="2"/>
  <c r="S199" i="2"/>
  <c r="B199" i="2"/>
  <c r="H198" i="2"/>
  <c r="P197" i="2"/>
  <c r="H197" i="2"/>
  <c r="Q196" i="2"/>
  <c r="M195" i="2"/>
  <c r="D195" i="2"/>
  <c r="L194" i="2"/>
  <c r="B210" i="2"/>
  <c r="H210" i="2"/>
  <c r="P210" i="2"/>
  <c r="C210" i="2"/>
  <c r="I210" i="2"/>
  <c r="Q210" i="2"/>
  <c r="Q20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Q214" i="2"/>
  <c r="M213" i="2"/>
  <c r="D213" i="2"/>
  <c r="L212" i="2"/>
  <c r="S210" i="2"/>
  <c r="E210" i="2"/>
  <c r="P208" i="2"/>
  <c r="B208" i="2"/>
  <c r="L207" i="2"/>
  <c r="I206" i="2"/>
  <c r="Q205" i="2"/>
  <c r="I205" i="2"/>
  <c r="R204" i="2"/>
  <c r="D204" i="2"/>
  <c r="S201" i="2"/>
  <c r="B201" i="2"/>
  <c r="H200" i="2"/>
  <c r="P199" i="2"/>
  <c r="Q198" i="2"/>
  <c r="M197" i="2"/>
  <c r="D197" i="2"/>
  <c r="L196" i="2"/>
  <c r="S194" i="2"/>
  <c r="E194" i="2"/>
  <c r="D214" i="2"/>
  <c r="L214" i="2"/>
  <c r="R214" i="2"/>
  <c r="E214" i="2"/>
  <c r="M214" i="2"/>
  <c r="S214" i="2"/>
  <c r="B202" i="2"/>
  <c r="H202" i="2"/>
  <c r="P202" i="2"/>
  <c r="C202" i="2"/>
  <c r="I202" i="2"/>
  <c r="Q202" i="2"/>
  <c r="D198" i="2"/>
  <c r="L198" i="2"/>
  <c r="R198" i="2"/>
  <c r="E198" i="2"/>
  <c r="M198" i="2"/>
  <c r="S198" i="2"/>
  <c r="I214" i="2"/>
  <c r="M210" i="2"/>
  <c r="E202" i="2"/>
  <c r="I198" i="2"/>
  <c r="M194" i="2"/>
  <c r="B211" i="2"/>
  <c r="S211" i="2"/>
  <c r="C211" i="2"/>
  <c r="H211" i="2"/>
  <c r="L211" i="2"/>
  <c r="P211" i="2"/>
  <c r="D207" i="2"/>
  <c r="I207" i="2"/>
  <c r="M207" i="2"/>
  <c r="Q207" i="2"/>
  <c r="E207" i="2"/>
  <c r="R207" i="2"/>
  <c r="B203" i="2"/>
  <c r="S203" i="2"/>
  <c r="C203" i="2"/>
  <c r="H203" i="2"/>
  <c r="L203" i="2"/>
  <c r="P203" i="2"/>
  <c r="D199" i="2"/>
  <c r="I199" i="2"/>
  <c r="M199" i="2"/>
  <c r="Q199" i="2"/>
  <c r="E199" i="2"/>
  <c r="R199" i="2"/>
  <c r="B195" i="2"/>
  <c r="S195" i="2"/>
  <c r="C195" i="2"/>
  <c r="H195" i="2"/>
  <c r="L195" i="2"/>
  <c r="P195"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N205" i="2" l="1"/>
  <c r="O205" i="2" s="1"/>
  <c r="J213" i="2"/>
  <c r="K213" i="2" s="1"/>
  <c r="M198" i="3"/>
  <c r="L198" i="3"/>
  <c r="Q203" i="3"/>
  <c r="B203" i="3"/>
  <c r="Q198" i="3"/>
  <c r="F198" i="3"/>
  <c r="H198" i="3" s="1"/>
  <c r="N198" i="3"/>
  <c r="K210" i="3"/>
  <c r="B201" i="3"/>
  <c r="N196" i="2"/>
  <c r="O196" i="2" s="1"/>
  <c r="Q201" i="3"/>
  <c r="F209" i="3"/>
  <c r="P205" i="3"/>
  <c r="J207" i="3"/>
  <c r="K207" i="3" s="1"/>
  <c r="D209" i="3"/>
  <c r="E209" i="3" s="1"/>
  <c r="O205" i="3"/>
  <c r="G201" i="3"/>
  <c r="G209" i="3"/>
  <c r="D205" i="3"/>
  <c r="E205" i="3" s="1"/>
  <c r="M209" i="3"/>
  <c r="F201" i="3"/>
  <c r="H201" i="3" s="1"/>
  <c r="O209" i="3"/>
  <c r="L195" i="3"/>
  <c r="N205" i="3"/>
  <c r="I209" i="3"/>
  <c r="J201" i="3"/>
  <c r="H210" i="3"/>
  <c r="L201" i="3"/>
  <c r="G205" i="3"/>
  <c r="L209" i="3"/>
  <c r="D201" i="3"/>
  <c r="E201" i="3" s="1"/>
  <c r="M205" i="3"/>
  <c r="Q209" i="3"/>
  <c r="O201" i="3"/>
  <c r="I201" i="3"/>
  <c r="N209" i="3"/>
  <c r="F205" i="3"/>
  <c r="H205" i="3" s="1"/>
  <c r="F198" i="2"/>
  <c r="N210" i="2"/>
  <c r="O210" i="2" s="1"/>
  <c r="P201" i="3"/>
  <c r="L205" i="3"/>
  <c r="P209" i="3"/>
  <c r="M201" i="3"/>
  <c r="Q205" i="3"/>
  <c r="B209" i="3"/>
  <c r="J209" i="3"/>
  <c r="E202" i="3"/>
  <c r="F205" i="2"/>
  <c r="L193" i="3"/>
  <c r="N194" i="3"/>
  <c r="I193" i="3"/>
  <c r="F206" i="3"/>
  <c r="B195" i="3"/>
  <c r="P193" i="3"/>
  <c r="M206" i="3"/>
  <c r="O195" i="3"/>
  <c r="I206" i="3"/>
  <c r="B194" i="3"/>
  <c r="O206" i="3"/>
  <c r="D195" i="3"/>
  <c r="N207" i="3"/>
  <c r="J197" i="2"/>
  <c r="K197" i="2" s="1"/>
  <c r="M194" i="3"/>
  <c r="Q206" i="3"/>
  <c r="D193" i="3"/>
  <c r="E193" i="3" s="1"/>
  <c r="N206" i="3"/>
  <c r="O193" i="3"/>
  <c r="J194" i="3"/>
  <c r="K194" i="3" s="1"/>
  <c r="P207" i="3"/>
  <c r="L206" i="3"/>
  <c r="D206" i="3"/>
  <c r="M191" i="3"/>
  <c r="F194" i="3"/>
  <c r="B206" i="3"/>
  <c r="B205" i="3"/>
  <c r="B204" i="3"/>
  <c r="J204" i="3"/>
  <c r="D194" i="3"/>
  <c r="E194" i="3" s="1"/>
  <c r="C206" i="3"/>
  <c r="I191" i="3"/>
  <c r="K191" i="3" s="1"/>
  <c r="B191" i="3"/>
  <c r="N203" i="3"/>
  <c r="I204" i="3"/>
  <c r="Q199" i="3"/>
  <c r="D203" i="3"/>
  <c r="E203" i="3" s="1"/>
  <c r="P191" i="3"/>
  <c r="O194" i="3"/>
  <c r="C199" i="3"/>
  <c r="E199" i="3" s="1"/>
  <c r="N201" i="3"/>
  <c r="P203" i="3"/>
  <c r="I205" i="3"/>
  <c r="J206" i="3"/>
  <c r="J205" i="3"/>
  <c r="P194" i="3"/>
  <c r="F204" i="3"/>
  <c r="H204" i="3" s="1"/>
  <c r="M195" i="3"/>
  <c r="Q191" i="3"/>
  <c r="M199" i="3"/>
  <c r="P198" i="3"/>
  <c r="G206" i="3"/>
  <c r="M203" i="3"/>
  <c r="G194" i="3"/>
  <c r="N199" i="3"/>
  <c r="D191" i="3"/>
  <c r="E191" i="3" s="1"/>
  <c r="B199" i="3"/>
  <c r="L194" i="3"/>
  <c r="J199" i="2"/>
  <c r="K199" i="2" s="1"/>
  <c r="F214" i="2"/>
  <c r="O207" i="3"/>
  <c r="B193" i="3"/>
  <c r="N193" i="3"/>
  <c r="P195" i="3"/>
  <c r="J198" i="3"/>
  <c r="C207" i="3"/>
  <c r="D198" i="3"/>
  <c r="Q207" i="3"/>
  <c r="Q195" i="3"/>
  <c r="M193" i="3"/>
  <c r="F195" i="3"/>
  <c r="F193" i="3"/>
  <c r="H193" i="3" s="1"/>
  <c r="C195" i="3"/>
  <c r="O198" i="3"/>
  <c r="G207" i="3"/>
  <c r="C198" i="3"/>
  <c r="D207" i="3"/>
  <c r="Q193" i="3"/>
  <c r="J195" i="3"/>
  <c r="I198" i="3"/>
  <c r="F207" i="3"/>
  <c r="J193" i="3"/>
  <c r="G195" i="3"/>
  <c r="B198" i="3"/>
  <c r="L207" i="3"/>
  <c r="I195" i="3"/>
  <c r="B207" i="3"/>
  <c r="M207" i="3"/>
  <c r="H191" i="3"/>
  <c r="H199" i="3"/>
  <c r="J207" i="2"/>
  <c r="K207" i="2" s="1"/>
  <c r="N199" i="2"/>
  <c r="O199" i="2" s="1"/>
  <c r="H203" i="3"/>
  <c r="F213" i="2"/>
  <c r="F195" i="2"/>
  <c r="F200" i="2"/>
  <c r="E190" i="3"/>
  <c r="F208" i="2"/>
  <c r="J204" i="2"/>
  <c r="K204" i="2" s="1"/>
  <c r="K208" i="3"/>
  <c r="K192" i="3"/>
  <c r="N206" i="2"/>
  <c r="O206" i="2" s="1"/>
  <c r="G200" i="14"/>
  <c r="H200" i="3"/>
  <c r="F211" i="2"/>
  <c r="G197" i="2"/>
  <c r="J200" i="2"/>
  <c r="K200" i="2" s="1"/>
  <c r="H208" i="3"/>
  <c r="H202" i="3"/>
  <c r="K190" i="3"/>
  <c r="H196" i="3"/>
  <c r="E204" i="3"/>
  <c r="G188" i="14"/>
  <c r="G204" i="14"/>
  <c r="H192" i="3"/>
  <c r="G195" i="14"/>
  <c r="E196" i="3"/>
  <c r="G192" i="14"/>
  <c r="E200" i="3"/>
  <c r="K199" i="3"/>
  <c r="K202" i="3"/>
  <c r="J208" i="2"/>
  <c r="K208" i="2" s="1"/>
  <c r="G196" i="14"/>
  <c r="G203" i="14"/>
  <c r="G201" i="14"/>
  <c r="E192" i="3"/>
  <c r="E208" i="3"/>
  <c r="K189" i="3"/>
  <c r="K197" i="3"/>
  <c r="H189" i="3"/>
  <c r="F210" i="2"/>
  <c r="J203" i="2"/>
  <c r="K203" i="2" s="1"/>
  <c r="G213" i="2"/>
  <c r="N200" i="2"/>
  <c r="O200" i="2" s="1"/>
  <c r="G206" i="2"/>
  <c r="G202" i="14"/>
  <c r="G189" i="14"/>
  <c r="G197" i="14"/>
  <c r="H197" i="3"/>
  <c r="J210" i="2"/>
  <c r="K210" i="2" s="1"/>
  <c r="G202" i="2"/>
  <c r="F212" i="2"/>
  <c r="G205" i="2"/>
  <c r="G194" i="14"/>
  <c r="F194" i="2"/>
  <c r="J205" i="2"/>
  <c r="K205" i="2" s="1"/>
  <c r="F199" i="2"/>
  <c r="N207" i="2"/>
  <c r="O207" i="2" s="1"/>
  <c r="G198" i="2"/>
  <c r="G212" i="2"/>
  <c r="N197" i="2"/>
  <c r="O197" i="2" s="1"/>
  <c r="G195" i="2"/>
  <c r="F196" i="2"/>
  <c r="G214" i="2"/>
  <c r="F197" i="2"/>
  <c r="G207" i="2"/>
  <c r="J202" i="2"/>
  <c r="K202" i="2" s="1"/>
  <c r="G194" i="2"/>
  <c r="G211" i="2"/>
  <c r="J198" i="2"/>
  <c r="K198" i="2" s="1"/>
  <c r="G196" i="2"/>
  <c r="G210" i="2"/>
  <c r="N195" i="2"/>
  <c r="O195" i="2" s="1"/>
  <c r="N198" i="2"/>
  <c r="O198" i="2" s="1"/>
  <c r="N214" i="2"/>
  <c r="O214" i="2" s="1"/>
  <c r="F204" i="2"/>
  <c r="N204" i="2"/>
  <c r="O204" i="2" s="1"/>
  <c r="J196" i="2"/>
  <c r="K196" i="2" s="1"/>
  <c r="J212" i="2"/>
  <c r="K212" i="2" s="1"/>
  <c r="F202" i="2"/>
  <c r="N201" i="2"/>
  <c r="O201" i="2" s="1"/>
  <c r="N209" i="2"/>
  <c r="O209" i="2" s="1"/>
  <c r="G199" i="2"/>
  <c r="N213" i="2"/>
  <c r="O213" i="2" s="1"/>
  <c r="J206" i="2"/>
  <c r="K206" i="2" s="1"/>
  <c r="N203" i="2"/>
  <c r="O203" i="2" s="1"/>
  <c r="N211" i="2"/>
  <c r="O211" i="2" s="1"/>
  <c r="N212" i="2"/>
  <c r="O212" i="2" s="1"/>
  <c r="J201" i="2"/>
  <c r="K201" i="2" s="1"/>
  <c r="J209" i="2"/>
  <c r="K209" i="2" s="1"/>
  <c r="F206" i="2"/>
  <c r="F203" i="2"/>
  <c r="J214" i="2"/>
  <c r="K214" i="2" s="1"/>
  <c r="G204" i="2"/>
  <c r="G200" i="2"/>
  <c r="G208" i="2"/>
  <c r="J195" i="2"/>
  <c r="K195" i="2" s="1"/>
  <c r="J211" i="2"/>
  <c r="K211" i="2" s="1"/>
  <c r="N208" i="2"/>
  <c r="O208" i="2" s="1"/>
  <c r="N194" i="2"/>
  <c r="O194" i="2" s="1"/>
  <c r="G201" i="2"/>
  <c r="F201" i="2"/>
  <c r="G209" i="2"/>
  <c r="F209" i="2"/>
  <c r="J194" i="2"/>
  <c r="K194" i="2" s="1"/>
  <c r="F207" i="2"/>
  <c r="F213" i="18"/>
  <c r="K206" i="3" l="1"/>
  <c r="K209" i="3"/>
  <c r="H194" i="3"/>
  <c r="K201" i="3"/>
  <c r="H209" i="3"/>
  <c r="K204" i="3"/>
  <c r="H206" i="3"/>
  <c r="K198" i="3"/>
  <c r="K195" i="3"/>
  <c r="K193" i="3"/>
  <c r="E195" i="3"/>
  <c r="E198" i="3"/>
  <c r="H195" i="3"/>
  <c r="E207" i="3"/>
  <c r="K205" i="3"/>
  <c r="H207" i="3"/>
  <c r="E206" i="3"/>
  <c r="F184" i="18"/>
  <c r="F127" i="18"/>
  <c r="F191" i="18"/>
  <c r="F50" i="18"/>
  <c r="F152" i="18"/>
  <c r="F178" i="18"/>
  <c r="F9" i="18"/>
  <c r="F153" i="18"/>
  <c r="F36" i="18"/>
  <c r="F185" i="18"/>
  <c r="F113" i="18"/>
  <c r="F20" i="18"/>
  <c r="F31" i="18"/>
  <c r="F18" i="18"/>
  <c r="F190" i="18"/>
  <c r="F194" i="18"/>
  <c r="F84" i="18"/>
  <c r="F128" i="18"/>
  <c r="F195" i="18"/>
  <c r="F122" i="18"/>
  <c r="F97" i="18"/>
  <c r="F47" i="18"/>
  <c r="F110" i="18"/>
  <c r="F60" i="18"/>
  <c r="F211" i="18"/>
  <c r="F49" i="18"/>
  <c r="F59" i="18"/>
  <c r="F5" i="18"/>
  <c r="F160" i="18"/>
  <c r="F182" i="18"/>
  <c r="F14" i="18"/>
  <c r="F28" i="18"/>
  <c r="F116" i="18"/>
  <c r="F44" i="18"/>
  <c r="F101" i="18"/>
  <c r="F78" i="18"/>
  <c r="F215" i="18"/>
  <c r="F139" i="18"/>
  <c r="F174" i="18"/>
  <c r="F79" i="18"/>
  <c r="F165" i="18"/>
  <c r="F119" i="18"/>
  <c r="F131" i="18"/>
  <c r="F115" i="18"/>
  <c r="F37" i="18"/>
  <c r="F27" i="18"/>
  <c r="F151" i="18"/>
  <c r="F73" i="18"/>
  <c r="F7" i="18"/>
  <c r="F95" i="18"/>
  <c r="F157" i="18"/>
  <c r="F142" i="18"/>
  <c r="F68" i="18"/>
  <c r="F170" i="18"/>
  <c r="F186" i="18"/>
  <c r="F63" i="18"/>
  <c r="F155" i="18"/>
  <c r="F136" i="18"/>
  <c r="F132" i="18"/>
  <c r="F217" i="18"/>
  <c r="F65" i="18"/>
  <c r="F135" i="18"/>
  <c r="F34" i="18"/>
  <c r="F111" i="18"/>
  <c r="F77" i="18"/>
  <c r="F40" i="18"/>
  <c r="F181" i="18"/>
  <c r="F176" i="18"/>
  <c r="F10" i="18"/>
  <c r="F53" i="18"/>
  <c r="F66" i="18"/>
  <c r="F51" i="18"/>
  <c r="F90" i="18"/>
  <c r="F201" i="18"/>
  <c r="F209" i="18"/>
  <c r="F58" i="18"/>
  <c r="F61" i="18"/>
  <c r="F208" i="18"/>
  <c r="F108" i="18"/>
  <c r="F205" i="18"/>
  <c r="F82" i="18"/>
  <c r="F123" i="18"/>
  <c r="F118" i="18"/>
  <c r="F76" i="18"/>
  <c r="F93" i="18"/>
  <c r="F54" i="18"/>
  <c r="F126" i="18"/>
  <c r="F193" i="18"/>
  <c r="F114" i="18"/>
  <c r="F177" i="18"/>
  <c r="F130" i="18"/>
  <c r="F137" i="18"/>
  <c r="F144" i="18"/>
  <c r="F197" i="18"/>
  <c r="F48" i="18"/>
  <c r="F117" i="18"/>
  <c r="F89" i="18"/>
  <c r="F161" i="18"/>
  <c r="F67" i="18"/>
  <c r="F21" i="18"/>
  <c r="F172" i="18"/>
  <c r="F187" i="18"/>
  <c r="F180" i="18"/>
  <c r="F30" i="18"/>
  <c r="F148" i="18"/>
  <c r="F210" i="18"/>
  <c r="F216" i="18"/>
  <c r="F169" i="18"/>
  <c r="F87" i="18"/>
  <c r="F173" i="18"/>
  <c r="F69" i="18"/>
  <c r="F103" i="18"/>
  <c r="F8" i="18"/>
  <c r="F158" i="18"/>
  <c r="F107" i="18"/>
  <c r="F140" i="18"/>
  <c r="F133" i="18"/>
  <c r="F42" i="18"/>
  <c r="F120" i="18"/>
  <c r="F203" i="18"/>
  <c r="F188" i="18"/>
  <c r="F64" i="18"/>
  <c r="F46" i="18"/>
  <c r="F207" i="18"/>
  <c r="F104" i="18"/>
  <c r="F106" i="18"/>
  <c r="F204" i="18"/>
  <c r="F125" i="18"/>
  <c r="F62" i="18"/>
  <c r="F212" i="18"/>
  <c r="F75" i="18"/>
  <c r="F17" i="18"/>
  <c r="F145" i="18"/>
  <c r="F85" i="18"/>
  <c r="F164" i="18"/>
  <c r="F70" i="18"/>
  <c r="F134" i="18"/>
  <c r="F179" i="18"/>
  <c r="F91" i="18"/>
  <c r="F198" i="18"/>
  <c r="F214" i="18"/>
  <c r="F12" i="18"/>
  <c r="F163" i="18"/>
  <c r="F83" i="18"/>
  <c r="F200" i="18"/>
  <c r="F100" i="18"/>
  <c r="F192" i="18"/>
  <c r="F141" i="18"/>
  <c r="F13" i="18"/>
  <c r="F26" i="18"/>
  <c r="F202" i="18"/>
  <c r="F138" i="18"/>
  <c r="F105" i="18"/>
  <c r="F167" i="18"/>
  <c r="F41" i="18"/>
  <c r="F189" i="18"/>
  <c r="F159" i="18"/>
  <c r="F96" i="18"/>
  <c r="F102" i="18"/>
  <c r="F11" i="18"/>
  <c r="F166" i="18"/>
  <c r="F29" i="18"/>
  <c r="F23" i="18"/>
  <c r="F33" i="18"/>
  <c r="F81" i="18"/>
  <c r="F24" i="18"/>
  <c r="F143" i="18"/>
  <c r="F149" i="18"/>
  <c r="F52" i="18"/>
  <c r="F156" i="18"/>
  <c r="F147" i="18"/>
  <c r="F99" i="18"/>
  <c r="F162" i="18"/>
  <c r="F56" i="18"/>
  <c r="F71" i="18"/>
  <c r="F88" i="18"/>
  <c r="F39" i="18"/>
  <c r="F109" i="18"/>
  <c r="F72" i="18"/>
  <c r="F129" i="18"/>
  <c r="F154" i="18"/>
  <c r="F22" i="18"/>
  <c r="F19" i="18"/>
  <c r="F146" i="18"/>
  <c r="F121" i="18"/>
  <c r="F38" i="18"/>
  <c r="F92" i="18"/>
  <c r="F15" i="18"/>
  <c r="F45" i="18"/>
  <c r="F196" i="18"/>
  <c r="F124" i="18"/>
  <c r="F74" i="18"/>
  <c r="F57" i="18"/>
  <c r="E71"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47" i="18"/>
  <c r="E58" i="18"/>
  <c r="E37" i="18"/>
  <c r="E18" i="18"/>
  <c r="E22" i="18"/>
  <c r="E111" i="18"/>
  <c r="E156" i="18"/>
  <c r="E170" i="18"/>
  <c r="E183" i="18"/>
  <c r="E132" i="18"/>
  <c r="E51" i="18"/>
  <c r="E72" i="18"/>
  <c r="E66" i="18"/>
  <c r="E41" i="18"/>
  <c r="E144" i="18"/>
  <c r="E195" i="18"/>
  <c r="E74" i="18"/>
  <c r="E107" i="18"/>
  <c r="E162" i="18"/>
  <c r="E165" i="18"/>
  <c r="E184" i="18"/>
  <c r="E147" i="18"/>
  <c r="E189" i="18"/>
  <c r="E85" i="18"/>
  <c r="E83" i="18"/>
  <c r="E148" i="18"/>
  <c r="E23" i="18"/>
  <c r="E16" i="18"/>
  <c r="E135" i="18"/>
  <c r="E133" i="18"/>
  <c r="E152" i="18"/>
  <c r="E114" i="18"/>
  <c r="E46" i="18"/>
  <c r="E63" i="18"/>
  <c r="E137" i="18"/>
  <c r="E57" i="18"/>
  <c r="E8" i="18"/>
  <c r="E155" i="18"/>
  <c r="E180" i="18"/>
  <c r="E215" i="18"/>
  <c r="E52" i="18"/>
  <c r="E119" i="18"/>
  <c r="E211" i="18"/>
  <c r="E131" i="18"/>
  <c r="E115" i="18"/>
  <c r="E40" i="18"/>
  <c r="E27" i="18"/>
  <c r="E88" i="18"/>
  <c r="E87" i="18"/>
  <c r="E24" i="18"/>
  <c r="E67" i="18"/>
  <c r="E187" i="18"/>
  <c r="E82" i="18"/>
  <c r="E169" i="18"/>
  <c r="E216" i="18"/>
  <c r="E166" i="18"/>
  <c r="E160" i="18"/>
  <c r="E62" i="18"/>
  <c r="E123" i="18"/>
  <c r="E99" i="18"/>
  <c r="E93" i="18"/>
  <c r="E205" i="18"/>
  <c r="E38" i="18"/>
  <c r="E134" i="18"/>
  <c r="E157" i="18"/>
  <c r="E68" i="18"/>
  <c r="E145" i="18"/>
  <c r="E59" i="18"/>
  <c r="E100" i="18"/>
  <c r="E143" i="18"/>
  <c r="E178" i="18"/>
  <c r="E109" i="18"/>
  <c r="E39" i="18"/>
  <c r="E122" i="18"/>
  <c r="E30" i="18"/>
  <c r="E61" i="18"/>
  <c r="E34" i="18"/>
  <c r="E116" i="18"/>
  <c r="E15" i="18"/>
  <c r="E186" i="18"/>
  <c r="E48" i="18"/>
  <c r="E185" i="18"/>
  <c r="E49" i="18"/>
  <c r="E158" i="18"/>
  <c r="E28" i="18"/>
  <c r="E78" i="18"/>
  <c r="E141" i="18"/>
  <c r="E161" i="18"/>
  <c r="E77" i="18"/>
  <c r="E54" i="18"/>
  <c r="E124" i="18"/>
  <c r="E10" i="18"/>
  <c r="E136" i="18"/>
  <c r="E204" i="18"/>
  <c r="E117" i="18"/>
  <c r="E125" i="18"/>
  <c r="E154" i="18"/>
  <c r="E14" i="18"/>
  <c r="E101" i="18"/>
  <c r="E193" i="18"/>
  <c r="E191" i="18"/>
  <c r="E202" i="18"/>
  <c r="E64" i="18"/>
  <c r="E181" i="18"/>
  <c r="E11" i="18"/>
  <c r="E44" i="18"/>
  <c r="E159" i="18"/>
  <c r="E84" i="18"/>
  <c r="E151" i="18"/>
  <c r="E69" i="18"/>
  <c r="E176" i="18"/>
  <c r="E126" i="18"/>
  <c r="E105" i="18"/>
  <c r="E103" i="18"/>
  <c r="E50" i="18"/>
  <c r="E56" i="18"/>
  <c r="E53" i="18"/>
  <c r="E60" i="18"/>
  <c r="E146" i="18"/>
  <c r="E130" i="18"/>
  <c r="E203" i="18"/>
  <c r="E20" i="18"/>
  <c r="E192" i="18"/>
  <c r="E210" i="18"/>
  <c r="E92" i="18"/>
  <c r="E21" i="18"/>
  <c r="E167" i="18"/>
  <c r="E208" i="18"/>
  <c r="E76" i="18"/>
  <c r="E25" i="18"/>
  <c r="F25" i="18"/>
  <c r="E177" i="18"/>
  <c r="E127" i="18"/>
  <c r="E140" i="18"/>
  <c r="E201" i="18"/>
  <c r="E45" i="18"/>
  <c r="E113" i="18"/>
  <c r="E90" i="18"/>
  <c r="E106" i="18"/>
  <c r="E164" i="18"/>
  <c r="E12" i="18"/>
  <c r="E188" i="18"/>
  <c r="E207" i="18"/>
  <c r="E198" i="18"/>
  <c r="E65" i="18"/>
  <c r="E217" i="18"/>
  <c r="E104" i="18"/>
  <c r="E163" i="18"/>
  <c r="E197" i="18"/>
  <c r="E108" i="18"/>
  <c r="E17" i="18"/>
  <c r="E212" i="18"/>
  <c r="E75" i="18"/>
  <c r="E209" i="18"/>
  <c r="E172" i="18"/>
  <c r="E5" i="18"/>
  <c r="E13" i="18"/>
  <c r="E128" i="18"/>
  <c r="E121" i="18"/>
  <c r="E29" i="18"/>
  <c r="E7" i="18"/>
  <c r="E196" i="18"/>
  <c r="E79" i="18"/>
  <c r="E138" i="18"/>
  <c r="E70" i="18"/>
  <c r="E194" i="18"/>
  <c r="E89" i="18"/>
  <c r="E174" i="18"/>
  <c r="E91" i="18"/>
  <c r="E36" i="18"/>
  <c r="E9" i="18"/>
  <c r="E97" i="18"/>
  <c r="E179" i="18"/>
  <c r="E182" i="18"/>
  <c r="E31" i="18"/>
  <c r="E214" i="18"/>
  <c r="E139" i="18"/>
  <c r="E153" i="18"/>
  <c r="E102" i="18"/>
  <c r="E142" i="18"/>
  <c r="E96" i="18"/>
  <c r="E42" i="18"/>
  <c r="E118" i="18"/>
  <c r="E149" i="18"/>
  <c r="E129" i="18"/>
  <c r="E26" i="18"/>
  <c r="E73" i="18"/>
  <c r="E35"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E19" i="13"/>
  <c r="E20" i="13"/>
  <c r="E21" i="13"/>
  <c r="F35" i="13"/>
  <c r="E37" i="13"/>
  <c r="F43" i="13"/>
  <c r="E49" i="13"/>
  <c r="E54" i="13"/>
  <c r="G58" i="13"/>
  <c r="F59" i="13"/>
  <c r="E61" i="13"/>
  <c r="F63" i="13"/>
  <c r="F64" i="13"/>
  <c r="G72" i="13"/>
  <c r="E73" i="13"/>
  <c r="G74" i="13"/>
  <c r="F76" i="13"/>
  <c r="F77" i="13"/>
  <c r="E78" i="13"/>
  <c r="E89" i="13"/>
  <c r="E93" i="13"/>
  <c r="F102" i="13"/>
  <c r="F106" i="13"/>
  <c r="E114" i="13"/>
  <c r="G123" i="13"/>
  <c r="F128" i="13"/>
  <c r="E133" i="13"/>
  <c r="F141" i="13"/>
  <c r="E142" i="13"/>
  <c r="E147" i="13"/>
  <c r="F148" i="13"/>
  <c r="E152" i="13"/>
  <c r="F153" i="13"/>
  <c r="E163" i="13"/>
  <c r="F164" i="13"/>
  <c r="F165" i="13"/>
  <c r="E170" i="13"/>
  <c r="G171" i="13"/>
  <c r="F172" i="13"/>
  <c r="G173" i="13"/>
  <c r="E174" i="13"/>
  <c r="G177" i="13"/>
  <c r="E180" i="13"/>
  <c r="F184"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I4" i="21" s="1"/>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149" i="2"/>
  <c r="I150" i="2"/>
  <c r="I151" i="2"/>
  <c r="Q152" i="2"/>
  <c r="C154" i="2"/>
  <c r="E155" i="2"/>
  <c r="J3" i="21" s="1"/>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56" i="2"/>
  <c r="C257" i="2"/>
  <c r="D257" i="2"/>
  <c r="F257" i="2"/>
  <c r="G257" i="2"/>
  <c r="C258" i="2"/>
  <c r="D258" i="2"/>
  <c r="F258" i="2"/>
  <c r="G258" i="2"/>
  <c r="C259" i="2"/>
  <c r="D259" i="2"/>
  <c r="F259" i="2"/>
  <c r="G259" i="2"/>
  <c r="C260" i="2"/>
  <c r="D260" i="2"/>
  <c r="F260" i="2"/>
  <c r="G260"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30" i="7"/>
  <c r="K80" i="7"/>
  <c r="G34" i="7"/>
  <c r="C4" i="21" s="1"/>
  <c r="C256" i="2"/>
  <c r="F256"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59" i="2"/>
  <c r="O32" i="3"/>
  <c r="N69" i="3"/>
  <c r="O93" i="5"/>
  <c r="L145" i="10"/>
  <c r="I33" i="10"/>
  <c r="I18" i="8"/>
  <c r="C84" i="14"/>
  <c r="O73" i="5"/>
  <c r="F167" i="12"/>
  <c r="F161" i="14"/>
  <c r="M167" i="6"/>
  <c r="K132" i="10"/>
  <c r="M109" i="6"/>
  <c r="H260"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58"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G40"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O175" i="12" s="1"/>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E72" i="13"/>
  <c r="E69" i="13"/>
  <c r="G29" i="13"/>
  <c r="F19" i="13"/>
  <c r="G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F124" i="13"/>
  <c r="E98" i="13"/>
  <c r="F80" i="13"/>
  <c r="E13" i="13"/>
  <c r="F15" i="14"/>
  <c r="O151" i="5"/>
  <c r="O133" i="5"/>
  <c r="C123" i="5"/>
  <c r="I114" i="5"/>
  <c r="K107" i="5"/>
  <c r="O97" i="5"/>
  <c r="O89" i="5"/>
  <c r="O81" i="5"/>
  <c r="O75" i="5"/>
  <c r="N69" i="5"/>
  <c r="K63" i="5"/>
  <c r="N44" i="5"/>
  <c r="C34" i="5"/>
  <c r="N23" i="5"/>
  <c r="K166" i="11"/>
  <c r="I94" i="11"/>
  <c r="J92" i="11"/>
  <c r="L88" i="11"/>
  <c r="G53" i="11"/>
  <c r="G74" i="12"/>
  <c r="F96" i="13"/>
  <c r="F90" i="13"/>
  <c r="E141" i="14"/>
  <c r="F99" i="14"/>
  <c r="F93" i="14"/>
  <c r="E78" i="14"/>
  <c r="B71" i="14"/>
  <c r="F69" i="14"/>
  <c r="D62" i="14"/>
  <c r="F60" i="14"/>
  <c r="E41" i="14"/>
  <c r="G41" i="14" s="1"/>
  <c r="B31" i="14"/>
  <c r="F29" i="14"/>
  <c r="D15" i="14"/>
  <c r="C13" i="14"/>
  <c r="I168" i="2"/>
  <c r="C166" i="2"/>
  <c r="D157" i="2"/>
  <c r="C147" i="2"/>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E40" i="13"/>
  <c r="E183" i="14"/>
  <c r="G183" i="14" s="1"/>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F129" i="13"/>
  <c r="F112" i="13"/>
  <c r="E108" i="13"/>
  <c r="F81" i="13"/>
  <c r="E70" i="13"/>
  <c r="E65" i="13"/>
  <c r="F51" i="13"/>
  <c r="F37"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F156" i="13"/>
  <c r="F134" i="13"/>
  <c r="F94" i="13"/>
  <c r="F84" i="13"/>
  <c r="G82" i="13"/>
  <c r="E64" i="13"/>
  <c r="G62" i="13"/>
  <c r="G54" i="13"/>
  <c r="F40" i="13"/>
  <c r="E11"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F182" i="13"/>
  <c r="F178" i="13"/>
  <c r="E138" i="13"/>
  <c r="G126" i="13"/>
  <c r="F118" i="13"/>
  <c r="E102" i="13"/>
  <c r="G102" i="13"/>
  <c r="L183" i="11"/>
  <c r="L163" i="11"/>
  <c r="M154" i="11"/>
  <c r="H144" i="11"/>
  <c r="O134" i="11"/>
  <c r="K129" i="11"/>
  <c r="L127" i="11"/>
  <c r="H64" i="11"/>
  <c r="F34" i="11"/>
  <c r="N32" i="11"/>
  <c r="I32" i="11"/>
  <c r="D32" i="11"/>
  <c r="E178" i="13"/>
  <c r="G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E171" i="13"/>
  <c r="E146" i="13"/>
  <c r="G146" i="13"/>
  <c r="F130" i="13"/>
  <c r="G125" i="13"/>
  <c r="E106" i="13"/>
  <c r="N26" i="5"/>
  <c r="E127" i="12"/>
  <c r="E109" i="12"/>
  <c r="D99" i="12"/>
  <c r="E63" i="12"/>
  <c r="F40" i="12"/>
  <c r="D19" i="12"/>
  <c r="E130" i="13"/>
  <c r="G118" i="13"/>
  <c r="F104" i="13"/>
  <c r="F100" i="13"/>
  <c r="E96" i="13"/>
  <c r="G56" i="13"/>
  <c r="E38" i="13"/>
  <c r="G34" i="13"/>
  <c r="G25" i="13"/>
  <c r="C156" i="14"/>
  <c r="C149" i="14"/>
  <c r="E148" i="14"/>
  <c r="E127" i="14"/>
  <c r="D115" i="14"/>
  <c r="C113" i="14"/>
  <c r="E55" i="14"/>
  <c r="F52" i="14"/>
  <c r="E39" i="14"/>
  <c r="E37" i="14"/>
  <c r="D33" i="14"/>
  <c r="F31" i="14"/>
  <c r="D29" i="14"/>
  <c r="F11" i="14"/>
  <c r="E9" i="14"/>
  <c r="G9" i="14" s="1"/>
  <c r="F116" i="13"/>
  <c r="E112" i="13"/>
  <c r="E100" i="13"/>
  <c r="G94" i="13"/>
  <c r="F92" i="13"/>
  <c r="G86" i="13"/>
  <c r="E83" i="13"/>
  <c r="G80" i="13"/>
  <c r="F73" i="13"/>
  <c r="G69" i="13"/>
  <c r="E56" i="13"/>
  <c r="G50"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F176" i="13"/>
  <c r="F157" i="13"/>
  <c r="G157" i="13"/>
  <c r="C49" i="12"/>
  <c r="F43" i="12"/>
  <c r="E122" i="13"/>
  <c r="F108" i="13"/>
  <c r="E104" i="13"/>
  <c r="E90" i="13"/>
  <c r="F86" i="13"/>
  <c r="F83" i="13"/>
  <c r="I60" i="11"/>
  <c r="I53" i="11"/>
  <c r="E151" i="12"/>
  <c r="F109" i="12"/>
  <c r="E99" i="12"/>
  <c r="E87" i="12"/>
  <c r="F63" i="12"/>
  <c r="G49" i="12"/>
  <c r="E40" i="12"/>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E47" i="5" s="1"/>
  <c r="F47" i="5" s="1"/>
  <c r="G47" i="5" s="1"/>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K58" i="12" s="1"/>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59" i="2"/>
  <c r="F261" i="2"/>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E179" i="13"/>
  <c r="E168" i="13"/>
  <c r="G154" i="13"/>
  <c r="B25" i="12"/>
  <c r="C25" i="12"/>
  <c r="G18" i="12"/>
  <c r="C18" i="12"/>
  <c r="E181" i="13"/>
  <c r="G181" i="13"/>
  <c r="F166" i="13"/>
  <c r="F162" i="13"/>
  <c r="G141" i="13"/>
  <c r="F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G174" i="13"/>
  <c r="F170" i="13"/>
  <c r="G166" i="13"/>
  <c r="G162" i="13"/>
  <c r="F161" i="13"/>
  <c r="F150" i="13"/>
  <c r="F146" i="13"/>
  <c r="F140" i="13"/>
  <c r="F132" i="13"/>
  <c r="E123" i="13"/>
  <c r="G65" i="12"/>
  <c r="E54" i="12"/>
  <c r="E53" i="12"/>
  <c r="G46" i="12"/>
  <c r="E45" i="12"/>
  <c r="E31" i="12"/>
  <c r="C28" i="12"/>
  <c r="E28" i="12"/>
  <c r="G25" i="12"/>
  <c r="C21" i="12"/>
  <c r="B21" i="12"/>
  <c r="E13" i="12"/>
  <c r="F11" i="12"/>
  <c r="G180" i="13"/>
  <c r="E166" i="13"/>
  <c r="G165" i="13"/>
  <c r="E162" i="13"/>
  <c r="F154" i="13"/>
  <c r="F145" i="13"/>
  <c r="G142" i="13"/>
  <c r="G139" i="13"/>
  <c r="G133" i="13"/>
  <c r="E131" i="13"/>
  <c r="E149" i="13"/>
  <c r="G138" i="13"/>
  <c r="E126" i="13"/>
  <c r="F125" i="13"/>
  <c r="G122" i="13"/>
  <c r="G114" i="13"/>
  <c r="G106" i="13"/>
  <c r="G98" i="13"/>
  <c r="G90" i="13"/>
  <c r="F67" i="13"/>
  <c r="E51" i="13"/>
  <c r="F48" i="13"/>
  <c r="F47" i="13"/>
  <c r="E45" i="13"/>
  <c r="E43" i="13"/>
  <c r="F41" i="13"/>
  <c r="F27" i="13"/>
  <c r="E25" i="13"/>
  <c r="E8" i="13"/>
  <c r="G8" i="13"/>
  <c r="E184" i="14"/>
  <c r="C183" i="14"/>
  <c r="F183" i="14"/>
  <c r="B176" i="14"/>
  <c r="G176" i="14" s="1"/>
  <c r="C176" i="14"/>
  <c r="B167" i="14"/>
  <c r="F167" i="14"/>
  <c r="C151" i="14"/>
  <c r="E151" i="14"/>
  <c r="F3" i="21" s="1"/>
  <c r="B151" i="14"/>
  <c r="G3" i="21" s="1"/>
  <c r="D144" i="14"/>
  <c r="C144" i="14"/>
  <c r="C110" i="14"/>
  <c r="E110" i="14"/>
  <c r="F68" i="13"/>
  <c r="E67" i="13"/>
  <c r="G65" i="13"/>
  <c r="F61" i="13"/>
  <c r="F49" i="13"/>
  <c r="E48" i="13"/>
  <c r="E41" i="13"/>
  <c r="E35" i="13"/>
  <c r="E27" i="13"/>
  <c r="E23" i="13"/>
  <c r="F7" i="13"/>
  <c r="C187" i="14"/>
  <c r="E187" i="14"/>
  <c r="G187" i="14" s="1"/>
  <c r="D172" i="14"/>
  <c r="B172" i="14"/>
  <c r="B169" i="14"/>
  <c r="D169" i="14"/>
  <c r="E154" i="14"/>
  <c r="C154" i="14"/>
  <c r="D146" i="14"/>
  <c r="E146" i="14"/>
  <c r="C131" i="14"/>
  <c r="B131" i="14"/>
  <c r="E131" i="14"/>
  <c r="C122" i="14"/>
  <c r="E122" i="14"/>
  <c r="E81" i="13"/>
  <c r="E75" i="13"/>
  <c r="F65" i="13"/>
  <c r="F56" i="13"/>
  <c r="F44" i="13"/>
  <c r="G42" i="13"/>
  <c r="E24" i="13"/>
  <c r="G24" i="13"/>
  <c r="F11" i="13"/>
  <c r="E9" i="13"/>
  <c r="C177" i="14"/>
  <c r="D177" i="14"/>
  <c r="F172" i="14"/>
  <c r="D171" i="14"/>
  <c r="F169" i="14"/>
  <c r="C143" i="14"/>
  <c r="B143" i="14"/>
  <c r="F143" i="14"/>
  <c r="F140" i="14"/>
  <c r="C128" i="14"/>
  <c r="E128" i="14"/>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B91" i="14"/>
  <c r="C89" i="14"/>
  <c r="E87" i="14"/>
  <c r="G87" i="14" s="1"/>
  <c r="E79" i="14"/>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F4" i="21" s="1"/>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I3" i="21" s="1"/>
  <c r="P151" i="2"/>
  <c r="D3" i="21" s="1"/>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B3" i="21" s="1"/>
  <c r="C155" i="2"/>
  <c r="H3" i="21" s="1"/>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E3" i="21" s="1"/>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Q59" i="3"/>
  <c r="Q58" i="3"/>
  <c r="L58" i="3"/>
  <c r="D58" i="3"/>
  <c r="N56" i="3"/>
  <c r="I56" i="3"/>
  <c r="D56" i="3"/>
  <c r="E56" i="3" s="1"/>
  <c r="Q55" i="3"/>
  <c r="G55" i="3"/>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E43" i="5" s="1"/>
  <c r="F43" i="5" s="1"/>
  <c r="G43" i="5" s="1"/>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G59" i="6"/>
  <c r="L55" i="6"/>
  <c r="O55" i="12" s="1"/>
  <c r="H55" i="6"/>
  <c r="D55" i="6"/>
  <c r="D51" i="6"/>
  <c r="H51" i="6"/>
  <c r="P51" i="12" s="1"/>
  <c r="L51" i="6"/>
  <c r="O51" i="12" s="1"/>
  <c r="C50" i="6"/>
  <c r="L50" i="5" s="1"/>
  <c r="N50" i="6"/>
  <c r="L48" i="6"/>
  <c r="O48" i="12" s="1"/>
  <c r="M47" i="6"/>
  <c r="H47" i="6"/>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57" i="2"/>
  <c r="G261" i="2"/>
  <c r="H51" i="8"/>
  <c r="C51" i="8"/>
  <c r="G50" i="8"/>
  <c r="B50" i="8"/>
  <c r="E46" i="8"/>
  <c r="E38" i="8"/>
  <c r="I33" i="8"/>
  <c r="C32" i="8"/>
  <c r="E31" i="8"/>
  <c r="H27" i="8"/>
  <c r="C27" i="8"/>
  <c r="G26" i="8"/>
  <c r="B26" i="8"/>
  <c r="D25" i="8"/>
  <c r="C24" i="8"/>
  <c r="E23" i="8"/>
  <c r="I17" i="8"/>
  <c r="C16" i="8"/>
  <c r="E15" i="8"/>
  <c r="H11" i="8"/>
  <c r="C11" i="8"/>
  <c r="G10" i="8"/>
  <c r="B10" i="8"/>
  <c r="D9" i="8"/>
  <c r="C8" i="8"/>
  <c r="E7" i="8"/>
  <c r="J46" i="8"/>
  <c r="B46" i="8"/>
  <c r="J38" i="8"/>
  <c r="B38" i="8"/>
  <c r="C31" i="8"/>
  <c r="C23" i="8"/>
  <c r="G21" i="8"/>
  <c r="C15" i="8"/>
  <c r="C7"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E183" i="13"/>
  <c r="F180" i="13"/>
  <c r="G176" i="13"/>
  <c r="F174" i="13"/>
  <c r="E173" i="13"/>
  <c r="G167" i="13"/>
  <c r="G158" i="13"/>
  <c r="E155" i="13"/>
  <c r="G151" i="13"/>
  <c r="G147" i="13"/>
  <c r="E144" i="13"/>
  <c r="E136" i="13"/>
  <c r="F136" i="13"/>
  <c r="E128" i="13"/>
  <c r="E120" i="13"/>
  <c r="F120" i="13"/>
  <c r="B17" i="12"/>
  <c r="F17" i="12"/>
  <c r="E160" i="13"/>
  <c r="E117" i="13"/>
  <c r="G117" i="13"/>
  <c r="E109" i="13"/>
  <c r="G109" i="13"/>
  <c r="E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E182" i="13"/>
  <c r="E176" i="13"/>
  <c r="F173" i="13"/>
  <c r="F169" i="13"/>
  <c r="E165" i="13"/>
  <c r="G155" i="13"/>
  <c r="F144" i="13"/>
  <c r="F142" i="13"/>
  <c r="G57" i="12"/>
  <c r="G33" i="12"/>
  <c r="D27" i="12"/>
  <c r="D17" i="12"/>
  <c r="G175" i="13"/>
  <c r="F168" i="13"/>
  <c r="G163" i="13"/>
  <c r="F160" i="13"/>
  <c r="F158" i="13"/>
  <c r="F152" i="13"/>
  <c r="E139" i="13"/>
  <c r="F137" i="13"/>
  <c r="F121" i="13"/>
  <c r="E113" i="13"/>
  <c r="G113" i="13"/>
  <c r="E105" i="13"/>
  <c r="G105" i="13"/>
  <c r="E97" i="13"/>
  <c r="G97" i="13"/>
  <c r="E88" i="13"/>
  <c r="G77" i="13"/>
  <c r="F60" i="13"/>
  <c r="G57" i="13"/>
  <c r="G53" i="13"/>
  <c r="F39" i="13"/>
  <c r="G33" i="13"/>
  <c r="E31" i="13"/>
  <c r="E26" i="13"/>
  <c r="G17" i="13"/>
  <c r="E15" i="13"/>
  <c r="E10" i="13"/>
  <c r="C181" i="14"/>
  <c r="B181" i="14"/>
  <c r="D181" i="14"/>
  <c r="E181" i="14"/>
  <c r="B179" i="14"/>
  <c r="F179" i="14"/>
  <c r="C179" i="14"/>
  <c r="D179" i="14"/>
  <c r="C170" i="14"/>
  <c r="E170" i="14"/>
  <c r="B45" i="14"/>
  <c r="F45" i="14"/>
  <c r="C45" i="14"/>
  <c r="D45" i="14"/>
  <c r="E45" i="14"/>
  <c r="C22" i="14"/>
  <c r="E22" i="14"/>
  <c r="G159" i="13"/>
  <c r="E157" i="13"/>
  <c r="G143" i="13"/>
  <c r="E141" i="13"/>
  <c r="G135" i="13"/>
  <c r="G127" i="13"/>
  <c r="F126" i="13"/>
  <c r="E125" i="13"/>
  <c r="G119" i="13"/>
  <c r="F88" i="13"/>
  <c r="E85" i="13"/>
  <c r="G85" i="13"/>
  <c r="E77" i="13"/>
  <c r="G73" i="13"/>
  <c r="F72" i="13"/>
  <c r="G64" i="13"/>
  <c r="F57" i="13"/>
  <c r="F53" i="13"/>
  <c r="G41" i="13"/>
  <c r="G37" i="13"/>
  <c r="F33" i="13"/>
  <c r="E32" i="13"/>
  <c r="G32" i="13"/>
  <c r="E22" i="13"/>
  <c r="F21" i="13"/>
  <c r="G21" i="13"/>
  <c r="F17" i="13"/>
  <c r="E16" i="13"/>
  <c r="G16" i="13"/>
  <c r="C162" i="14"/>
  <c r="D162" i="14"/>
  <c r="E162" i="14"/>
  <c r="C155" i="14"/>
  <c r="D155" i="14"/>
  <c r="F155" i="14"/>
  <c r="C147" i="14"/>
  <c r="F147" i="14"/>
  <c r="F145" i="14"/>
  <c r="C145" i="14"/>
  <c r="D145" i="14"/>
  <c r="E145" i="14"/>
  <c r="G93" i="13"/>
  <c r="G89" i="13"/>
  <c r="F79" i="13"/>
  <c r="F71" i="13"/>
  <c r="E57" i="13"/>
  <c r="E53" i="13"/>
  <c r="F45" i="13"/>
  <c r="G45" i="13"/>
  <c r="E33" i="13"/>
  <c r="F31" i="13"/>
  <c r="E28" i="13"/>
  <c r="G28" i="13"/>
  <c r="E17" i="13"/>
  <c r="F15" i="13"/>
  <c r="E12" i="13"/>
  <c r="G12" i="13"/>
  <c r="C150" i="14"/>
  <c r="D150" i="14"/>
  <c r="C106" i="14"/>
  <c r="E106" i="14"/>
  <c r="G131" i="13"/>
  <c r="G81" i="13"/>
  <c r="G78" i="13"/>
  <c r="F75" i="13"/>
  <c r="G70" i="13"/>
  <c r="F69" i="13"/>
  <c r="G61" i="13"/>
  <c r="E59" i="13"/>
  <c r="F55" i="13"/>
  <c r="G49" i="13"/>
  <c r="E46" i="13"/>
  <c r="G46"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G48" i="13"/>
  <c r="F36" i="13"/>
  <c r="E30" i="13"/>
  <c r="F25" i="13"/>
  <c r="E14" i="13"/>
  <c r="F9"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G37" i="14" s="1"/>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61" i="2"/>
  <c r="H257" i="2"/>
  <c r="B192" i="2"/>
  <c r="R192" i="2"/>
  <c r="D192" i="2"/>
  <c r="H192" i="2"/>
  <c r="L192" i="2"/>
  <c r="P192" i="2"/>
  <c r="E260"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L158" i="2"/>
  <c r="P158" i="2"/>
  <c r="B158" i="2"/>
  <c r="M158" i="2"/>
  <c r="R158" i="2"/>
  <c r="E158" i="2"/>
  <c r="Q156" i="2"/>
  <c r="Q154" i="2"/>
  <c r="B152" i="2"/>
  <c r="R152" i="2"/>
  <c r="E152" i="2"/>
  <c r="P152" i="2"/>
  <c r="C152" i="2"/>
  <c r="H152" i="2"/>
  <c r="M152" i="2"/>
  <c r="S152" i="2"/>
  <c r="D150" i="2"/>
  <c r="H150" i="2"/>
  <c r="L150" i="2"/>
  <c r="P150" i="2"/>
  <c r="B150" i="2"/>
  <c r="M150" i="2"/>
  <c r="R150" i="2"/>
  <c r="E150" i="2"/>
  <c r="Q148" i="2"/>
  <c r="Q146" i="2"/>
  <c r="B144" i="2"/>
  <c r="R144" i="2"/>
  <c r="E144" i="2"/>
  <c r="G144" i="2" s="1"/>
  <c r="P144" i="2"/>
  <c r="C144" i="2"/>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58" i="2"/>
  <c r="L164" i="2"/>
  <c r="D162" i="2"/>
  <c r="H162" i="2"/>
  <c r="L162" i="2"/>
  <c r="P162" i="2"/>
  <c r="E162" i="2"/>
  <c r="B162" i="2"/>
  <c r="M162" i="2"/>
  <c r="R162" i="2"/>
  <c r="L156" i="2"/>
  <c r="D154" i="2"/>
  <c r="H154" i="2"/>
  <c r="L154" i="2"/>
  <c r="P154" i="2"/>
  <c r="E154" i="2"/>
  <c r="B154" i="2"/>
  <c r="M154" i="2"/>
  <c r="R154" i="2"/>
  <c r="B148" i="2"/>
  <c r="R148" i="2"/>
  <c r="C148" i="2"/>
  <c r="H148" i="2"/>
  <c r="M148" i="2"/>
  <c r="S148" i="2"/>
  <c r="E148" i="2"/>
  <c r="P148" i="2"/>
  <c r="D146" i="2"/>
  <c r="H146" i="2"/>
  <c r="L146" i="2"/>
  <c r="P146" i="2"/>
  <c r="E146" i="2"/>
  <c r="B146" i="2"/>
  <c r="M146" i="2"/>
  <c r="R146" i="2"/>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H4" i="21" s="1"/>
  <c r="S38" i="2"/>
  <c r="E38" i="2"/>
  <c r="J4" i="21" s="1"/>
  <c r="P38" i="2"/>
  <c r="D4" i="21" s="1"/>
  <c r="B38" i="2"/>
  <c r="H38" i="2"/>
  <c r="B4" i="21" s="1"/>
  <c r="M38" i="2"/>
  <c r="R38" i="2"/>
  <c r="E4" i="21" s="1"/>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61" i="2"/>
  <c r="R23" i="2"/>
  <c r="M23" i="2"/>
  <c r="B23" i="2"/>
  <c r="S21" i="2"/>
  <c r="M21" i="2"/>
  <c r="N21" i="2" s="1"/>
  <c r="O21" i="2" s="1"/>
  <c r="H21" i="2"/>
  <c r="C21" i="2"/>
  <c r="R18" i="2"/>
  <c r="M18" i="2"/>
  <c r="H18" i="2"/>
  <c r="J18" i="2" s="1"/>
  <c r="K18" i="2" s="1"/>
  <c r="R15" i="2"/>
  <c r="M15" i="2"/>
  <c r="S13" i="2"/>
  <c r="M13" i="2"/>
  <c r="N13" i="2" s="1"/>
  <c r="O13" i="2" s="1"/>
  <c r="H13" i="2"/>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G153" i="3"/>
  <c r="E153" i="5" s="1"/>
  <c r="O153" i="3"/>
  <c r="B153" i="3"/>
  <c r="F153" i="3"/>
  <c r="J153" i="3"/>
  <c r="N153" i="3"/>
  <c r="M148" i="3"/>
  <c r="M145" i="3"/>
  <c r="D140" i="3"/>
  <c r="L140" i="3"/>
  <c r="P140" i="3"/>
  <c r="C140" i="3"/>
  <c r="G140" i="3"/>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E13" i="5"/>
  <c r="F13" i="5" s="1"/>
  <c r="G13"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N111" i="3"/>
  <c r="M110" i="3"/>
  <c r="B110" i="3"/>
  <c r="N109" i="3"/>
  <c r="I109" i="3"/>
  <c r="C109" i="3"/>
  <c r="C106" i="3"/>
  <c r="E106" i="3" s="1"/>
  <c r="G106" i="3"/>
  <c r="O106" i="3"/>
  <c r="M105" i="3"/>
  <c r="G105" i="3"/>
  <c r="E105" i="5" s="1"/>
  <c r="B105" i="3"/>
  <c r="O103" i="3"/>
  <c r="I103" i="3"/>
  <c r="D103" i="3"/>
  <c r="D101" i="3"/>
  <c r="L101" i="3"/>
  <c r="P101" i="3"/>
  <c r="M99" i="3"/>
  <c r="C99" i="3"/>
  <c r="E99" i="3" s="1"/>
  <c r="N98" i="3"/>
  <c r="I98" i="3"/>
  <c r="D98" i="3"/>
  <c r="B95" i="3"/>
  <c r="F95" i="3"/>
  <c r="J95" i="3"/>
  <c r="N95" i="3"/>
  <c r="M94" i="3"/>
  <c r="B94" i="3"/>
  <c r="N93" i="3"/>
  <c r="I93" i="3"/>
  <c r="C93" i="3"/>
  <c r="P91" i="3"/>
  <c r="C90" i="3"/>
  <c r="G90" i="3"/>
  <c r="O90" i="3"/>
  <c r="M89" i="3"/>
  <c r="G89" i="3"/>
  <c r="E89" i="5" s="1"/>
  <c r="B89" i="3"/>
  <c r="O87" i="3"/>
  <c r="I87" i="3"/>
  <c r="D87" i="3"/>
  <c r="E87" i="3" s="1"/>
  <c r="P86" i="3"/>
  <c r="J86" i="3"/>
  <c r="D85" i="3"/>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H58" i="12" s="1"/>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C3" i="21" s="1"/>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O65"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27" i="12"/>
  <c r="R127" i="12"/>
  <c r="P119" i="12"/>
  <c r="R111" i="12"/>
  <c r="O109" i="6"/>
  <c r="K109" i="6"/>
  <c r="G109" i="6"/>
  <c r="C109" i="6"/>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O89" i="6"/>
  <c r="K89" i="6"/>
  <c r="N89" i="12" s="1"/>
  <c r="G89" i="6"/>
  <c r="C89" i="6"/>
  <c r="L89" i="5" s="1"/>
  <c r="O85" i="6"/>
  <c r="K85" i="6"/>
  <c r="N85" i="12" s="1"/>
  <c r="G85" i="6"/>
  <c r="C85" i="6"/>
  <c r="L85" i="5" s="1"/>
  <c r="P83" i="12"/>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47" i="12"/>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N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G175" i="12"/>
  <c r="G171" i="12"/>
  <c r="O167" i="12"/>
  <c r="G167" i="12"/>
  <c r="G163" i="12"/>
  <c r="D160" i="12"/>
  <c r="G159" i="12"/>
  <c r="D156" i="12"/>
  <c r="O155" i="12"/>
  <c r="G155" i="12"/>
  <c r="D152" i="12"/>
  <c r="G151" i="12"/>
  <c r="F150" i="12"/>
  <c r="B150" i="12"/>
  <c r="D148" i="12"/>
  <c r="G147" i="12"/>
  <c r="F146" i="12"/>
  <c r="B146" i="12"/>
  <c r="P144" i="12"/>
  <c r="L144" i="12"/>
  <c r="D144"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F86" i="12"/>
  <c r="D84" i="12"/>
  <c r="D81" i="12"/>
  <c r="B79" i="12"/>
  <c r="F79" i="12"/>
  <c r="E77" i="12"/>
  <c r="E75" i="12"/>
  <c r="N68" i="12"/>
  <c r="C67" i="12"/>
  <c r="G67" i="12"/>
  <c r="S67" i="12"/>
  <c r="B67" i="12"/>
  <c r="E67" i="12"/>
  <c r="N59" i="12"/>
  <c r="B58" i="12"/>
  <c r="F58" i="12"/>
  <c r="N58" i="12"/>
  <c r="R58" i="12"/>
  <c r="C58" i="12"/>
  <c r="S58" i="12"/>
  <c r="E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S59" i="12"/>
  <c r="E59" i="12"/>
  <c r="B59" i="12"/>
  <c r="R59" i="12"/>
  <c r="Q51" i="12"/>
  <c r="F51" i="12"/>
  <c r="D64" i="12"/>
  <c r="B62" i="12"/>
  <c r="F62" i="12"/>
  <c r="R62" i="12"/>
  <c r="C55" i="12"/>
  <c r="G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G20" i="12"/>
  <c r="D18" i="12"/>
  <c r="B18" i="12"/>
  <c r="F18" i="12"/>
  <c r="G16" i="12"/>
  <c r="D14" i="12"/>
  <c r="B14" i="12"/>
  <c r="F14" i="12"/>
  <c r="G12" i="12"/>
  <c r="D10" i="12"/>
  <c r="B10" i="12"/>
  <c r="F10" i="12"/>
  <c r="G8" i="12"/>
  <c r="C43" i="12"/>
  <c r="G43" i="12"/>
  <c r="S43" i="12"/>
  <c r="D36" i="12"/>
  <c r="L36" i="12"/>
  <c r="P36" i="12"/>
  <c r="E8" i="12"/>
  <c r="F183" i="13"/>
  <c r="F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F185" i="13"/>
  <c r="G183" i="13"/>
  <c r="F181" i="13"/>
  <c r="G179" i="13"/>
  <c r="G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D16" i="12"/>
  <c r="B12" i="12"/>
  <c r="F12" i="12"/>
  <c r="D12" i="12"/>
  <c r="B8" i="12"/>
  <c r="F8" i="12"/>
  <c r="D8" i="12"/>
  <c r="O35" i="12"/>
  <c r="G35" i="12"/>
  <c r="G31" i="12"/>
  <c r="G27" i="12"/>
  <c r="G23" i="12"/>
  <c r="G19" i="12"/>
  <c r="O15" i="12"/>
  <c r="G15" i="12"/>
  <c r="G11" i="12"/>
  <c r="G7" i="12"/>
  <c r="G186" i="13"/>
  <c r="G182" i="13"/>
  <c r="G178" i="13"/>
  <c r="F177" i="13"/>
  <c r="F171" i="13"/>
  <c r="G169" i="13"/>
  <c r="E167" i="13"/>
  <c r="E161" i="13"/>
  <c r="G160" i="13"/>
  <c r="E156" i="13"/>
  <c r="F155" i="13"/>
  <c r="G153" i="13"/>
  <c r="E151" i="13"/>
  <c r="E145" i="13"/>
  <c r="G144" i="13"/>
  <c r="E140" i="13"/>
  <c r="F139" i="13"/>
  <c r="G137" i="13"/>
  <c r="E135" i="13"/>
  <c r="E129" i="13"/>
  <c r="G128" i="13"/>
  <c r="E124" i="13"/>
  <c r="F123" i="13"/>
  <c r="G121" i="13"/>
  <c r="E119" i="13"/>
  <c r="G115" i="13"/>
  <c r="G111" i="13"/>
  <c r="G107" i="13"/>
  <c r="G103" i="13"/>
  <c r="G99" i="13"/>
  <c r="G95" i="13"/>
  <c r="G91" i="13"/>
  <c r="G87" i="13"/>
  <c r="F82" i="13"/>
  <c r="E82" i="13"/>
  <c r="G79" i="13"/>
  <c r="E79" i="13"/>
  <c r="E68" i="13"/>
  <c r="G68" i="13"/>
  <c r="F175" i="13"/>
  <c r="G164" i="13"/>
  <c r="F159" i="13"/>
  <c r="G148" i="13"/>
  <c r="F143" i="13"/>
  <c r="G132" i="13"/>
  <c r="F127" i="13"/>
  <c r="E115" i="13"/>
  <c r="E111" i="13"/>
  <c r="E107" i="13"/>
  <c r="E103" i="13"/>
  <c r="E99" i="13"/>
  <c r="E95" i="13"/>
  <c r="E91" i="13"/>
  <c r="E87" i="13"/>
  <c r="E84" i="13"/>
  <c r="G84" i="13"/>
  <c r="G71" i="13"/>
  <c r="E71" i="13"/>
  <c r="G66" i="13"/>
  <c r="E175" i="13"/>
  <c r="E169" i="13"/>
  <c r="G168" i="13"/>
  <c r="E164" i="13"/>
  <c r="F163" i="13"/>
  <c r="G161" i="13"/>
  <c r="E159" i="13"/>
  <c r="E153" i="13"/>
  <c r="G152" i="13"/>
  <c r="E148" i="13"/>
  <c r="F147" i="13"/>
  <c r="G145" i="13"/>
  <c r="E143" i="13"/>
  <c r="E137" i="13"/>
  <c r="G136" i="13"/>
  <c r="E132" i="13"/>
  <c r="F131" i="13"/>
  <c r="G129" i="13"/>
  <c r="E127" i="13"/>
  <c r="E121" i="13"/>
  <c r="G120" i="13"/>
  <c r="F117" i="13"/>
  <c r="F113" i="13"/>
  <c r="F109" i="13"/>
  <c r="F105" i="13"/>
  <c r="F101" i="13"/>
  <c r="F97" i="13"/>
  <c r="F93" i="13"/>
  <c r="F89" i="13"/>
  <c r="F85" i="13"/>
  <c r="G76" i="13"/>
  <c r="E76" i="13"/>
  <c r="F74" i="13"/>
  <c r="E74" i="13"/>
  <c r="G63" i="13"/>
  <c r="E63" i="13"/>
  <c r="F167" i="13"/>
  <c r="G156" i="13"/>
  <c r="F151" i="13"/>
  <c r="G140" i="13"/>
  <c r="F135" i="13"/>
  <c r="G124" i="13"/>
  <c r="F119" i="13"/>
  <c r="F115" i="13"/>
  <c r="F111" i="13"/>
  <c r="F107" i="13"/>
  <c r="F103" i="13"/>
  <c r="F99" i="13"/>
  <c r="F95" i="13"/>
  <c r="F91" i="13"/>
  <c r="F87" i="13"/>
  <c r="F66" i="13"/>
  <c r="E66" i="13"/>
  <c r="F58" i="13"/>
  <c r="E58" i="13"/>
  <c r="G116" i="13"/>
  <c r="G112" i="13"/>
  <c r="G108" i="13"/>
  <c r="G104" i="13"/>
  <c r="G100" i="13"/>
  <c r="G96" i="13"/>
  <c r="G92" i="13"/>
  <c r="G88" i="13"/>
  <c r="G75" i="13"/>
  <c r="F70" i="13"/>
  <c r="E60" i="13"/>
  <c r="G59" i="13"/>
  <c r="E55" i="13"/>
  <c r="F54" i="13"/>
  <c r="G52" i="13"/>
  <c r="E50" i="13"/>
  <c r="E44" i="13"/>
  <c r="G43" i="13"/>
  <c r="E39" i="13"/>
  <c r="F38" i="13"/>
  <c r="G36" i="13"/>
  <c r="E34" i="13"/>
  <c r="G30" i="13"/>
  <c r="G26" i="13"/>
  <c r="G22" i="13"/>
  <c r="G18" i="13"/>
  <c r="G14" i="13"/>
  <c r="G10" i="13"/>
  <c r="G6" i="13"/>
  <c r="B184" i="14"/>
  <c r="F184" i="14"/>
  <c r="D184" i="14"/>
  <c r="G47" i="13"/>
  <c r="F42" i="13"/>
  <c r="D178" i="14"/>
  <c r="B178" i="14"/>
  <c r="F178" i="14"/>
  <c r="D168" i="14"/>
  <c r="C168" i="14"/>
  <c r="E168" i="14"/>
  <c r="B168" i="14"/>
  <c r="G83" i="13"/>
  <c r="F78" i="13"/>
  <c r="G67" i="13"/>
  <c r="F62" i="13"/>
  <c r="G60" i="13"/>
  <c r="E52" i="13"/>
  <c r="G51" i="13"/>
  <c r="E47" i="13"/>
  <c r="F46" i="13"/>
  <c r="G44" i="13"/>
  <c r="E42" i="13"/>
  <c r="E36" i="13"/>
  <c r="G35" i="13"/>
  <c r="F32" i="13"/>
  <c r="F28" i="13"/>
  <c r="F24" i="13"/>
  <c r="F20" i="13"/>
  <c r="F16" i="13"/>
  <c r="F12" i="13"/>
  <c r="F8" i="13"/>
  <c r="D182" i="14"/>
  <c r="B182" i="14"/>
  <c r="G182" i="14" s="1"/>
  <c r="F182" i="14"/>
  <c r="C174" i="14"/>
  <c r="D174" i="14"/>
  <c r="B174" i="14"/>
  <c r="G174" i="14" s="1"/>
  <c r="F174" i="14"/>
  <c r="G55" i="13"/>
  <c r="F50" i="13"/>
  <c r="G39" i="13"/>
  <c r="F34" i="13"/>
  <c r="F30" i="13"/>
  <c r="F26" i="13"/>
  <c r="F22" i="13"/>
  <c r="F18" i="13"/>
  <c r="F14" i="13"/>
  <c r="F10" i="13"/>
  <c r="F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D72" i="14"/>
  <c r="F70" i="14"/>
  <c r="B70" i="14"/>
  <c r="D68" i="14"/>
  <c r="F66" i="14"/>
  <c r="B66" i="14"/>
  <c r="D64" i="14"/>
  <c r="E62" i="14"/>
  <c r="B59" i="14"/>
  <c r="E56" i="14"/>
  <c r="C52" i="14"/>
  <c r="E51" i="14"/>
  <c r="B50" i="14"/>
  <c r="G50" i="14" s="1"/>
  <c r="F50" i="14"/>
  <c r="B48" i="14"/>
  <c r="B44" i="14"/>
  <c r="G44" i="14" s="1"/>
  <c r="F44" i="14"/>
  <c r="D44" i="14"/>
  <c r="D38" i="14"/>
  <c r="B38" i="14"/>
  <c r="F38" i="14"/>
  <c r="B28" i="14"/>
  <c r="F28" i="14"/>
  <c r="D28" i="14"/>
  <c r="D22" i="14"/>
  <c r="B22" i="14"/>
  <c r="F22" i="14"/>
  <c r="B54" i="14"/>
  <c r="F54" i="14"/>
  <c r="D42" i="14"/>
  <c r="B42" i="14"/>
  <c r="F42" i="14"/>
  <c r="E40"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G4" i="21" s="1"/>
  <c r="F34" i="14"/>
  <c r="E32" i="14"/>
  <c r="B24" i="14"/>
  <c r="F24" i="14"/>
  <c r="D24" i="14"/>
  <c r="D20" i="14"/>
  <c r="F18" i="14"/>
  <c r="B18" i="14"/>
  <c r="G18" i="14" s="1"/>
  <c r="D16" i="14"/>
  <c r="F14" i="14"/>
  <c r="B14" i="14"/>
  <c r="G14" i="14" s="1"/>
  <c r="D12" i="14"/>
  <c r="F10" i="14"/>
  <c r="B10" i="14"/>
  <c r="D8" i="14"/>
  <c r="F20" i="14"/>
  <c r="D18" i="14"/>
  <c r="F16" i="14"/>
  <c r="D14" i="14"/>
  <c r="F12" i="14"/>
  <c r="D10" i="14"/>
  <c r="F8" i="14"/>
  <c r="G38" i="14" l="1"/>
  <c r="G74" i="14"/>
  <c r="G184" i="14"/>
  <c r="R16" i="12"/>
  <c r="S27" i="12"/>
  <c r="R12" i="12"/>
  <c r="J158" i="2"/>
  <c r="K158" i="2" s="1"/>
  <c r="F144" i="2"/>
  <c r="K111" i="3"/>
  <c r="K130" i="3"/>
  <c r="K3" i="21"/>
  <c r="N152" i="2"/>
  <c r="O152" i="2" s="1"/>
  <c r="H114" i="3"/>
  <c r="J57" i="2"/>
  <c r="K57" i="2" s="1"/>
  <c r="E55" i="5"/>
  <c r="F55" i="5" s="1"/>
  <c r="G55" i="5" s="1"/>
  <c r="E77" i="5"/>
  <c r="L67" i="5"/>
  <c r="M67" i="5" s="1"/>
  <c r="E56" i="5"/>
  <c r="E92" i="5"/>
  <c r="F92" i="5" s="1"/>
  <c r="G92" i="5" s="1"/>
  <c r="L109" i="5"/>
  <c r="M109" i="5" s="1"/>
  <c r="E116" i="5"/>
  <c r="L75" i="5"/>
  <c r="M75" i="5" s="1"/>
  <c r="L72" i="5"/>
  <c r="M72" i="5" s="1"/>
  <c r="E72" i="5"/>
  <c r="E68" i="5"/>
  <c r="L92" i="5"/>
  <c r="E93" i="5"/>
  <c r="F93" i="5" s="1"/>
  <c r="G93" i="5" s="1"/>
  <c r="L56" i="5"/>
  <c r="M56" i="5" s="1"/>
  <c r="L54" i="5"/>
  <c r="M54" i="5" s="1"/>
  <c r="L64" i="5"/>
  <c r="M64" i="5" s="1"/>
  <c r="E33" i="5"/>
  <c r="F33" i="5" s="1"/>
  <c r="G33" i="5" s="1"/>
  <c r="B6" i="28"/>
  <c r="L22" i="5"/>
  <c r="M22" i="5" s="1"/>
  <c r="E123" i="5"/>
  <c r="F123" i="5" s="1"/>
  <c r="G123" i="5" s="1"/>
  <c r="E140" i="5"/>
  <c r="F140" i="5" s="1"/>
  <c r="G140" i="5" s="1"/>
  <c r="G143" i="14"/>
  <c r="F147" i="2"/>
  <c r="G147" i="2"/>
  <c r="G148" i="2"/>
  <c r="F148" i="2"/>
  <c r="E162" i="5"/>
  <c r="L118" i="5"/>
  <c r="M118" i="5" s="1"/>
  <c r="E157" i="5"/>
  <c r="F157" i="5" s="1"/>
  <c r="G157" i="5" s="1"/>
  <c r="E151" i="5"/>
  <c r="E145" i="5"/>
  <c r="G125" i="14"/>
  <c r="P107" i="5"/>
  <c r="P137" i="5"/>
  <c r="J13" i="2"/>
  <c r="K13" i="2" s="1"/>
  <c r="E101" i="5"/>
  <c r="F101" i="5" s="1"/>
  <c r="G101" i="5" s="1"/>
  <c r="P7" i="5"/>
  <c r="G172" i="14"/>
  <c r="P98" i="5"/>
  <c r="G79" i="14"/>
  <c r="G97" i="14"/>
  <c r="H108" i="3"/>
  <c r="P8" i="5"/>
  <c r="P20" i="5"/>
  <c r="P125" i="5"/>
  <c r="N86" i="12"/>
  <c r="L160" i="12"/>
  <c r="N102" i="12"/>
  <c r="J149" i="2"/>
  <c r="K149" i="2" s="1"/>
  <c r="K93" i="3"/>
  <c r="H58" i="3"/>
  <c r="E85" i="3"/>
  <c r="K109" i="3"/>
  <c r="K182" i="3"/>
  <c r="E153" i="3"/>
  <c r="H42" i="3"/>
  <c r="E101" i="3"/>
  <c r="K132" i="3"/>
  <c r="K112" i="3"/>
  <c r="J27" i="5"/>
  <c r="G57" i="2"/>
  <c r="P139" i="5"/>
  <c r="P149" i="5"/>
  <c r="E231" i="11"/>
  <c r="E232" i="11" s="1"/>
  <c r="J231" i="11"/>
  <c r="H231" i="11"/>
  <c r="H232" i="11" s="1"/>
  <c r="N120" i="2"/>
  <c r="O120" i="2" s="1"/>
  <c r="D231" i="11"/>
  <c r="G231" i="11"/>
  <c r="I241" i="2"/>
  <c r="H241" i="2"/>
  <c r="K231" i="11"/>
  <c r="K232" i="11" s="1"/>
  <c r="M231" i="11"/>
  <c r="N231" i="11"/>
  <c r="N232" i="11" s="1"/>
  <c r="I64" i="8"/>
  <c r="F64" i="8"/>
  <c r="F65" i="8" s="1"/>
  <c r="C8" i="28"/>
  <c r="E50" i="5"/>
  <c r="E64" i="8"/>
  <c r="E65" i="8" s="1"/>
  <c r="E64" i="5"/>
  <c r="H64" i="8"/>
  <c r="H13" i="3"/>
  <c r="H36" i="3"/>
  <c r="E7" i="5"/>
  <c r="F7" i="5" s="1"/>
  <c r="G7" i="5" s="1"/>
  <c r="G236" i="3"/>
  <c r="G237" i="3" s="1"/>
  <c r="E81" i="5"/>
  <c r="E84" i="5"/>
  <c r="E21" i="5"/>
  <c r="F21" i="5" s="1"/>
  <c r="G21" i="5" s="1"/>
  <c r="E51" i="5"/>
  <c r="F51" i="5" s="1"/>
  <c r="G51" i="5" s="1"/>
  <c r="E76" i="5"/>
  <c r="F76" i="5" s="1"/>
  <c r="G76" i="5" s="1"/>
  <c r="I236" i="3"/>
  <c r="J236" i="3"/>
  <c r="J237" i="3" s="1"/>
  <c r="E132" i="5"/>
  <c r="F132" i="5" s="1"/>
  <c r="G132" i="5" s="1"/>
  <c r="H43" i="3"/>
  <c r="F236" i="3"/>
  <c r="E149" i="5"/>
  <c r="F149" i="5" s="1"/>
  <c r="G149" i="5" s="1"/>
  <c r="E19" i="5"/>
  <c r="F19" i="5" s="1"/>
  <c r="G19" i="5" s="1"/>
  <c r="E233" i="6"/>
  <c r="C233" i="6"/>
  <c r="S7" i="12"/>
  <c r="L233" i="6"/>
  <c r="M7" i="12"/>
  <c r="I233" i="6"/>
  <c r="L7" i="12"/>
  <c r="H233" i="6"/>
  <c r="F233" i="6"/>
  <c r="G233" i="6" s="1"/>
  <c r="N233" i="6"/>
  <c r="O233" i="6" s="1"/>
  <c r="B233" i="6"/>
  <c r="K233"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E143" i="3"/>
  <c r="G122" i="14"/>
  <c r="G22" i="14"/>
  <c r="G94" i="14"/>
  <c r="M10" i="5"/>
  <c r="J7" i="5"/>
  <c r="J39" i="5"/>
  <c r="H94" i="3"/>
  <c r="E149" i="3"/>
  <c r="J36" i="5"/>
  <c r="H41" i="3"/>
  <c r="K180" i="3"/>
  <c r="P126" i="5"/>
  <c r="C57" i="7"/>
  <c r="D49" i="7"/>
  <c r="M97" i="7"/>
  <c r="E183" i="7"/>
  <c r="P48" i="5"/>
  <c r="H163" i="7"/>
  <c r="H163" i="12" s="1"/>
  <c r="J163" i="7"/>
  <c r="J150" i="2"/>
  <c r="K150" i="2" s="1"/>
  <c r="G48" i="2"/>
  <c r="O158" i="12"/>
  <c r="O154" i="12"/>
  <c r="O162" i="12"/>
  <c r="O33" i="12"/>
  <c r="P55" i="12"/>
  <c r="L142" i="5"/>
  <c r="M142" i="5" s="1"/>
  <c r="O143" i="12"/>
  <c r="O53" i="12"/>
  <c r="E95" i="5"/>
  <c r="F95" i="5" s="1"/>
  <c r="G95" i="5" s="1"/>
  <c r="E138" i="5"/>
  <c r="F138" i="5" s="1"/>
  <c r="G138" i="5" s="1"/>
  <c r="L47" i="5"/>
  <c r="M47" i="5" s="1"/>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F53" i="5" s="1"/>
  <c r="G53" i="5" s="1"/>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F133" i="5" s="1"/>
  <c r="G133" i="5" s="1"/>
  <c r="N47" i="12"/>
  <c r="L39" i="12"/>
  <c r="S46" i="12"/>
  <c r="M100" i="12"/>
  <c r="L153" i="12"/>
  <c r="O123" i="12"/>
  <c r="O97" i="12"/>
  <c r="E158" i="5"/>
  <c r="F158" i="5" s="1"/>
  <c r="G158" i="5" s="1"/>
  <c r="M39" i="12"/>
  <c r="L55" i="5"/>
  <c r="M55" i="5" s="1"/>
  <c r="O85" i="12"/>
  <c r="O115" i="12"/>
  <c r="N180" i="12"/>
  <c r="O144" i="12"/>
  <c r="L119" i="12"/>
  <c r="L31" i="5"/>
  <c r="M31" i="5" s="1"/>
  <c r="M176" i="12"/>
  <c r="E48" i="5"/>
  <c r="F48" i="5" s="1"/>
  <c r="G48" i="5" s="1"/>
  <c r="E134" i="5"/>
  <c r="F134" i="5" s="1"/>
  <c r="G134" i="5" s="1"/>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M102" i="5" s="1"/>
  <c r="L110" i="5"/>
  <c r="M110" i="5" s="1"/>
  <c r="L152" i="5"/>
  <c r="M152" i="5" s="1"/>
  <c r="E150" i="5"/>
  <c r="F150" i="5" s="1"/>
  <c r="G150" i="5" s="1"/>
  <c r="L46" i="5"/>
  <c r="M46" i="5" s="1"/>
  <c r="L126" i="5"/>
  <c r="M126" i="5" s="1"/>
  <c r="Q35" i="12"/>
  <c r="Q43" i="12"/>
  <c r="M93" i="12"/>
  <c r="L105" i="12"/>
  <c r="L160" i="5"/>
  <c r="M160" i="5" s="1"/>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H54" i="12" s="1"/>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H98" i="12" s="1"/>
  <c r="N69" i="7"/>
  <c r="K95" i="12"/>
  <c r="F25" i="7"/>
  <c r="L35" i="7"/>
  <c r="M90" i="7"/>
  <c r="H160" i="7"/>
  <c r="H160" i="12" s="1"/>
  <c r="M88" i="5"/>
  <c r="E29" i="5"/>
  <c r="F29" i="5" s="1"/>
  <c r="G29" i="5" s="1"/>
  <c r="N33" i="2"/>
  <c r="O33" i="2" s="1"/>
  <c r="N94" i="2"/>
  <c r="O94" i="2" s="1"/>
  <c r="I98" i="7"/>
  <c r="I98" i="12" s="1"/>
  <c r="E80" i="7"/>
  <c r="G117" i="7"/>
  <c r="M164" i="7"/>
  <c r="O13" i="7"/>
  <c r="N68" i="7"/>
  <c r="L183" i="7"/>
  <c r="I13" i="7"/>
  <c r="I13" i="12" s="1"/>
  <c r="K91" i="7"/>
  <c r="G96" i="14"/>
  <c r="N62" i="12"/>
  <c r="Q27" i="12"/>
  <c r="K98" i="7"/>
  <c r="J98" i="12" s="1"/>
  <c r="I35" i="7"/>
  <c r="I35" i="12" s="1"/>
  <c r="J53" i="7"/>
  <c r="D35" i="7"/>
  <c r="E90" i="3"/>
  <c r="K122" i="3"/>
  <c r="K156" i="3"/>
  <c r="L25" i="7"/>
  <c r="K25" i="12" s="1"/>
  <c r="K20" i="3"/>
  <c r="K88" i="7"/>
  <c r="F134" i="7"/>
  <c r="M158" i="7"/>
  <c r="O155" i="7"/>
  <c r="B183" i="7"/>
  <c r="I96" i="7"/>
  <c r="I96" i="12" s="1"/>
  <c r="O88" i="7"/>
  <c r="H134" i="7"/>
  <c r="H134" i="12" s="1"/>
  <c r="G35" i="7"/>
  <c r="E28" i="3"/>
  <c r="D33" i="7"/>
  <c r="L104" i="12"/>
  <c r="R24" i="12"/>
  <c r="N156" i="12"/>
  <c r="L135" i="12"/>
  <c r="I90" i="7"/>
  <c r="I90" i="12" s="1"/>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J134" i="12" s="1"/>
  <c r="S83" i="12"/>
  <c r="B13" i="7"/>
  <c r="I25" i="7"/>
  <c r="I25" i="12" s="1"/>
  <c r="I51" i="7"/>
  <c r="E90" i="7"/>
  <c r="C134" i="7"/>
  <c r="K90" i="7"/>
  <c r="J90" i="12" s="1"/>
  <c r="M53" i="7"/>
  <c r="E98" i="7"/>
  <c r="K158" i="3"/>
  <c r="L6" i="3"/>
  <c r="C53" i="7"/>
  <c r="E96" i="7"/>
  <c r="F96" i="7"/>
  <c r="L88" i="7"/>
  <c r="D134" i="7"/>
  <c r="I155" i="7"/>
  <c r="O183" i="7"/>
  <c r="K147" i="3"/>
  <c r="M35" i="7"/>
  <c r="H25" i="7"/>
  <c r="H25" i="12" s="1"/>
  <c r="I91" i="7"/>
  <c r="I91" i="12" s="1"/>
  <c r="B90" i="7"/>
  <c r="N190" i="2"/>
  <c r="O190" i="2" s="1"/>
  <c r="R47" i="12"/>
  <c r="O103" i="12"/>
  <c r="L101" i="12"/>
  <c r="I117" i="7"/>
  <c r="O25" i="7"/>
  <c r="E53" i="7"/>
  <c r="J90" i="7"/>
  <c r="G90" i="7"/>
  <c r="N25" i="7"/>
  <c r="J98" i="7"/>
  <c r="J157" i="5"/>
  <c r="K95" i="3"/>
  <c r="I6" i="3"/>
  <c r="N113" i="2"/>
  <c r="O113" i="2" s="1"/>
  <c r="K96" i="7"/>
  <c r="J96" i="12" s="1"/>
  <c r="B96" i="7"/>
  <c r="H88" i="7"/>
  <c r="H88" i="12" s="1"/>
  <c r="M88" i="7"/>
  <c r="I134" i="7"/>
  <c r="I134" i="12" s="1"/>
  <c r="N155" i="7"/>
  <c r="G25" i="7"/>
  <c r="M183" i="7"/>
  <c r="F52" i="2"/>
  <c r="P146" i="12"/>
  <c r="P172" i="12"/>
  <c r="R154" i="12"/>
  <c r="P124" i="12"/>
  <c r="N154" i="12"/>
  <c r="P30" i="12"/>
  <c r="S69" i="12"/>
  <c r="P159" i="5"/>
  <c r="O172" i="12"/>
  <c r="B249" i="2"/>
  <c r="L10" i="7"/>
  <c r="K10" i="12" s="1"/>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M100" i="5" s="1"/>
  <c r="R131" i="12"/>
  <c r="O121" i="12"/>
  <c r="R148" i="12"/>
  <c r="M173" i="12"/>
  <c r="O151" i="12"/>
  <c r="N160" i="12"/>
  <c r="E117" i="5"/>
  <c r="F117" i="5" s="1"/>
  <c r="G117" i="5" s="1"/>
  <c r="O135" i="12"/>
  <c r="M122" i="12"/>
  <c r="Q112" i="12"/>
  <c r="O109" i="12"/>
  <c r="L121" i="12"/>
  <c r="S124" i="12"/>
  <c r="L124" i="5"/>
  <c r="M124" i="5" s="1"/>
  <c r="L146" i="5"/>
  <c r="M146" i="5" s="1"/>
  <c r="R170" i="12"/>
  <c r="E128" i="5"/>
  <c r="F128" i="5" s="1"/>
  <c r="G128" i="5" s="1"/>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M150" i="5" s="1"/>
  <c r="Q113" i="12"/>
  <c r="L113" i="5"/>
  <c r="M113" i="5" s="1"/>
  <c r="P145" i="12"/>
  <c r="L145" i="5"/>
  <c r="M145" i="5" s="1"/>
  <c r="N120" i="12"/>
  <c r="P139" i="12"/>
  <c r="R165" i="12"/>
  <c r="Q117" i="12"/>
  <c r="S114" i="12"/>
  <c r="L151" i="12"/>
  <c r="E119" i="5"/>
  <c r="F119" i="5" s="1"/>
  <c r="G119" i="5" s="1"/>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48" i="2"/>
  <c r="K10" i="3"/>
  <c r="N182" i="12"/>
  <c r="M177" i="12"/>
  <c r="N174" i="12"/>
  <c r="N178" i="12"/>
  <c r="N185" i="12"/>
  <c r="N177" i="12"/>
  <c r="E29" i="3"/>
  <c r="N96" i="2"/>
  <c r="O96" i="2" s="1"/>
  <c r="G163" i="2"/>
  <c r="L146" i="7"/>
  <c r="K146" i="12" s="1"/>
  <c r="F193" i="2"/>
  <c r="P165" i="5"/>
  <c r="P13" i="5"/>
  <c r="P37" i="5"/>
  <c r="P73" i="5"/>
  <c r="P71" i="12"/>
  <c r="S89" i="12"/>
  <c r="M97" i="5"/>
  <c r="S115" i="12"/>
  <c r="O132" i="12"/>
  <c r="L51" i="12"/>
  <c r="M20" i="12"/>
  <c r="L15" i="7"/>
  <c r="K15" i="12" s="1"/>
  <c r="D117" i="7"/>
  <c r="C51" i="7"/>
  <c r="D91" i="7"/>
  <c r="J127" i="7"/>
  <c r="E15" i="7"/>
  <c r="L127" i="7"/>
  <c r="K127" i="12" s="1"/>
  <c r="D51" i="7"/>
  <c r="C62" i="7"/>
  <c r="B188" i="7"/>
  <c r="H170" i="7"/>
  <c r="J49" i="2"/>
  <c r="K49" i="2" s="1"/>
  <c r="F89" i="2"/>
  <c r="N105" i="2"/>
  <c r="O105" i="2" s="1"/>
  <c r="P108" i="5"/>
  <c r="I15" i="7"/>
  <c r="I15" i="12" s="1"/>
  <c r="O8" i="7"/>
  <c r="F51" i="7"/>
  <c r="D16" i="7"/>
  <c r="O24" i="7"/>
  <c r="N91" i="7"/>
  <c r="E60" i="7"/>
  <c r="C84" i="7"/>
  <c r="I118" i="7"/>
  <c r="I118" i="12" s="1"/>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J117" i="12" s="1"/>
  <c r="F69" i="7"/>
  <c r="J86" i="5"/>
  <c r="K13" i="3"/>
  <c r="H74" i="3"/>
  <c r="K170" i="7"/>
  <c r="G61" i="2"/>
  <c r="C24" i="7"/>
  <c r="J43" i="7"/>
  <c r="B91" i="7"/>
  <c r="G187" i="2"/>
  <c r="G123" i="14"/>
  <c r="E38" i="7"/>
  <c r="D52" i="7"/>
  <c r="I60" i="7"/>
  <c r="I60" i="12" s="1"/>
  <c r="F62" i="7"/>
  <c r="J118" i="7"/>
  <c r="L52" i="7"/>
  <c r="K52" i="12" s="1"/>
  <c r="H86" i="7"/>
  <c r="H86" i="12" s="1"/>
  <c r="J169" i="7"/>
  <c r="G33" i="7"/>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K33" i="12" s="1"/>
  <c r="Q97" i="12"/>
  <c r="R69" i="12"/>
  <c r="R128" i="12"/>
  <c r="R152" i="12"/>
  <c r="R25" i="12"/>
  <c r="K15" i="7"/>
  <c r="J15" i="12" s="1"/>
  <c r="O38" i="7"/>
  <c r="K118" i="7"/>
  <c r="J118" i="12" s="1"/>
  <c r="H117" i="7"/>
  <c r="H117" i="12" s="1"/>
  <c r="G188" i="7"/>
  <c r="C170" i="7"/>
  <c r="E27" i="3"/>
  <c r="K164" i="3"/>
  <c r="N85" i="2"/>
  <c r="O85" i="2" s="1"/>
  <c r="F106" i="2"/>
  <c r="P84" i="5"/>
  <c r="K52" i="7"/>
  <c r="J52" i="12" s="1"/>
  <c r="C11" i="7"/>
  <c r="G60" i="7"/>
  <c r="N24" i="7"/>
  <c r="J60" i="7"/>
  <c r="D129" i="7"/>
  <c r="K56" i="3"/>
  <c r="E170" i="3"/>
  <c r="I38" i="7"/>
  <c r="I38" i="12" s="1"/>
  <c r="L65" i="7"/>
  <c r="K65" i="12" s="1"/>
  <c r="O164" i="7"/>
  <c r="H38" i="7"/>
  <c r="H38" i="12" s="1"/>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24" i="12" s="1"/>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49" i="2"/>
  <c r="O65" i="7"/>
  <c r="M11" i="7"/>
  <c r="B24" i="7"/>
  <c r="L60" i="7"/>
  <c r="K60" i="12" s="1"/>
  <c r="J99" i="7"/>
  <c r="J181" i="7"/>
  <c r="P143" i="5"/>
  <c r="I86" i="7"/>
  <c r="E51" i="7"/>
  <c r="H64" i="3"/>
  <c r="K28" i="3"/>
  <c r="I181" i="7"/>
  <c r="I180" i="12" s="1"/>
  <c r="M33" i="7"/>
  <c r="K129" i="7"/>
  <c r="J129" i="12" s="1"/>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J87" i="12" s="1"/>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H89" i="12" s="1"/>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K126" i="12" s="1"/>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H133" i="12" s="1"/>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O168" i="12"/>
  <c r="N90" i="12"/>
  <c r="M134" i="12"/>
  <c r="L116" i="12"/>
  <c r="E97" i="5"/>
  <c r="F97" i="5" s="1"/>
  <c r="G97" i="5" s="1"/>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I109" i="12" s="1"/>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50"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I10" i="12" s="1"/>
  <c r="B116" i="7"/>
  <c r="L70" i="7"/>
  <c r="K70" i="12" s="1"/>
  <c r="G19" i="14"/>
  <c r="H22" i="12"/>
  <c r="H135" i="3"/>
  <c r="H52" i="3"/>
  <c r="J116" i="7"/>
  <c r="K40" i="3"/>
  <c r="H131" i="3"/>
  <c r="H96" i="3"/>
  <c r="K119" i="3"/>
  <c r="P79" i="5"/>
  <c r="P123" i="5"/>
  <c r="K32" i="3"/>
  <c r="H112" i="3"/>
  <c r="L64" i="12"/>
  <c r="D47" i="7"/>
  <c r="N73" i="2"/>
  <c r="O73" i="2" s="1"/>
  <c r="G152" i="2"/>
  <c r="O156" i="7"/>
  <c r="D187" i="7"/>
  <c r="J187" i="7"/>
  <c r="I47" i="7"/>
  <c r="I47" i="12" s="1"/>
  <c r="N47" i="7"/>
  <c r="M29" i="5"/>
  <c r="C6" i="28"/>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F143" i="5" s="1"/>
  <c r="G143" i="5" s="1"/>
  <c r="N141" i="2"/>
  <c r="O141" i="2" s="1"/>
  <c r="D247"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I122" i="12" s="1"/>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I17" i="12" s="1"/>
  <c r="B17" i="7"/>
  <c r="M17" i="7"/>
  <c r="F17" i="7"/>
  <c r="E17" i="7"/>
  <c r="J17" i="7"/>
  <c r="N17" i="7"/>
  <c r="D17" i="7"/>
  <c r="H17" i="7"/>
  <c r="H17" i="12" s="1"/>
  <c r="L17" i="7"/>
  <c r="K17" i="12" s="1"/>
  <c r="K17" i="7"/>
  <c r="J17" i="12" s="1"/>
  <c r="C17" i="7"/>
  <c r="O17" i="7"/>
  <c r="C122" i="7"/>
  <c r="L48"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48"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48" i="2"/>
  <c r="L179" i="12"/>
  <c r="S170" i="12"/>
  <c r="L161" i="5"/>
  <c r="M161" i="5" s="1"/>
  <c r="J112" i="12"/>
  <c r="P95" i="5"/>
  <c r="F166" i="5"/>
  <c r="G166" i="5" s="1"/>
  <c r="E102" i="5"/>
  <c r="F102" i="5" s="1"/>
  <c r="G102" i="5" s="1"/>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48"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49" i="2"/>
  <c r="O164" i="12"/>
  <c r="N171" i="12"/>
  <c r="L176" i="12"/>
  <c r="L185" i="12"/>
  <c r="B247"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49"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47"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47" i="2"/>
  <c r="O34" i="12"/>
  <c r="O37" i="12"/>
  <c r="P86" i="12"/>
  <c r="L91" i="12"/>
  <c r="L102" i="12"/>
  <c r="N121" i="12"/>
  <c r="N127" i="12"/>
  <c r="Q32" i="12"/>
  <c r="M35" i="12"/>
  <c r="N70" i="12"/>
  <c r="N78" i="12"/>
  <c r="L100" i="12"/>
  <c r="L127" i="12"/>
  <c r="I58" i="12"/>
  <c r="O145"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83" i="12"/>
  <c r="J74" i="12"/>
  <c r="I72" i="12"/>
  <c r="H74"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50"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Q39" i="12"/>
  <c r="S119" i="12"/>
  <c r="N147" i="12"/>
  <c r="S147" i="12"/>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J138" i="5"/>
  <c r="H146" i="3"/>
  <c r="H178" i="3"/>
  <c r="J143" i="12"/>
  <c r="E75" i="3"/>
  <c r="J71" i="2"/>
  <c r="K71" i="2" s="1"/>
  <c r="G66" i="2"/>
  <c r="N74" i="2"/>
  <c r="O74" i="2" s="1"/>
  <c r="J160" i="2"/>
  <c r="K160" i="2" s="1"/>
  <c r="P118" i="5"/>
  <c r="N56" i="7"/>
  <c r="K137" i="7"/>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H122" i="3"/>
  <c r="H35" i="3"/>
  <c r="E145" i="3"/>
  <c r="N110" i="2"/>
  <c r="O110" i="2" s="1"/>
  <c r="J77" i="2"/>
  <c r="K77" i="2" s="1"/>
  <c r="G130" i="2"/>
  <c r="F56" i="7"/>
  <c r="N28" i="2"/>
  <c r="O28" i="2" s="1"/>
  <c r="G193" i="2"/>
  <c r="C175" i="7"/>
  <c r="N175" i="7"/>
  <c r="G150" i="7"/>
  <c r="J22" i="5"/>
  <c r="I162" i="12"/>
  <c r="I150" i="12"/>
  <c r="I151" i="12"/>
  <c r="N137" i="7"/>
  <c r="J174" i="7"/>
  <c r="J74" i="5"/>
  <c r="K15" i="3"/>
  <c r="H150" i="3"/>
  <c r="H55" i="3"/>
  <c r="H99" i="3"/>
  <c r="K140" i="3"/>
  <c r="G129" i="2"/>
  <c r="F82" i="2"/>
  <c r="G141" i="14"/>
  <c r="B56" i="7"/>
  <c r="J28" i="2"/>
  <c r="K28" i="2" s="1"/>
  <c r="G67" i="14"/>
  <c r="E153" i="7"/>
  <c r="N140" i="2"/>
  <c r="O140" i="2" s="1"/>
  <c r="K103"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B186" i="7"/>
  <c r="I66" i="7"/>
  <c r="I71" i="12" s="1"/>
  <c r="O186" i="7"/>
  <c r="Q28" i="12"/>
  <c r="L139" i="12"/>
  <c r="L65" i="12"/>
  <c r="N87" i="12"/>
  <c r="N147" i="7"/>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68" i="5"/>
  <c r="Q24" i="12"/>
  <c r="J18" i="12"/>
  <c r="H33" i="3"/>
  <c r="E66" i="5"/>
  <c r="F66" i="5" s="1"/>
  <c r="G66" i="5" s="1"/>
  <c r="E80" i="3"/>
  <c r="K176" i="3"/>
  <c r="K69" i="3"/>
  <c r="J23" i="5"/>
  <c r="F162" i="5"/>
  <c r="G162" i="5" s="1"/>
  <c r="E11" i="3"/>
  <c r="F97" i="2"/>
  <c r="N153" i="2"/>
  <c r="O153" i="2" s="1"/>
  <c r="N177" i="2"/>
  <c r="O177" i="2" s="1"/>
  <c r="N145" i="12"/>
  <c r="N113" i="12"/>
  <c r="J80" i="2"/>
  <c r="K80" i="2" s="1"/>
  <c r="G91" i="14"/>
  <c r="N133" i="12"/>
  <c r="G144" i="14"/>
  <c r="P34" i="12"/>
  <c r="S133" i="12"/>
  <c r="S165" i="12"/>
  <c r="M163" i="12"/>
  <c r="G73" i="2"/>
  <c r="G97" i="2"/>
  <c r="G121" i="2"/>
  <c r="F29" i="2"/>
  <c r="O191" i="5"/>
  <c r="O192" i="5" s="1"/>
  <c r="J183" i="2"/>
  <c r="K183" i="2" s="1"/>
  <c r="N68" i="2"/>
  <c r="O68" i="2" s="1"/>
  <c r="P137" i="12"/>
  <c r="E61" i="3"/>
  <c r="H107" i="3"/>
  <c r="K124" i="3"/>
  <c r="G167" i="2"/>
  <c r="G60" i="14"/>
  <c r="P76" i="5"/>
  <c r="P100" i="5"/>
  <c r="K92" i="3"/>
  <c r="L142" i="12"/>
  <c r="G134" i="14"/>
  <c r="P42" i="12"/>
  <c r="M140" i="12"/>
  <c r="K103" i="3"/>
  <c r="E62" i="5"/>
  <c r="F62" i="5" s="1"/>
  <c r="E22" i="3"/>
  <c r="E86" i="3"/>
  <c r="E110" i="5"/>
  <c r="F110" i="5" s="1"/>
  <c r="G110" i="5" s="1"/>
  <c r="H148" i="3"/>
  <c r="E261" i="2"/>
  <c r="J14" i="2"/>
  <c r="K14" i="2" s="1"/>
  <c r="N58" i="2"/>
  <c r="O58" i="2" s="1"/>
  <c r="F100" i="2"/>
  <c r="G127" i="14"/>
  <c r="P18" i="12"/>
  <c r="M120" i="12"/>
  <c r="L82" i="12"/>
  <c r="F103" i="5"/>
  <c r="G103" i="5" s="1"/>
  <c r="F145" i="5"/>
  <c r="G145" i="5" s="1"/>
  <c r="J160" i="5"/>
  <c r="G171" i="14"/>
  <c r="P50" i="12"/>
  <c r="M123" i="12"/>
  <c r="L74" i="12"/>
  <c r="R40" i="12"/>
  <c r="M132" i="5"/>
  <c r="H21" i="3"/>
  <c r="H79" i="3"/>
  <c r="H130" i="3"/>
  <c r="E169" i="3"/>
  <c r="H261" i="2"/>
  <c r="N64" i="2"/>
  <c r="O64" i="2" s="1"/>
  <c r="J36" i="2"/>
  <c r="K36" i="2" s="1"/>
  <c r="N40" i="12"/>
  <c r="F81" i="5"/>
  <c r="G81" i="5" s="1"/>
  <c r="J156" i="5"/>
  <c r="H10" i="3"/>
  <c r="E114" i="5"/>
  <c r="F114" i="5" s="1"/>
  <c r="G114" i="5" s="1"/>
  <c r="N77" i="12"/>
  <c r="R77" i="12"/>
  <c r="R78" i="12"/>
  <c r="F77" i="5"/>
  <c r="G77" i="5" s="1"/>
  <c r="J82" i="5"/>
  <c r="F156" i="5"/>
  <c r="G156" i="5" s="1"/>
  <c r="E93" i="3"/>
  <c r="E97" i="3"/>
  <c r="N70" i="2"/>
  <c r="O70" i="2" s="1"/>
  <c r="J17" i="2"/>
  <c r="K17" i="2" s="1"/>
  <c r="G43" i="14"/>
  <c r="N100" i="2"/>
  <c r="O100" i="2" s="1"/>
  <c r="P122" i="12"/>
  <c r="P132" i="12"/>
  <c r="R70" i="12"/>
  <c r="S78" i="12"/>
  <c r="E46" i="5"/>
  <c r="F46" i="5" s="1"/>
  <c r="G46" i="5" s="1"/>
  <c r="N25" i="2"/>
  <c r="O25" i="2" s="1"/>
  <c r="G29" i="2"/>
  <c r="J114" i="2"/>
  <c r="K114" i="2" s="1"/>
  <c r="G76" i="14"/>
  <c r="N48" i="12"/>
  <c r="Q19" i="12"/>
  <c r="P121" i="12"/>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N232" i="10"/>
  <c r="Q38" i="12"/>
  <c r="P54" i="12"/>
  <c r="R65" i="12"/>
  <c r="R97" i="12"/>
  <c r="Q15" i="12"/>
  <c r="R117" i="12"/>
  <c r="Q114" i="12"/>
  <c r="N167" i="12"/>
  <c r="N101" i="12"/>
  <c r="L78" i="12"/>
  <c r="N53" i="12"/>
  <c r="N82" i="12"/>
  <c r="N74" i="12"/>
  <c r="M54" i="12"/>
  <c r="M40" i="12"/>
  <c r="M32" i="12"/>
  <c r="P7" i="12"/>
  <c r="L38" i="12"/>
  <c r="L15" i="12"/>
  <c r="M37" i="12"/>
  <c r="C12" i="28"/>
  <c r="S82" i="12"/>
  <c r="I114" i="12"/>
  <c r="I132" i="12"/>
  <c r="J113" i="12"/>
  <c r="J119" i="12"/>
  <c r="H136" i="12"/>
  <c r="H119" i="12"/>
  <c r="K53" i="12"/>
  <c r="H53" i="12"/>
  <c r="K49" i="12"/>
  <c r="H41" i="12"/>
  <c r="I18" i="12"/>
  <c r="H27" i="12"/>
  <c r="H19" i="12"/>
  <c r="H11" i="12"/>
  <c r="K30" i="12"/>
  <c r="K22" i="12"/>
  <c r="K14"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J54" i="5"/>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41" i="2"/>
  <c r="G150" i="2"/>
  <c r="F150" i="2"/>
  <c r="N166" i="2"/>
  <c r="O166" i="2" s="1"/>
  <c r="J192" i="2"/>
  <c r="K192" i="2" s="1"/>
  <c r="F170" i="2"/>
  <c r="G170" i="2"/>
  <c r="G142" i="2"/>
  <c r="G178" i="14"/>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36" i="12"/>
  <c r="I112" i="12"/>
  <c r="K131" i="12"/>
  <c r="K135" i="12"/>
  <c r="I135" i="12"/>
  <c r="I119" i="12"/>
  <c r="H57" i="12"/>
  <c r="J23" i="12"/>
  <c r="J7" i="12"/>
  <c r="J25" i="12"/>
  <c r="J53" i="12"/>
  <c r="J37" i="12"/>
  <c r="H21" i="12"/>
  <c r="J41" i="12"/>
  <c r="H37" i="12"/>
  <c r="I20" i="12"/>
  <c r="I12" i="12"/>
  <c r="I45" i="12"/>
  <c r="I29" i="12"/>
  <c r="I23" i="12"/>
  <c r="P53" i="5"/>
  <c r="N191" i="5"/>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41" i="2"/>
  <c r="J11" i="2"/>
  <c r="K11" i="2" s="1"/>
  <c r="B3" i="28"/>
  <c r="F192" i="2"/>
  <c r="G192" i="2"/>
  <c r="G59" i="14"/>
  <c r="G86" i="14"/>
  <c r="G118" i="14"/>
  <c r="G152" i="14"/>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48"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D191" i="5"/>
  <c r="D192" i="5" s="1"/>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J138" i="12"/>
  <c r="J122" i="12"/>
  <c r="I138" i="12"/>
  <c r="I129" i="12"/>
  <c r="H113" i="12"/>
  <c r="H127" i="12"/>
  <c r="K114" i="12"/>
  <c r="I127" i="12"/>
  <c r="H47" i="12"/>
  <c r="I113" i="12"/>
  <c r="K46" i="12"/>
  <c r="I54" i="12"/>
  <c r="J45" i="12"/>
  <c r="J27" i="12"/>
  <c r="J19" i="12"/>
  <c r="I42" i="12"/>
  <c r="J29" i="12"/>
  <c r="J13" i="12"/>
  <c r="K41" i="12"/>
  <c r="H29" i="12"/>
  <c r="K45" i="12"/>
  <c r="I8" i="12"/>
  <c r="I21" i="12"/>
  <c r="I27" i="12"/>
  <c r="I19" i="12"/>
  <c r="I11" i="12"/>
  <c r="E58" i="5"/>
  <c r="F58" i="5" s="1"/>
  <c r="K191" i="5"/>
  <c r="K192" i="5" s="1"/>
  <c r="E121" i="5"/>
  <c r="F121" i="5" s="1"/>
  <c r="G121" i="5" s="1"/>
  <c r="E125" i="5"/>
  <c r="F125" i="5" s="1"/>
  <c r="G125" i="5" s="1"/>
  <c r="E129" i="5"/>
  <c r="F129" i="5" s="1"/>
  <c r="G129" i="5" s="1"/>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6" i="28" l="1"/>
  <c r="H155" i="12"/>
  <c r="J136" i="12"/>
  <c r="D18" i="28"/>
  <c r="B16" i="28"/>
  <c r="C16" i="28"/>
  <c r="B15" i="28"/>
  <c r="I163" i="12"/>
  <c r="D8" i="28"/>
  <c r="J241" i="2"/>
  <c r="K241" i="2" s="1"/>
  <c r="D233" i="6" s="1"/>
  <c r="F234" i="7"/>
  <c r="F235" i="7" s="1"/>
  <c r="C245" i="7" s="1"/>
  <c r="E234" i="7"/>
  <c r="E235" i="7" s="1"/>
  <c r="B245" i="7" s="1"/>
  <c r="N234" i="7"/>
  <c r="N241" i="12"/>
  <c r="N242" i="12" s="1"/>
  <c r="J64" i="8"/>
  <c r="C73" i="8" s="1"/>
  <c r="H234" i="7"/>
  <c r="H235" i="7" s="1"/>
  <c r="B246" i="7" s="1"/>
  <c r="O241" i="12"/>
  <c r="O242" i="12" s="1"/>
  <c r="L241" i="12"/>
  <c r="L242" i="12" s="1"/>
  <c r="L234" i="7"/>
  <c r="C234" i="7"/>
  <c r="C235" i="7" s="1"/>
  <c r="I234" i="7"/>
  <c r="M241" i="12"/>
  <c r="M242" i="12" s="1"/>
  <c r="K234" i="7"/>
  <c r="K235" i="7" s="1"/>
  <c r="B247" i="7" s="1"/>
  <c r="H65" i="8"/>
  <c r="A73" i="8"/>
  <c r="M233" i="6"/>
  <c r="B234" i="7"/>
  <c r="B235"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50" i="2"/>
  <c r="D250" i="2"/>
  <c r="K54" i="12"/>
  <c r="D7" i="28"/>
  <c r="J66" i="12"/>
  <c r="L191" i="5"/>
  <c r="L192" i="5" s="1"/>
  <c r="M192" i="5" s="1"/>
  <c r="H80" i="12"/>
  <c r="H75" i="12"/>
  <c r="M94" i="5"/>
  <c r="I232" i="10"/>
  <c r="J159" i="12"/>
  <c r="I167" i="12"/>
  <c r="J186" i="12"/>
  <c r="H39" i="12"/>
  <c r="I66" i="12"/>
  <c r="J39" i="12"/>
  <c r="L232" i="10"/>
  <c r="K66" i="12"/>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N241" i="2"/>
  <c r="O241" i="2" s="1"/>
  <c r="O234" i="7"/>
  <c r="O235" i="7" s="1"/>
  <c r="I235" i="7"/>
  <c r="C246" i="7" s="1"/>
  <c r="G58" i="5"/>
  <c r="F191" i="5"/>
  <c r="C241" i="6"/>
  <c r="J233" i="6"/>
  <c r="D232" i="11"/>
  <c r="F232" i="11" s="1"/>
  <c r="F231" i="11"/>
  <c r="N192" i="5"/>
  <c r="P192" i="5" s="1"/>
  <c r="P191" i="5"/>
  <c r="C240" i="6"/>
  <c r="G65" i="8"/>
  <c r="H6" i="6"/>
  <c r="K6" i="6"/>
  <c r="I32" i="12"/>
  <c r="M232" i="11"/>
  <c r="O232" i="11" s="1"/>
  <c r="O231" i="11"/>
  <c r="H236" i="3"/>
  <c r="F237" i="3"/>
  <c r="H237" i="3" s="1"/>
  <c r="B240" i="6"/>
  <c r="G247" i="2"/>
  <c r="C242" i="6"/>
  <c r="G64" i="8"/>
  <c r="B73" i="8"/>
  <c r="I65" i="8"/>
  <c r="K236" i="3"/>
  <c r="I237" i="3"/>
  <c r="K237" i="3" s="1"/>
  <c r="J191" i="5"/>
  <c r="I192" i="5"/>
  <c r="J192" i="5" s="1"/>
  <c r="B6" i="8"/>
  <c r="K6" i="7"/>
  <c r="E6" i="7"/>
  <c r="H6" i="7"/>
  <c r="B241" i="6"/>
  <c r="G248" i="2"/>
  <c r="F248" i="2" s="1"/>
  <c r="I231" i="11"/>
  <c r="G232" i="11"/>
  <c r="I232" i="11" s="1"/>
  <c r="L231" i="11"/>
  <c r="J232" i="11"/>
  <c r="L232" i="11" s="1"/>
  <c r="B242" i="6"/>
  <c r="G249" i="2"/>
  <c r="F249" i="2" s="1"/>
  <c r="D234" i="7" l="1"/>
  <c r="D235" i="7" s="1"/>
  <c r="I241" i="12"/>
  <c r="I242" i="12" s="1"/>
  <c r="J241" i="12"/>
  <c r="J242" i="12" s="1"/>
  <c r="H241" i="12"/>
  <c r="H242" i="12" s="1"/>
  <c r="K241" i="12"/>
  <c r="K242" i="12" s="1"/>
  <c r="J65" i="8"/>
  <c r="M191" i="5"/>
  <c r="N235" i="7"/>
  <c r="B248" i="7"/>
  <c r="G234" i="7"/>
  <c r="G235" i="7" s="1"/>
  <c r="B6" i="10"/>
  <c r="C6" i="8"/>
  <c r="E6" i="8"/>
  <c r="H6" i="8" s="1"/>
  <c r="G250" i="2"/>
  <c r="F247" i="2"/>
  <c r="F250" i="2" s="1"/>
  <c r="D245" i="7"/>
  <c r="J234" i="7"/>
  <c r="J235" i="7" s="1"/>
  <c r="G191" i="5"/>
  <c r="F192" i="5"/>
  <c r="G192" i="5" s="1"/>
  <c r="M234" i="7"/>
  <c r="M235" i="7" s="1"/>
  <c r="L235" i="7"/>
  <c r="C247" i="7" s="1"/>
  <c r="D247" i="7" s="1"/>
  <c r="H249" i="2" s="1"/>
  <c r="D240" i="6"/>
  <c r="H247" i="2" s="1"/>
  <c r="C243" i="6"/>
  <c r="D242" i="6"/>
  <c r="B243" i="6"/>
  <c r="D241" i="6"/>
  <c r="H248" i="2" s="1"/>
  <c r="D246" i="7"/>
  <c r="C248" i="7" l="1"/>
  <c r="D248" i="7" s="1"/>
  <c r="D243" i="6"/>
  <c r="H250"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<sst xmlns="http://schemas.openxmlformats.org/spreadsheetml/2006/main" count="3491" uniqueCount="702">
  <si>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</si>
  <si>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</si>
  <si>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</si>
  <si>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</si>
  <si>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</si>
  <si>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</si>
  <si>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</si>
  <si>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</si>
  <si>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</si>
  <si>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</si>
  <si>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</si>
  <si>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</si>
  <si>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</si>
  <si>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</si>
  <si>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</si>
  <si>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</si>
  <si>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</si>
  <si>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</si>
  <si>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</si>
  <si>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</si>
  <si>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</si>
  <si>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</si>
  <si>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</si>
  <si>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</si>
  <si>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</si>
  <si>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</si>
  <si>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</si>
  <si>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</si>
  <si>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</si>
  <si>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</si>
  <si>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</si>
  <si>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</si>
  <si>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</si>
  <si>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</si>
  <si>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</si>
  <si>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</si>
  <si>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</si>
  <si>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</si>
  <si>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</si>
  <si>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</si>
  <si>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</si>
  <si>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</si>
  <si>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</si>
  <si>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</si>
  <si>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</si>
  <si>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</si>
  <si>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</si>
  <si>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</si>
  <si>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</si>
  <si>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</si>
  <si>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</si>
  <si>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</si>
  <si>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</si>
  <si>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</si>
  <si>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</si>
  <si>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</si>
  <si>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</si>
  <si>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</si>
  <si>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</si>
  <si>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</si>
  <si>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</si>
  <si>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</si>
  <si>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</si>
  <si>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</si>
  <si>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</si>
  <si>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</si>
  <si>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</si>
  <si>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</si>
  <si>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</si>
  <si>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</si>
  <si>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</si>
  <si>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</si>
  <si>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</si>
  <si>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</si>
  <si>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</si>
  <si>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</si>
  <si>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</si>
  <si>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</si>
  <si>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</si>
  <si>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</si>
  <si>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</si>
  <si>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</si>
  <si>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</si>
  <si>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</si>
  <si>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</si>
  <si>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</si>
  <si>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</si>
  <si>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</si>
  <si>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</si>
  <si>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</si>
  <si>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</si>
  <si>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</si>
  <si>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</si>
  <si>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</si>
  <si>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</si>
  <si>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</si>
  <si>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</si>
  <si>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</si>
  <si>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</si>
  <si>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</si>
  <si>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</si>
  <si>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</si>
  <si>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</si>
  <si>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</si>
  <si>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</si>
  <si>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</si>
  <si>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</si>
  <si>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</si>
  <si>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</si>
  <si>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</si>
  <si>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</si>
  <si>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</si>
  <si>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</si>
  <si>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</si>
  <si>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</si>
  <si>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</si>
  <si>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</si>
  <si>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</si>
  <si>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</si>
  <si>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</si>
  <si>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</si>
  <si>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</si>
  <si>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</si>
  <si>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</si>
  <si>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</si>
  <si>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</si>
  <si>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</si>
  <si>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</si>
  <si>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</si>
  <si>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</si>
  <si>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</si>
  <si>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</si>
  <si>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</si>
  <si>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</si>
  <si>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</si>
  <si>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</si>
  <si>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</si>
  <si>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</si>
  <si>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</si>
  <si>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</si>
  <si>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</si>
  <si>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</si>
  <si>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</si>
  <si>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</si>
  <si>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</si>
  <si>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</si>
  <si>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</si>
  <si>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</si>
  <si>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</si>
  <si>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</si>
  <si>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</si>
  <si>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</si>
  <si>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</si>
  <si>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</si>
  <si>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</si>
  <si>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</si>
  <si>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</si>
  <si>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</si>
  <si>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</si>
  <si>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</si>
  <si>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</si>
  <si>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</si>
  <si>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</si>
  <si>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</si>
  <si>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</si>
  <si>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</si>
  <si>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</si>
  <si>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</si>
  <si>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</si>
  <si>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</si>
  <si>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</si>
  <si>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</si>
  <si>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</si>
  <si>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</si>
  <si>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</si>
  <si>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</si>
  <si>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</si>
  <si>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</si>
  <si>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</si>
  <si>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</si>
  <si>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</si>
  <si>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</si>
  <si>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</si>
  <si>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</si>
  <si>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</si>
  <si>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</si>
  <si>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</si>
  <si>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</si>
  <si>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</si>
  <si>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</si>
  <si>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</si>
  <si>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</si>
  <si>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</si>
  <si>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</si>
  <si>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</si>
  <si>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</si>
  <si>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</si>
  <si>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</si>
  <si>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</si>
  <si>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</si>
  <si>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</si>
  <si>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</si>
  <si>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</si>
  <si>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</si>
  <si>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</si>
  <si>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</si>
  <si>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</si>
  <si>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</si>
  <si>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</si>
  <si>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</si>
  <si>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</si>
  <si>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</si>
  <si>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</si>
  <si>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</si>
  <si>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</si>
  <si>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</si>
  <si>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</si>
  <si>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</si>
  <si>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</si>
  <si>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</si>
  <si>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</si>
  <si>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</si>
  <si>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</si>
  <si>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</si>
  <si>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</si>
  <si>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</si>
  <si>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</si>
  <si>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</si>
  <si>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</si>
  <si>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</si>
  <si>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</si>
  <si>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</si>
  <si>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</si>
  <si>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</si>
  <si>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</si>
  <si>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</si>
  <si>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</si>
  <si>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</si>
  <si>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</si>
  <si>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</si>
  <si>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</si>
  <si>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</si>
  <si>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</si>
  <si>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</si>
  <si>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</si>
  <si>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</si>
  <si>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</si>
  <si>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</si>
  <si>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</si>
  <si>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</si>
  <si>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</si>
  <si>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</si>
  <si>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</si>
  <si>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</si>
  <si>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</si>
  <si>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</si>
  <si>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</si>
  <si>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</si>
  <si>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</si>
  <si>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</si>
  <si>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</si>
  <si>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</si>
  <si>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</si>
  <si>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</si>
  <si>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</si>
  <si>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</si>
  <si>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</si>
  <si>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</si>
  <si>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</si>
  <si>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</si>
  <si>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</si>
  <si>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</si>
  <si>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</si>
  <si>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</si>
  <si>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</si>
  <si>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</si>
  <si>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</si>
  <si>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</si>
  <si>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</si>
  <si>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</si>
  <si>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</si>
  <si>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</si>
  <si>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</si>
  <si>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</si>
  <si>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</si>
  <si>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</si>
  <si>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</si>
  <si>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</si>
  <si>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</si>
  <si>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</si>
  <si>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</si>
  <si>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</si>
  <si>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</si>
  <si>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</si>
  <si>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</si>
  <si>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</si>
  <si>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</si>
  <si>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</si>
  <si>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</si>
  <si>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</si>
  <si>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</si>
  <si>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</si>
  <si>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</si>
  <si>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</si>
  <si>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</si>
  <si>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</si>
  <si>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</si>
  <si>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</si>
  <si>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</si>
  <si>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</si>
  <si>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</si>
  <si>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</si>
  <si>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</si>
  <si>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</si>
  <si>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</si>
  <si>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</si>
  <si>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</si>
  <si>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</si>
  <si>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</si>
  <si>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</si>
  <si>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</si>
  <si>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</si>
  <si>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</si>
  <si>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</si>
  <si>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</si>
  <si>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</si>
  <si>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</si>
  <si>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</si>
  <si>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</si>
  <si>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</si>
  <si>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</si>
  <si>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</si>
  <si>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</si>
  <si>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</si>
  <si>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</si>
  <si>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</si>
  <si>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</si>
  <si>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</si>
  <si>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</si>
  <si>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</si>
  <si>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</si>
  <si>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</si>
  <si>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</si>
  <si>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</si>
  <si>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</si>
  <si>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</si>
  <si>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</si>
  <si>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</si>
  <si>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</si>
  <si>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</si>
  <si>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</si>
  <si>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</si>
  <si>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</si>
  <si>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</si>
  <si>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</si>
  <si>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</si>
  <si>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</si>
  <si>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</si>
  <si>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</si>
  <si>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</si>
  <si>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</si>
  <si>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</si>
  <si>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</si>
  <si>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</si>
  <si>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</si>
  <si>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</si>
  <si>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</si>
  <si>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</si>
  <si>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</si>
  <si>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</si>
  <si>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</si>
  <si>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</si>
  <si>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</si>
  <si>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</si>
  <si>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</si>
  <si>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</si>
  <si>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</si>
  <si>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</si>
  <si>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</si>
  <si>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</si>
  <si>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</si>
  <si>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</si>
  <si>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</si>
  <si>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</si>
  <si>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</si>
  <si>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</si>
  <si>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</si>
  <si>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</si>
  <si>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</si>
  <si>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</si>
  <si>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</si>
  <si>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</si>
  <si>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</si>
  <si>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</si>
  <si>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</si>
  <si>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</si>
  <si>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</si>
  <si>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</si>
  <si>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</si>
  <si>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</si>
  <si>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</si>
  <si>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</si>
  <si>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</si>
  <si>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</si>
  <si>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</si>
  <si>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</si>
  <si>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</si>
  <si>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</si>
  <si>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</si>
  <si>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</si>
  <si>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</si>
  <si>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</si>
  <si>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</si>
  <si>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</si>
  <si>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</si>
  <si>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</si>
  <si>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</si>
  <si>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</si>
  <si>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</si>
  <si>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</si>
  <si>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</si>
  <si>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</si>
  <si>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</si>
  <si>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</si>
  <si>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</si>
  <si>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</si>
  <si>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</si>
  <si>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</si>
  <si>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</si>
  <si>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</si>
  <si>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</si>
  <si>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</si>
  <si>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</si>
  <si>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</si>
  <si>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</si>
  <si>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</si>
  <si>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</si>
  <si>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</si>
  <si>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</si>
  <si>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</si>
  <si>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</si>
  <si>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</si>
  <si>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</si>
  <si>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</si>
  <si>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</si>
  <si>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</si>
  <si>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</si>
  <si>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</si>
  <si>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</si>
  <si>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</si>
  <si>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</si>
  <si>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</si>
  <si>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</si>
  <si>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</si>
  <si>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</si>
  <si>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</si>
  <si>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</si>
  <si>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</si>
  <si>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</si>
  <si>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</si>
  <si>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</si>
  <si>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</si>
  <si>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</si>
  <si>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</si>
  <si>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</si>
  <si>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</si>
  <si>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</si>
  <si>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</si>
  <si>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</si>
  <si>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</si>
  <si>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</si>
  <si>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</si>
  <si>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</si>
  <si>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</si>
  <si>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</si>
  <si>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</si>
  <si>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</si>
  <si>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</si>
  <si>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</si>
  <si>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</si>
  <si>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</si>
  <si>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</si>
  <si>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</si>
  <si>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</si>
  <si>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</si>
  <si>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</si>
  <si>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</si>
  <si>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</si>
  <si>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</si>
  <si>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</si>
  <si>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</si>
  <si>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</si>
  <si>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</si>
  <si>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</si>
  <si>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</si>
  <si>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</si>
  <si>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</si>
  <si>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</si>
  <si>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</si>
  <si>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</si>
  <si>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</si>
  <si>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</si>
  <si>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</si>
  <si>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</si>
  <si>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</si>
  <si>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</si>
  <si>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</si>
  <si>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</si>
  <si>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</si>
  <si>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</si>
  <si>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</si>
  <si>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</si>
  <si>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</si>
  <si>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</si>
  <si>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</si>
  <si>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</si>
  <si>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</si>
  <si>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</si>
  <si>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</si>
  <si>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</si>
  <si>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</si>
  <si>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</si>
  <si>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</si>
  <si>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</si>
  <si>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</si>
  <si>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</si>
  <si>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</si>
  <si>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</si>
  <si>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</si>
  <si>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</si>
  <si>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</si>
  <si>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</si>
  <si>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</si>
  <si>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</si>
  <si>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</si>
  <si>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</si>
  <si>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</si>
  <si>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</si>
  <si>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</si>
  <si>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</si>
  <si>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</si>
  <si>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</si>
  <si>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</si>
  <si>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</si>
  <si>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</si>
  <si>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</si>
  <si>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</si>
  <si>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</si>
  <si>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</si>
  <si>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</si>
  <si>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</si>
  <si>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</si>
  <si>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</si>
  <si>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</si>
  <si>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</si>
  <si>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</si>
  <si>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</si>
  <si>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</si>
  <si>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</si>
  <si>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</si>
  <si>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</si>
  <si>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</si>
  <si>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</si>
  <si>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</si>
  <si>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</si>
  <si>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</si>
  <si>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</si>
  <si>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</si>
  <si>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</si>
  <si>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</si>
  <si>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</si>
  <si>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</si>
  <si>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</si>
  <si>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</si>
  <si>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</si>
  <si>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</si>
  <si>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</si>
  <si>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</si>
  <si>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</si>
  <si>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</si>
  <si>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</si>
  <si>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</si>
  <si>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</si>
  <si>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</si>
  <si>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</si>
  <si>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</si>
  <si>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</si>
  <si>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</si>
  <si>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</si>
  <si>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</si>
  <si>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</si>
  <si>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</si>
  <si>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</si>
  <si>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</si>
  <si>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</si>
  <si>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</si>
  <si>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</si>
  <si>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</si>
  <si>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</si>
  <si>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</si>
  <si>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</si>
  <si>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</si>
  <si>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</si>
  <si>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</si>
  <si>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</si>
  <si>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</si>
  <si>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</si>
  <si>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</si>
  <si>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</si>
  <si>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</si>
  <si>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</si>
  <si>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</si>
  <si>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</si>
  <si>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</si>
  <si>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</si>
  <si>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</si>
  <si>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</si>
  <si>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</si>
  <si>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</si>
  <si>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</si>
  <si>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</si>
  <si>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</si>
  <si>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</si>
  <si>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</si>
  <si>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</si>
  <si>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</si>
  <si>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</si>
  <si>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</si>
  <si>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</si>
  <si>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</si>
  <si>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</si>
  <si>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</si>
  <si>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</si>
  <si>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</si>
  <si>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</si>
  <si>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</si>
  <si>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</si>
  <si>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</si>
  <si>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</si>
  <si>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</si>
  <si>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</si>
  <si>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</si>
  <si>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</si>
  <si>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</si>
  <si>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</si>
  <si>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</si>
  <si>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</si>
  <si>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</si>
  <si>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</si>
  <si>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</si>
  <si>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</si>
  <si>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</si>
  <si>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</si>
  <si>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</si>
  <si>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</si>
  <si>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</si>
  <si>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</si>
  <si>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</si>
  <si>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</si>
  <si>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</si>
  <si>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</si>
  <si>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</si>
  <si>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</si>
  <si>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</si>
  <si>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</si>
  <si>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</si>
  <si>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</si>
  <si>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</si>
  <si>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</si>
  <si>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</si>
  <si>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</si>
  <si>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</si>
  <si>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</si>
  <si>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</si>
  <si>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</si>
  <si>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</si>
  <si>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</si>
  <si>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</si>
  <si>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</si>
  <si>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</si>
  <si>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</si>
  <si>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</si>
  <si>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</si>
  <si>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</si>
  <si>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</si>
  <si>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</si>
  <si>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</si>
  <si>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</si>
  <si>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</si>
  <si>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</si>
  <si>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</si>
  <si>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</si>
  <si>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LTM</t>
  </si>
  <si>
    <t>Short_Covering</t>
  </si>
  <si>
    <t>HYUNDAI</t>
  </si>
  <si>
    <t>ADANIPOWER</t>
  </si>
  <si>
    <t>COCHINSHIP</t>
  </si>
  <si>
    <t>VMM</t>
  </si>
  <si>
    <t>MOTILALOFS</t>
  </si>
  <si>
    <t>GODFRYPHLP</t>
  </si>
  <si>
    <t>FORCEMOT</t>
  </si>
  <si>
    <t>F&amp;O Market Trading Kit for 20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</si>
</sst>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2">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2" fontId="31" fillId="40" borderId="1" xfId="0" applyNumberFormat="1" applyFont="1" applyFill="1" applyBorder="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1"/>
  <sheetViews>
    <sheetView tabSelected="1" zoomScale="85" zoomScaleNormal="85" workbookViewId="0">
      <pane ySplit="10" topLeftCell="A11" activePane="bottomLeft" state="frozen"/>
      <selection activeCell="Q163" sqref="Q163"/>
      <selection pane="bottomLeft" activeCell="A11" sqref="A11:A229"/>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4" t="s">
        <v>701</v>
      </c>
      <c r="B6" s="235"/>
      <c r="C6" s="235"/>
      <c r="D6" s="235"/>
      <c r="E6" s="235"/>
      <c r="F6" s="235"/>
      <c r="G6" s="235"/>
      <c r="H6" s="235"/>
      <c r="I6" s="235"/>
      <c r="J6" s="235"/>
      <c r="K6" s="235"/>
      <c r="L6" s="235"/>
      <c r="M6" s="235"/>
      <c r="N6" s="235"/>
      <c r="O6" s="235"/>
      <c r="P6" s="235"/>
      <c r="Q6" s="235"/>
      <c r="R6" s="235"/>
      <c r="S6" s="236"/>
    </row>
    <row r="7" spans="1:19" x14ac:dyDescent="0.25">
      <c r="A7" s="237"/>
      <c r="B7" s="238"/>
      <c r="C7" s="238"/>
      <c r="D7" s="238"/>
      <c r="E7" s="238"/>
      <c r="F7" s="238"/>
      <c r="G7" s="238"/>
      <c r="H7" s="238"/>
      <c r="I7" s="238"/>
      <c r="J7" s="238"/>
      <c r="K7" s="238"/>
      <c r="L7" s="238"/>
      <c r="M7" s="238"/>
      <c r="N7" s="238"/>
      <c r="O7" s="238"/>
      <c r="P7" s="238"/>
      <c r="Q7" s="238"/>
      <c r="R7" s="238"/>
      <c r="S7" s="239"/>
    </row>
    <row r="8" spans="1:19" s="64" customFormat="1" ht="15" customHeight="1" x14ac:dyDescent="0.25">
      <c r="A8" s="240"/>
      <c r="B8" s="2"/>
      <c r="C8" s="242" t="s">
        <v>308</v>
      </c>
      <c r="D8" s="243"/>
      <c r="E8" s="243"/>
      <c r="F8" s="243"/>
      <c r="G8" s="244"/>
      <c r="H8" s="242" t="s">
        <v>309</v>
      </c>
      <c r="I8" s="243"/>
      <c r="J8" s="243"/>
      <c r="K8" s="244"/>
      <c r="L8" s="245" t="s">
        <v>310</v>
      </c>
      <c r="M8" s="246"/>
      <c r="N8" s="246"/>
      <c r="O8" s="247"/>
      <c r="P8" s="242" t="s">
        <v>311</v>
      </c>
      <c r="Q8" s="243"/>
      <c r="R8" s="243"/>
      <c r="S8" s="244"/>
    </row>
    <row r="9" spans="1:19" s="64" customFormat="1" x14ac:dyDescent="0.25">
      <c r="A9" s="241"/>
      <c r="B9" s="2"/>
      <c r="C9" s="2" t="s">
        <v>312</v>
      </c>
      <c r="D9" s="242" t="s">
        <v>313</v>
      </c>
      <c r="E9" s="243"/>
      <c r="F9" s="243"/>
      <c r="G9" s="244"/>
      <c r="H9" s="242" t="s">
        <v>314</v>
      </c>
      <c r="I9" s="243"/>
      <c r="J9" s="243"/>
      <c r="K9" s="244"/>
      <c r="L9" s="242" t="s">
        <v>315</v>
      </c>
      <c r="M9" s="243"/>
      <c r="N9" s="243"/>
      <c r="O9" s="244"/>
      <c r="P9" s="242" t="s">
        <v>316</v>
      </c>
      <c r="Q9" s="244"/>
      <c r="R9" s="242" t="s">
        <v>317</v>
      </c>
      <c r="S9" s="244"/>
    </row>
    <row r="10" spans="1:19" s="67" customFormat="1" ht="27" customHeight="1" x14ac:dyDescent="0.25">
      <c r="A10" s="65" t="s">
        <v>318</v>
      </c>
      <c r="B10" s="65" t="s">
        <v>319</v>
      </c>
      <c r="C10" s="66">
        <f>'Data Vlaue (Cr)'!A2</f>
        <v>46129</v>
      </c>
      <c r="D10" s="66">
        <f>'Data Vlaue (Cr)'!A2</f>
        <v>46129</v>
      </c>
      <c r="E10" s="65" t="s">
        <v>322</v>
      </c>
      <c r="F10" s="65" t="s">
        <v>320</v>
      </c>
      <c r="G10" s="65" t="s">
        <v>321</v>
      </c>
      <c r="H10" s="66">
        <f>D10</f>
        <v>46129</v>
      </c>
      <c r="I10" s="65" t="s">
        <v>322</v>
      </c>
      <c r="J10" s="65" t="s">
        <v>323</v>
      </c>
      <c r="K10" s="65" t="s">
        <v>324</v>
      </c>
      <c r="L10" s="66">
        <f>D10</f>
        <v>46129</v>
      </c>
      <c r="M10" s="65" t="s">
        <v>322</v>
      </c>
      <c r="N10" s="65" t="s">
        <v>323</v>
      </c>
      <c r="O10" s="65" t="s">
        <v>324</v>
      </c>
      <c r="P10" s="66">
        <f>D10</f>
        <v>46129</v>
      </c>
      <c r="Q10" s="65" t="s">
        <v>324</v>
      </c>
      <c r="R10" s="66">
        <f>D10</f>
        <v>46129</v>
      </c>
      <c r="S10" s="65" t="s">
        <v>324</v>
      </c>
    </row>
    <row r="11" spans="1:19" x14ac:dyDescent="0.25">
      <c r="A11" s="96" t="str">
        <f>'Data Vlaue (Cr)'!C2</f>
        <v>360ONE</v>
      </c>
      <c r="B11" s="75">
        <f>VLOOKUP($A11,'Data Vlaue (Cr)'!$C:$FB,2)</f>
        <v>500</v>
      </c>
      <c r="C11" s="75">
        <f>VLOOKUP($A11,'Data Vlaue (Cr)'!$C:$FB,8)</f>
        <v>1113.3</v>
      </c>
      <c r="D11" s="75">
        <f>VLOOKUP($A11,'Data Vlaue (Cr)'!$C:$FB,4)</f>
        <v>1114.6500000000001</v>
      </c>
      <c r="E11" s="75">
        <f>VLOOKUP($A11,'Data Vlaue (Cr)'!$C:$FB,5)</f>
        <v>1074.8499999999999</v>
      </c>
      <c r="F11" s="75">
        <f>D11-C11</f>
        <v>1.3500000000001364</v>
      </c>
      <c r="G11" s="75">
        <f>(D11-E11)/D11*100</f>
        <v>3.5706275512492871</v>
      </c>
      <c r="H11" s="75">
        <f>VLOOKUP($A11,'Data Vlaue (Cr)'!$C:$FB,99)</f>
        <v>1100</v>
      </c>
      <c r="I11" s="75">
        <f>VLOOKUP($A11,'Data Vlaue (Cr)'!$C:$FB,100)</f>
        <v>1003</v>
      </c>
      <c r="J11" s="75">
        <f>H11-I11</f>
        <v>97</v>
      </c>
      <c r="K11" s="75">
        <f>J11/H11*100</f>
        <v>8.8181818181818183</v>
      </c>
      <c r="L11" s="75">
        <f>VLOOKUP($A11,'Data Vlaue (Cr)'!$C:$FB,67)</f>
        <v>1167</v>
      </c>
      <c r="M11" s="75">
        <f>VLOOKUP($A11,'Data Vlaue (Cr)'!$C:$FB,68)</f>
        <v>616</v>
      </c>
      <c r="N11" s="75">
        <f>L11-M11</f>
        <v>551</v>
      </c>
      <c r="O11" s="75">
        <f>N11/L11*100</f>
        <v>47.215081405312773</v>
      </c>
      <c r="P11" s="75">
        <f>VLOOKUP($A11,'Data Vlaue (Cr)'!$C:$FB,119)</f>
        <v>1.23</v>
      </c>
      <c r="Q11" s="75">
        <f>VLOOKUP($A11,'Data Vlaue (Cr)'!$C:$FB,122)*100</f>
        <v>-3.15</v>
      </c>
      <c r="R11" s="75">
        <f>VLOOKUP($A11,'Data Vlaue (Cr)'!$C:$FB,125)</f>
        <v>0.54</v>
      </c>
      <c r="S11" s="75">
        <f>VLOOKUP($A11,'Data Vlaue (Cr)'!$C:$FB,128)*100</f>
        <v>-44.9</v>
      </c>
    </row>
    <row r="12" spans="1:19" x14ac:dyDescent="0.25">
      <c r="A12" s="96" t="str">
        <f>'Data Vlaue (Cr)'!C3</f>
        <v>ABB</v>
      </c>
      <c r="B12" s="75">
        <f>VLOOKUP($A12,'Data Vlaue (Cr)'!$C:$FB,2)</f>
        <v>125</v>
      </c>
      <c r="C12" s="75">
        <f>VLOOKUP($A12,'Data Vlaue (Cr)'!$C:$FB,8)</f>
        <v>7029.5</v>
      </c>
      <c r="D12" s="75">
        <f>VLOOKUP($A12,'Data Vlaue (Cr)'!$C:$FB,4)</f>
        <v>7037</v>
      </c>
      <c r="E12" s="75">
        <f>VLOOKUP($A12,'Data Vlaue (Cr)'!$C:$FB,5)</f>
        <v>6885</v>
      </c>
      <c r="F12" s="75">
        <f t="shared" ref="F12:F75" si="0">D12-C12</f>
        <v>7.5</v>
      </c>
      <c r="G12" s="75">
        <f t="shared" ref="G12:G74" si="1">(D12-E12)/D12*100</f>
        <v>2.1600113684808866</v>
      </c>
      <c r="H12" s="75">
        <f>VLOOKUP($A12,'Data Vlaue (Cr)'!$C:$FB,99)</f>
        <v>3191</v>
      </c>
      <c r="I12" s="75">
        <f>VLOOKUP($A12,'Data Vlaue (Cr)'!$C:$FB,100)</f>
        <v>3110</v>
      </c>
      <c r="J12" s="75">
        <f t="shared" ref="J12:J75" si="2">H12-I12</f>
        <v>81</v>
      </c>
      <c r="K12" s="75">
        <f t="shared" ref="K12:K75" si="3">J12/H12*100</f>
        <v>2.5383892196803508</v>
      </c>
      <c r="L12" s="75">
        <f>VLOOKUP($A12,'Data Vlaue (Cr)'!$C:$FB,67)</f>
        <v>4794</v>
      </c>
      <c r="M12" s="75">
        <f>VLOOKUP($A12,'Data Vlaue (Cr)'!$C:$FB,68)</f>
        <v>3167</v>
      </c>
      <c r="N12" s="75">
        <f t="shared" ref="N12:N75" si="4">L12-M12</f>
        <v>1627</v>
      </c>
      <c r="O12" s="75">
        <f t="shared" ref="O12:O75" si="5">N12/L12*100</f>
        <v>33.938256153525245</v>
      </c>
      <c r="P12" s="75">
        <f>VLOOKUP($A12,'Data Vlaue (Cr)'!$C:$FB,119)</f>
        <v>1.1299999999999999</v>
      </c>
      <c r="Q12" s="75">
        <f>VLOOKUP($A12,'Data Vlaue (Cr)'!$C:$FB,122)*100</f>
        <v>5.6099999999999994</v>
      </c>
      <c r="R12" s="75">
        <f>VLOOKUP($A12,'Data Vlaue (Cr)'!$C:$FB,125)</f>
        <v>0.48</v>
      </c>
      <c r="S12" s="75">
        <f>VLOOKUP($A12,'Data Vlaue (Cr)'!$C:$FB,128)*100</f>
        <v>-41.46</v>
      </c>
    </row>
    <row r="13" spans="1:19" x14ac:dyDescent="0.25">
      <c r="A13" s="96" t="str">
        <f>'Data Vlaue (Cr)'!C4</f>
        <v>ABCAPITAL</v>
      </c>
      <c r="B13" s="75">
        <f>VLOOKUP($A13,'Data Vlaue (Cr)'!$C:$FB,2)</f>
        <v>3100</v>
      </c>
      <c r="C13" s="75">
        <f>VLOOKUP($A13,'Data Vlaue (Cr)'!$C:$FB,8)</f>
        <v>340.4</v>
      </c>
      <c r="D13" s="75">
        <f>VLOOKUP($A13,'Data Vlaue (Cr)'!$C:$FB,4)</f>
        <v>340.8</v>
      </c>
      <c r="E13" s="75">
        <f>VLOOKUP($A13,'Data Vlaue (Cr)'!$C:$FB,5)</f>
        <v>338.05</v>
      </c>
      <c r="F13" s="75">
        <f t="shared" si="0"/>
        <v>0.40000000000003411</v>
      </c>
      <c r="G13" s="75">
        <f t="shared" si="1"/>
        <v>0.806924882629108</v>
      </c>
      <c r="H13" s="75">
        <f>VLOOKUP($A13,'Data Vlaue (Cr)'!$C:$FB,99)</f>
        <v>2388</v>
      </c>
      <c r="I13" s="75">
        <f>VLOOKUP($A13,'Data Vlaue (Cr)'!$C:$FB,100)</f>
        <v>2190</v>
      </c>
      <c r="J13" s="75">
        <f t="shared" si="2"/>
        <v>198</v>
      </c>
      <c r="K13" s="75">
        <f t="shared" si="3"/>
        <v>8.291457286432161</v>
      </c>
      <c r="L13" s="75">
        <f>VLOOKUP($A13,'Data Vlaue (Cr)'!$C:$FB,67)</f>
        <v>2482</v>
      </c>
      <c r="M13" s="75">
        <f>VLOOKUP($A13,'Data Vlaue (Cr)'!$C:$FB,68)</f>
        <v>1150</v>
      </c>
      <c r="N13" s="75">
        <f t="shared" si="4"/>
        <v>1332</v>
      </c>
      <c r="O13" s="75">
        <f t="shared" si="5"/>
        <v>53.66639806607575</v>
      </c>
      <c r="P13" s="75">
        <f>VLOOKUP($A13,'Data Vlaue (Cr)'!$C:$FB,119)</f>
        <v>0.61</v>
      </c>
      <c r="Q13" s="75">
        <f>VLOOKUP($A13,'Data Vlaue (Cr)'!$C:$FB,122)*100</f>
        <v>-21.790000000000003</v>
      </c>
      <c r="R13" s="75">
        <f>VLOOKUP($A13,'Data Vlaue (Cr)'!$C:$FB,125)</f>
        <v>0.24</v>
      </c>
      <c r="S13" s="75">
        <f>VLOOKUP($A13,'Data Vlaue (Cr)'!$C:$FB,128)*100</f>
        <v>-60</v>
      </c>
    </row>
    <row r="14" spans="1:19" x14ac:dyDescent="0.25">
      <c r="A14" s="96" t="str">
        <f>'Data Vlaue (Cr)'!C5</f>
        <v>ADANIENSOL</v>
      </c>
      <c r="B14" s="75">
        <f>VLOOKUP($A14,'Data Vlaue (Cr)'!$C:$FB,2)</f>
        <v>675</v>
      </c>
      <c r="C14" s="75">
        <f>VLOOKUP($A14,'Data Vlaue (Cr)'!$C:$FB,8)</f>
        <v>1259.8</v>
      </c>
      <c r="D14" s="75">
        <f>VLOOKUP($A14,'Data Vlaue (Cr)'!$C:$FB,4)</f>
        <v>1261.7</v>
      </c>
      <c r="E14" s="75">
        <f>VLOOKUP($A14,'Data Vlaue (Cr)'!$C:$FB,5)</f>
        <v>1227.75</v>
      </c>
      <c r="F14" s="75">
        <f t="shared" si="0"/>
        <v>1.9000000000000909</v>
      </c>
      <c r="G14" s="75">
        <f t="shared" si="1"/>
        <v>2.6908139811365652</v>
      </c>
      <c r="H14" s="75">
        <f>VLOOKUP($A14,'Data Vlaue (Cr)'!$C:$FB,99)</f>
        <v>3781</v>
      </c>
      <c r="I14" s="75">
        <f>VLOOKUP($A14,'Data Vlaue (Cr)'!$C:$FB,100)</f>
        <v>3531</v>
      </c>
      <c r="J14" s="75">
        <f t="shared" si="2"/>
        <v>250</v>
      </c>
      <c r="K14" s="75">
        <f t="shared" si="3"/>
        <v>6.6120074054482947</v>
      </c>
      <c r="L14" s="75">
        <f>VLOOKUP($A14,'Data Vlaue (Cr)'!$C:$FB,67)</f>
        <v>3322</v>
      </c>
      <c r="M14" s="75">
        <f>VLOOKUP($A14,'Data Vlaue (Cr)'!$C:$FB,68)</f>
        <v>2524</v>
      </c>
      <c r="N14" s="75">
        <f t="shared" si="4"/>
        <v>798</v>
      </c>
      <c r="O14" s="75">
        <f>N14/L14*100</f>
        <v>24.021673690547864</v>
      </c>
      <c r="P14" s="75">
        <f>VLOOKUP($A14,'Data Vlaue (Cr)'!$C:$FB,119)</f>
        <v>0.69</v>
      </c>
      <c r="Q14" s="75">
        <f>VLOOKUP($A14,'Data Vlaue (Cr)'!$C:$FB,122)*100</f>
        <v>-1.43</v>
      </c>
      <c r="R14" s="75">
        <f>VLOOKUP($A14,'Data Vlaue (Cr)'!$C:$FB,125)</f>
        <v>0.55000000000000004</v>
      </c>
      <c r="S14" s="75">
        <f>VLOOKUP($A14,'Data Vlaue (Cr)'!$C:$FB,128)*100</f>
        <v>30.95</v>
      </c>
    </row>
    <row r="15" spans="1:19" x14ac:dyDescent="0.25">
      <c r="A15" s="96" t="str">
        <f>'Data Vlaue (Cr)'!C6</f>
        <v>ADANIENT</v>
      </c>
      <c r="B15" s="75">
        <f>VLOOKUP($A15,'Data Vlaue (Cr)'!$C:$FB,2)</f>
        <v>309</v>
      </c>
      <c r="C15" s="75">
        <f>VLOOKUP($A15,'Data Vlaue (Cr)'!$C:$FB,8)</f>
        <v>2218.3000000000002</v>
      </c>
      <c r="D15" s="75">
        <f>VLOOKUP($A15,'Data Vlaue (Cr)'!$C:$FB,4)</f>
        <v>2224.9</v>
      </c>
      <c r="E15" s="75">
        <f>VLOOKUP($A15,'Data Vlaue (Cr)'!$C:$FB,5)</f>
        <v>2211.1</v>
      </c>
      <c r="F15" s="75">
        <f t="shared" si="0"/>
        <v>6.5999999999999091</v>
      </c>
      <c r="G15" s="75">
        <f t="shared" si="1"/>
        <v>0.6202525956222833</v>
      </c>
      <c r="H15" s="75">
        <f>VLOOKUP($A15,'Data Vlaue (Cr)'!$C:$FB,99)</f>
        <v>6984</v>
      </c>
      <c r="I15" s="75">
        <f>VLOOKUP($A15,'Data Vlaue (Cr)'!$C:$FB,100)</f>
        <v>6841</v>
      </c>
      <c r="J15" s="75">
        <f t="shared" si="2"/>
        <v>143</v>
      </c>
      <c r="K15" s="75">
        <f t="shared" si="3"/>
        <v>2.0475372279495989</v>
      </c>
      <c r="L15" s="75">
        <f>VLOOKUP($A15,'Data Vlaue (Cr)'!$C:$FB,67)</f>
        <v>5434</v>
      </c>
      <c r="M15" s="75">
        <f>VLOOKUP($A15,'Data Vlaue (Cr)'!$C:$FB,68)</f>
        <v>4725</v>
      </c>
      <c r="N15" s="75">
        <f t="shared" si="4"/>
        <v>709</v>
      </c>
      <c r="O15" s="75">
        <f t="shared" si="5"/>
        <v>13.047478836952523</v>
      </c>
      <c r="P15" s="75">
        <f>VLOOKUP($A15,'Data Vlaue (Cr)'!$C:$FB,119)</f>
        <v>0.94</v>
      </c>
      <c r="Q15" s="75">
        <f>VLOOKUP($A15,'Data Vlaue (Cr)'!$C:$FB,122)*100</f>
        <v>-5.0500000000000007</v>
      </c>
      <c r="R15" s="75">
        <f>VLOOKUP($A15,'Data Vlaue (Cr)'!$C:$FB,125)</f>
        <v>0.48</v>
      </c>
      <c r="S15" s="75">
        <f>VLOOKUP($A15,'Data Vlaue (Cr)'!$C:$FB,128)*100</f>
        <v>2.13</v>
      </c>
    </row>
    <row r="16" spans="1:19" x14ac:dyDescent="0.25">
      <c r="A16" s="96" t="str">
        <f>'Data Vlaue (Cr)'!C7</f>
        <v>ADANIGREEN</v>
      </c>
      <c r="B16" s="75">
        <f>VLOOKUP($A16,'Data Vlaue (Cr)'!$C:$FB,2)</f>
        <v>600</v>
      </c>
      <c r="C16" s="75">
        <f>VLOOKUP($A16,'Data Vlaue (Cr)'!$C:$FB,8)</f>
        <v>1127.3</v>
      </c>
      <c r="D16" s="75">
        <f>VLOOKUP($A16,'Data Vlaue (Cr)'!$C:$FB,4)</f>
        <v>1129.1500000000001</v>
      </c>
      <c r="E16" s="75">
        <f>VLOOKUP($A16,'Data Vlaue (Cr)'!$C:$FB,5)</f>
        <v>1122.3</v>
      </c>
      <c r="F16" s="75">
        <f t="shared" si="0"/>
        <v>1.8500000000001364</v>
      </c>
      <c r="G16" s="75">
        <f t="shared" si="1"/>
        <v>0.606651020679284</v>
      </c>
      <c r="H16" s="75">
        <f>VLOOKUP($A16,'Data Vlaue (Cr)'!$C:$FB,99)</f>
        <v>4081</v>
      </c>
      <c r="I16" s="75">
        <f>VLOOKUP($A16,'Data Vlaue (Cr)'!$C:$FB,100)</f>
        <v>4028</v>
      </c>
      <c r="J16" s="75">
        <f t="shared" si="2"/>
        <v>53</v>
      </c>
      <c r="K16" s="75">
        <f t="shared" si="3"/>
        <v>1.2987012987012987</v>
      </c>
      <c r="L16" s="75">
        <f>VLOOKUP($A16,'Data Vlaue (Cr)'!$C:$FB,67)</f>
        <v>2728</v>
      </c>
      <c r="M16" s="75">
        <f>VLOOKUP($A16,'Data Vlaue (Cr)'!$C:$FB,68)</f>
        <v>2660</v>
      </c>
      <c r="N16" s="75">
        <f t="shared" si="4"/>
        <v>68</v>
      </c>
      <c r="O16" s="75">
        <f t="shared" si="5"/>
        <v>2.4926686217008798</v>
      </c>
      <c r="P16" s="75">
        <f>VLOOKUP($A16,'Data Vlaue (Cr)'!$C:$FB,119)</f>
        <v>0.84</v>
      </c>
      <c r="Q16" s="75">
        <f>VLOOKUP($A16,'Data Vlaue (Cr)'!$C:$FB,122)*100</f>
        <v>-2.33</v>
      </c>
      <c r="R16" s="75">
        <f>VLOOKUP($A16,'Data Vlaue (Cr)'!$C:$FB,125)</f>
        <v>0.5</v>
      </c>
      <c r="S16" s="75">
        <f>VLOOKUP($A16,'Data Vlaue (Cr)'!$C:$FB,128)*100</f>
        <v>-7.41</v>
      </c>
    </row>
    <row r="17" spans="1:19" x14ac:dyDescent="0.25">
      <c r="A17" s="96" t="str">
        <f>'Data Vlaue (Cr)'!C8</f>
        <v>ADANIPORTS</v>
      </c>
      <c r="B17" s="75">
        <f>VLOOKUP($A17,'Data Vlaue (Cr)'!$C:$FB,2)</f>
        <v>475</v>
      </c>
      <c r="C17" s="75">
        <f>VLOOKUP($A17,'Data Vlaue (Cr)'!$C:$FB,8)</f>
        <v>1573.4</v>
      </c>
      <c r="D17" s="75">
        <f>VLOOKUP($A17,'Data Vlaue (Cr)'!$C:$FB,4)</f>
        <v>1573.2</v>
      </c>
      <c r="E17" s="75">
        <f>VLOOKUP($A17,'Data Vlaue (Cr)'!$C:$FB,5)</f>
        <v>1550.7</v>
      </c>
      <c r="F17" s="75">
        <f t="shared" si="0"/>
        <v>-0.20000000000004547</v>
      </c>
      <c r="G17" s="75">
        <f t="shared" si="1"/>
        <v>1.4302059496567505</v>
      </c>
      <c r="H17" s="75">
        <f>VLOOKUP($A17,'Data Vlaue (Cr)'!$C:$FB,99)</f>
        <v>5847</v>
      </c>
      <c r="I17" s="75">
        <f>VLOOKUP($A17,'Data Vlaue (Cr)'!$C:$FB,100)</f>
        <v>5569</v>
      </c>
      <c r="J17" s="75">
        <f t="shared" si="2"/>
        <v>278</v>
      </c>
      <c r="K17" s="75">
        <f t="shared" si="3"/>
        <v>4.7545749957243029</v>
      </c>
      <c r="L17" s="75">
        <f>VLOOKUP($A17,'Data Vlaue (Cr)'!$C:$FB,67)</f>
        <v>6509</v>
      </c>
      <c r="M17" s="75">
        <f>VLOOKUP($A17,'Data Vlaue (Cr)'!$C:$FB,68)</f>
        <v>7023</v>
      </c>
      <c r="N17" s="75">
        <f t="shared" si="4"/>
        <v>-514</v>
      </c>
      <c r="O17" s="75">
        <f t="shared" si="5"/>
        <v>-7.8967583346136117</v>
      </c>
      <c r="P17" s="75">
        <f>VLOOKUP($A17,'Data Vlaue (Cr)'!$C:$FB,119)</f>
        <v>0.84</v>
      </c>
      <c r="Q17" s="75">
        <f>VLOOKUP($A17,'Data Vlaue (Cr)'!$C:$FB,122)*100</f>
        <v>0</v>
      </c>
      <c r="R17" s="75">
        <f>VLOOKUP($A17,'Data Vlaue (Cr)'!$C:$FB,125)</f>
        <v>0.48</v>
      </c>
      <c r="S17" s="75">
        <f>VLOOKUP($A17,'Data Vlaue (Cr)'!$C:$FB,128)*100</f>
        <v>11.63</v>
      </c>
    </row>
    <row r="18" spans="1:19" x14ac:dyDescent="0.25">
      <c r="A18" s="96" t="str">
        <f>'Data Vlaue (Cr)'!C9</f>
        <v>ADANIPOWER</v>
      </c>
      <c r="B18" s="75">
        <f>VLOOKUP($A18,'Data Vlaue (Cr)'!$C:$FB,2)</f>
        <v>3550</v>
      </c>
      <c r="C18" s="75">
        <f>VLOOKUP($A18,'Data Vlaue (Cr)'!$C:$FB,8)</f>
        <v>198.5</v>
      </c>
      <c r="D18" s="75">
        <f>VLOOKUP($A18,'Data Vlaue (Cr)'!$C:$FB,4)</f>
        <v>199.23</v>
      </c>
      <c r="E18" s="75">
        <f>VLOOKUP($A18,'Data Vlaue (Cr)'!$C:$FB,5)</f>
        <v>193.68</v>
      </c>
      <c r="F18" s="75">
        <f t="shared" si="0"/>
        <v>0.72999999999998977</v>
      </c>
      <c r="G18" s="75">
        <f t="shared" si="1"/>
        <v>2.7857250414094179</v>
      </c>
      <c r="H18" s="75">
        <f>VLOOKUP($A18,'Data Vlaue (Cr)'!$C:$FB,99)</f>
        <v>2686</v>
      </c>
      <c r="I18" s="75">
        <f>VLOOKUP($A18,'Data Vlaue (Cr)'!$C:$FB,100)</f>
        <v>2318</v>
      </c>
      <c r="J18" s="75">
        <f t="shared" si="2"/>
        <v>368</v>
      </c>
      <c r="K18" s="75">
        <f t="shared" si="3"/>
        <v>13.70067014147431</v>
      </c>
      <c r="L18" s="75">
        <f>VLOOKUP($A18,'Data Vlaue (Cr)'!$C:$FB,67)</f>
        <v>4796</v>
      </c>
      <c r="M18" s="75">
        <f>VLOOKUP($A18,'Data Vlaue (Cr)'!$C:$FB,68)</f>
        <v>3797</v>
      </c>
      <c r="N18" s="75">
        <f t="shared" si="4"/>
        <v>999</v>
      </c>
      <c r="O18" s="75">
        <f t="shared" si="5"/>
        <v>20.829858215179318</v>
      </c>
      <c r="P18" s="75">
        <f>VLOOKUP($A18,'Data Vlaue (Cr)'!$C:$FB,119)</f>
        <v>0.74</v>
      </c>
      <c r="Q18" s="75">
        <f>VLOOKUP($A18,'Data Vlaue (Cr)'!$C:$FB,122)*100</f>
        <v>15.620000000000001</v>
      </c>
      <c r="R18" s="75">
        <f>VLOOKUP($A18,'Data Vlaue (Cr)'!$C:$FB,125)</f>
        <v>0.37</v>
      </c>
      <c r="S18" s="75">
        <f>VLOOKUP($A18,'Data Vlaue (Cr)'!$C:$FB,128)*100</f>
        <v>5.71</v>
      </c>
    </row>
    <row r="19" spans="1:19" x14ac:dyDescent="0.25">
      <c r="A19" s="96" t="str">
        <f>'Data Vlaue (Cr)'!C10</f>
        <v>ALKEM</v>
      </c>
      <c r="B19" s="75">
        <f>VLOOKUP($A19,'Data Vlaue (Cr)'!$C:$FB,2)</f>
        <v>125</v>
      </c>
      <c r="C19" s="75">
        <f>VLOOKUP($A19,'Data Vlaue (Cr)'!$C:$FB,8)</f>
        <v>5582</v>
      </c>
      <c r="D19" s="75">
        <f>VLOOKUP($A19,'Data Vlaue (Cr)'!$C:$FB,4)</f>
        <v>5579</v>
      </c>
      <c r="E19" s="75">
        <f>VLOOKUP($A19,'Data Vlaue (Cr)'!$C:$FB,5)</f>
        <v>5565.5</v>
      </c>
      <c r="F19" s="75">
        <f t="shared" si="0"/>
        <v>-3</v>
      </c>
      <c r="G19" s="75">
        <f t="shared" si="1"/>
        <v>0.24197884925613911</v>
      </c>
      <c r="H19" s="75">
        <f>VLOOKUP($A19,'Data Vlaue (Cr)'!$C:$FB,99)</f>
        <v>896</v>
      </c>
      <c r="I19" s="75">
        <f>VLOOKUP($A19,'Data Vlaue (Cr)'!$C:$FB,100)</f>
        <v>869</v>
      </c>
      <c r="J19" s="75">
        <f t="shared" si="2"/>
        <v>27</v>
      </c>
      <c r="K19" s="75">
        <f t="shared" si="3"/>
        <v>3.0133928571428572</v>
      </c>
      <c r="L19" s="75">
        <f>VLOOKUP($A19,'Data Vlaue (Cr)'!$C:$FB,67)</f>
        <v>267</v>
      </c>
      <c r="M19" s="75">
        <f>VLOOKUP($A19,'Data Vlaue (Cr)'!$C:$FB,68)</f>
        <v>400</v>
      </c>
      <c r="N19" s="75">
        <f t="shared" si="4"/>
        <v>-133</v>
      </c>
      <c r="O19" s="75">
        <f t="shared" si="5"/>
        <v>-49.812734082397</v>
      </c>
      <c r="P19" s="75">
        <f>VLOOKUP($A19,'Data Vlaue (Cr)'!$C:$FB,119)</f>
        <v>0.54</v>
      </c>
      <c r="Q19" s="75">
        <f>VLOOKUP($A19,'Data Vlaue (Cr)'!$C:$FB,122)*100</f>
        <v>-10</v>
      </c>
      <c r="R19" s="75">
        <f>VLOOKUP($A19,'Data Vlaue (Cr)'!$C:$FB,125)</f>
        <v>0.33</v>
      </c>
      <c r="S19" s="75">
        <f>VLOOKUP($A19,'Data Vlaue (Cr)'!$C:$FB,128)*100</f>
        <v>-8.33</v>
      </c>
    </row>
    <row r="20" spans="1:19" x14ac:dyDescent="0.25">
      <c r="A20" s="96" t="str">
        <f>'Data Vlaue (Cr)'!C11</f>
        <v>AMBER</v>
      </c>
      <c r="B20" s="75">
        <f>VLOOKUP($A20,'Data Vlaue (Cr)'!$C:$FB,2)</f>
        <v>100</v>
      </c>
      <c r="C20" s="75">
        <f>VLOOKUP($A20,'Data Vlaue (Cr)'!$C:$FB,8)</f>
        <v>7958.5</v>
      </c>
      <c r="D20" s="75">
        <f>VLOOKUP($A20,'Data Vlaue (Cr)'!$C:$FB,4)</f>
        <v>7941.5</v>
      </c>
      <c r="E20" s="75">
        <f>VLOOKUP($A20,'Data Vlaue (Cr)'!$C:$FB,5)</f>
        <v>7734.5</v>
      </c>
      <c r="F20" s="75">
        <f t="shared" si="0"/>
        <v>-17</v>
      </c>
      <c r="G20" s="75">
        <f t="shared" si="1"/>
        <v>2.6065604734621921</v>
      </c>
      <c r="H20" s="75">
        <f>VLOOKUP($A20,'Data Vlaue (Cr)'!$C:$FB,99)</f>
        <v>2433</v>
      </c>
      <c r="I20" s="75">
        <f>VLOOKUP($A20,'Data Vlaue (Cr)'!$C:$FB,100)</f>
        <v>2386</v>
      </c>
      <c r="J20" s="75">
        <f t="shared" si="2"/>
        <v>47</v>
      </c>
      <c r="K20" s="75">
        <f t="shared" si="3"/>
        <v>1.9317714755445952</v>
      </c>
      <c r="L20" s="75">
        <f>VLOOKUP($A20,'Data Vlaue (Cr)'!$C:$FB,67)</f>
        <v>3278</v>
      </c>
      <c r="M20" s="75">
        <f>VLOOKUP($A20,'Data Vlaue (Cr)'!$C:$FB,68)</f>
        <v>4724</v>
      </c>
      <c r="N20" s="75">
        <f t="shared" si="4"/>
        <v>-1446</v>
      </c>
      <c r="O20" s="75">
        <f t="shared" si="5"/>
        <v>-44.112263575350823</v>
      </c>
      <c r="P20" s="75">
        <f>VLOOKUP($A20,'Data Vlaue (Cr)'!$C:$FB,119)</f>
        <v>0.78</v>
      </c>
      <c r="Q20" s="75">
        <f>VLOOKUP($A20,'Data Vlaue (Cr)'!$C:$FB,122)*100</f>
        <v>5.41</v>
      </c>
      <c r="R20" s="75">
        <f>VLOOKUP($A20,'Data Vlaue (Cr)'!$C:$FB,125)</f>
        <v>0.55000000000000004</v>
      </c>
      <c r="S20" s="75">
        <f>VLOOKUP($A20,'Data Vlaue (Cr)'!$C:$FB,128)*100</f>
        <v>25</v>
      </c>
    </row>
    <row r="21" spans="1:19" x14ac:dyDescent="0.25">
      <c r="A21" s="96" t="str">
        <f>'Data Vlaue (Cr)'!C12</f>
        <v>AMBUJACEM</v>
      </c>
      <c r="B21" s="75">
        <f>VLOOKUP($A21,'Data Vlaue (Cr)'!$C:$FB,2)</f>
        <v>1050</v>
      </c>
      <c r="C21" s="75">
        <f>VLOOKUP($A21,'Data Vlaue (Cr)'!$C:$FB,8)</f>
        <v>459</v>
      </c>
      <c r="D21" s="75">
        <f>VLOOKUP($A21,'Data Vlaue (Cr)'!$C:$FB,4)</f>
        <v>458.8</v>
      </c>
      <c r="E21" s="75">
        <f>VLOOKUP($A21,'Data Vlaue (Cr)'!$C:$FB,5)</f>
        <v>459.45</v>
      </c>
      <c r="F21" s="75">
        <f t="shared" si="0"/>
        <v>-0.19999999999998863</v>
      </c>
      <c r="G21" s="75">
        <f t="shared" si="1"/>
        <v>-0.14167393199650768</v>
      </c>
      <c r="H21" s="75">
        <f>VLOOKUP($A21,'Data Vlaue (Cr)'!$C:$FB,99)</f>
        <v>3683</v>
      </c>
      <c r="I21" s="75">
        <f>VLOOKUP($A21,'Data Vlaue (Cr)'!$C:$FB,100)</f>
        <v>3694</v>
      </c>
      <c r="J21" s="75">
        <f t="shared" si="2"/>
        <v>-11</v>
      </c>
      <c r="K21" s="75">
        <f t="shared" si="3"/>
        <v>-0.29866956285636709</v>
      </c>
      <c r="L21" s="75">
        <f>VLOOKUP($A21,'Data Vlaue (Cr)'!$C:$FB,67)</f>
        <v>661</v>
      </c>
      <c r="M21" s="75">
        <f>VLOOKUP($A21,'Data Vlaue (Cr)'!$C:$FB,68)</f>
        <v>945</v>
      </c>
      <c r="N21" s="75">
        <f t="shared" si="4"/>
        <v>-284</v>
      </c>
      <c r="O21" s="75">
        <f t="shared" si="5"/>
        <v>-42.965204236006052</v>
      </c>
      <c r="P21" s="75">
        <f>VLOOKUP($A21,'Data Vlaue (Cr)'!$C:$FB,119)</f>
        <v>0.94</v>
      </c>
      <c r="Q21" s="75">
        <f>VLOOKUP($A21,'Data Vlaue (Cr)'!$C:$FB,122)*100</f>
        <v>0</v>
      </c>
      <c r="R21" s="75">
        <f>VLOOKUP($A21,'Data Vlaue (Cr)'!$C:$FB,125)</f>
        <v>0.56000000000000005</v>
      </c>
      <c r="S21" s="75">
        <f>VLOOKUP($A21,'Data Vlaue (Cr)'!$C:$FB,128)*100</f>
        <v>1.82</v>
      </c>
    </row>
    <row r="22" spans="1:19" x14ac:dyDescent="0.25">
      <c r="A22" s="96" t="str">
        <f>'Data Vlaue (Cr)'!C13</f>
        <v>ANGELONE</v>
      </c>
      <c r="B22" s="75">
        <f>VLOOKUP($A22,'Data Vlaue (Cr)'!$C:$FB,2)</f>
        <v>2500</v>
      </c>
      <c r="C22" s="75">
        <f>VLOOKUP($A22,'Data Vlaue (Cr)'!$C:$FB,8)</f>
        <v>322.47000000000003</v>
      </c>
      <c r="D22" s="75">
        <f>VLOOKUP($A22,'Data Vlaue (Cr)'!$C:$FB,4)</f>
        <v>322.60000000000002</v>
      </c>
      <c r="E22" s="75">
        <f>VLOOKUP($A22,'Data Vlaue (Cr)'!$C:$FB,5)</f>
        <v>289.8</v>
      </c>
      <c r="F22" s="75">
        <f t="shared" si="0"/>
        <v>0.12999999999999545</v>
      </c>
      <c r="G22" s="75">
        <f t="shared" si="1"/>
        <v>10.167389956602607</v>
      </c>
      <c r="H22" s="75">
        <f>VLOOKUP($A22,'Data Vlaue (Cr)'!$C:$FB,99)</f>
        <v>3355</v>
      </c>
      <c r="I22" s="75">
        <f>VLOOKUP($A22,'Data Vlaue (Cr)'!$C:$FB,100)</f>
        <v>2652</v>
      </c>
      <c r="J22" s="75">
        <f t="shared" si="2"/>
        <v>703</v>
      </c>
      <c r="K22" s="75">
        <f t="shared" si="3"/>
        <v>20.953800298062593</v>
      </c>
      <c r="L22" s="75">
        <f>VLOOKUP($A22,'Data Vlaue (Cr)'!$C:$FB,67)</f>
        <v>22214</v>
      </c>
      <c r="M22" s="75">
        <f>VLOOKUP($A22,'Data Vlaue (Cr)'!$C:$FB,68)</f>
        <v>4484</v>
      </c>
      <c r="N22" s="75">
        <f t="shared" si="4"/>
        <v>17730</v>
      </c>
      <c r="O22" s="75">
        <f t="shared" si="5"/>
        <v>79.814531376609338</v>
      </c>
      <c r="P22" s="75">
        <f>VLOOKUP($A22,'Data Vlaue (Cr)'!$C:$FB,119)</f>
        <v>1.23</v>
      </c>
      <c r="Q22" s="75">
        <f>VLOOKUP($A22,'Data Vlaue (Cr)'!$C:$FB,122)*100</f>
        <v>70.83</v>
      </c>
      <c r="R22" s="75">
        <f>VLOOKUP($A22,'Data Vlaue (Cr)'!$C:$FB,125)</f>
        <v>0.48</v>
      </c>
      <c r="S22" s="75">
        <f>VLOOKUP($A22,'Data Vlaue (Cr)'!$C:$FB,128)*100</f>
        <v>-38.46</v>
      </c>
    </row>
    <row r="23" spans="1:19" x14ac:dyDescent="0.25">
      <c r="A23" s="96" t="str">
        <f>'Data Vlaue (Cr)'!C14</f>
        <v>APLAPOLLO</v>
      </c>
      <c r="B23" s="75">
        <f>VLOOKUP($A23,'Data Vlaue (Cr)'!$C:$FB,2)</f>
        <v>350</v>
      </c>
      <c r="C23" s="75">
        <f>VLOOKUP($A23,'Data Vlaue (Cr)'!$C:$FB,8)</f>
        <v>2105.6999999999998</v>
      </c>
      <c r="D23" s="75">
        <f>VLOOKUP($A23,'Data Vlaue (Cr)'!$C:$FB,4)</f>
        <v>2105.9</v>
      </c>
      <c r="E23" s="75">
        <f>VLOOKUP($A23,'Data Vlaue (Cr)'!$C:$FB,5)</f>
        <v>2053.1</v>
      </c>
      <c r="F23" s="75">
        <f t="shared" si="0"/>
        <v>0.20000000000027285</v>
      </c>
      <c r="G23" s="75">
        <f t="shared" si="1"/>
        <v>2.5072415594282815</v>
      </c>
      <c r="H23" s="75">
        <f>VLOOKUP($A23,'Data Vlaue (Cr)'!$C:$FB,99)</f>
        <v>1526</v>
      </c>
      <c r="I23" s="75">
        <f>VLOOKUP($A23,'Data Vlaue (Cr)'!$C:$FB,100)</f>
        <v>1505</v>
      </c>
      <c r="J23" s="75">
        <f t="shared" si="2"/>
        <v>21</v>
      </c>
      <c r="K23" s="75">
        <f t="shared" si="3"/>
        <v>1.3761467889908259</v>
      </c>
      <c r="L23" s="75">
        <f>VLOOKUP($A23,'Data Vlaue (Cr)'!$C:$FB,67)</f>
        <v>1203</v>
      </c>
      <c r="M23" s="75">
        <f>VLOOKUP($A23,'Data Vlaue (Cr)'!$C:$FB,68)</f>
        <v>742</v>
      </c>
      <c r="N23" s="75">
        <f t="shared" si="4"/>
        <v>461</v>
      </c>
      <c r="O23" s="75">
        <f t="shared" si="5"/>
        <v>38.320864505403158</v>
      </c>
      <c r="P23" s="75">
        <f>VLOOKUP($A23,'Data Vlaue (Cr)'!$C:$FB,119)</f>
        <v>0.67</v>
      </c>
      <c r="Q23" s="75">
        <f>VLOOKUP($A23,'Data Vlaue (Cr)'!$C:$FB,122)*100</f>
        <v>-4.29</v>
      </c>
      <c r="R23" s="75">
        <f>VLOOKUP($A23,'Data Vlaue (Cr)'!$C:$FB,125)</f>
        <v>0.28000000000000003</v>
      </c>
      <c r="S23" s="75">
        <f>VLOOKUP($A23,'Data Vlaue (Cr)'!$C:$FB,128)*100</f>
        <v>-6.67</v>
      </c>
    </row>
    <row r="24" spans="1:19" x14ac:dyDescent="0.25">
      <c r="A24" s="96" t="str">
        <f>'Data Vlaue (Cr)'!C15</f>
        <v>APOLLOHOSP</v>
      </c>
      <c r="B24" s="75">
        <f>VLOOKUP($A24,'Data Vlaue (Cr)'!$C:$FB,2)</f>
        <v>125</v>
      </c>
      <c r="C24" s="75">
        <f>VLOOKUP($A24,'Data Vlaue (Cr)'!$C:$FB,8)</f>
        <v>7699</v>
      </c>
      <c r="D24" s="75">
        <f>VLOOKUP($A24,'Data Vlaue (Cr)'!$C:$FB,4)</f>
        <v>7698</v>
      </c>
      <c r="E24" s="75">
        <f>VLOOKUP($A24,'Data Vlaue (Cr)'!$C:$FB,5)</f>
        <v>7556</v>
      </c>
      <c r="F24" s="75">
        <f t="shared" si="0"/>
        <v>-1</v>
      </c>
      <c r="G24" s="75">
        <f t="shared" si="1"/>
        <v>1.8446349701221096</v>
      </c>
      <c r="H24" s="75">
        <f>VLOOKUP($A24,'Data Vlaue (Cr)'!$C:$FB,99)</f>
        <v>3130</v>
      </c>
      <c r="I24" s="75">
        <f>VLOOKUP($A24,'Data Vlaue (Cr)'!$C:$FB,100)</f>
        <v>3114</v>
      </c>
      <c r="J24" s="75">
        <f t="shared" si="2"/>
        <v>16</v>
      </c>
      <c r="K24" s="75">
        <f t="shared" si="3"/>
        <v>0.51118210862619806</v>
      </c>
      <c r="L24" s="75">
        <f>VLOOKUP($A24,'Data Vlaue (Cr)'!$C:$FB,67)</f>
        <v>3263</v>
      </c>
      <c r="M24" s="75">
        <f>VLOOKUP($A24,'Data Vlaue (Cr)'!$C:$FB,68)</f>
        <v>3010</v>
      </c>
      <c r="N24" s="75">
        <f t="shared" si="4"/>
        <v>253</v>
      </c>
      <c r="O24" s="75">
        <f t="shared" si="5"/>
        <v>7.7536009806926138</v>
      </c>
      <c r="P24" s="75">
        <f>VLOOKUP($A24,'Data Vlaue (Cr)'!$C:$FB,119)</f>
        <v>0.91</v>
      </c>
      <c r="Q24" s="75">
        <f>VLOOKUP($A24,'Data Vlaue (Cr)'!$C:$FB,122)*100</f>
        <v>8.33</v>
      </c>
      <c r="R24" s="75">
        <f>VLOOKUP($A24,'Data Vlaue (Cr)'!$C:$FB,125)</f>
        <v>0.37</v>
      </c>
      <c r="S24" s="75">
        <f>VLOOKUP($A24,'Data Vlaue (Cr)'!$C:$FB,128)*100</f>
        <v>-36.21</v>
      </c>
    </row>
    <row r="25" spans="1:19" x14ac:dyDescent="0.25">
      <c r="A25" s="96" t="str">
        <f>'Data Vlaue (Cr)'!C16</f>
        <v>ASHOKLEY</v>
      </c>
      <c r="B25" s="75">
        <f>VLOOKUP($A25,'Data Vlaue (Cr)'!$C:$FB,2)</f>
        <v>5000</v>
      </c>
      <c r="C25" s="75">
        <f>VLOOKUP($A25,'Data Vlaue (Cr)'!$C:$FB,8)</f>
        <v>174.78</v>
      </c>
      <c r="D25" s="75">
        <f>VLOOKUP($A25,'Data Vlaue (Cr)'!$C:$FB,4)</f>
        <v>174.97</v>
      </c>
      <c r="E25" s="75">
        <f>VLOOKUP($A25,'Data Vlaue (Cr)'!$C:$FB,5)</f>
        <v>176.3</v>
      </c>
      <c r="F25" s="75">
        <f t="shared" si="0"/>
        <v>0.18999999999999773</v>
      </c>
      <c r="G25" s="75">
        <f t="shared" si="1"/>
        <v>-0.76013030805281612</v>
      </c>
      <c r="H25" s="75">
        <f>VLOOKUP($A25,'Data Vlaue (Cr)'!$C:$FB,99)</f>
        <v>5222</v>
      </c>
      <c r="I25" s="75">
        <f>VLOOKUP($A25,'Data Vlaue (Cr)'!$C:$FB,100)</f>
        <v>5140</v>
      </c>
      <c r="J25" s="75">
        <f t="shared" si="2"/>
        <v>82</v>
      </c>
      <c r="K25" s="75">
        <f t="shared" si="3"/>
        <v>1.5702795863653771</v>
      </c>
      <c r="L25" s="75">
        <f>VLOOKUP($A25,'Data Vlaue (Cr)'!$C:$FB,67)</f>
        <v>2665</v>
      </c>
      <c r="M25" s="75">
        <f>VLOOKUP($A25,'Data Vlaue (Cr)'!$C:$FB,68)</f>
        <v>2262</v>
      </c>
      <c r="N25" s="75">
        <f t="shared" si="4"/>
        <v>403</v>
      </c>
      <c r="O25" s="75">
        <f t="shared" si="5"/>
        <v>15.121951219512194</v>
      </c>
      <c r="P25" s="75">
        <f>VLOOKUP($A25,'Data Vlaue (Cr)'!$C:$FB,119)</f>
        <v>0.74</v>
      </c>
      <c r="Q25" s="75">
        <f>VLOOKUP($A25,'Data Vlaue (Cr)'!$C:$FB,122)*100</f>
        <v>-2.63</v>
      </c>
      <c r="R25" s="75">
        <f>VLOOKUP($A25,'Data Vlaue (Cr)'!$C:$FB,125)</f>
        <v>0.56999999999999995</v>
      </c>
      <c r="S25" s="75">
        <f>VLOOKUP($A25,'Data Vlaue (Cr)'!$C:$FB,128)*100</f>
        <v>-13.639999999999999</v>
      </c>
    </row>
    <row r="26" spans="1:19" x14ac:dyDescent="0.25">
      <c r="A26" s="96" t="str">
        <f>'Data Vlaue (Cr)'!C17</f>
        <v>ASIANPAINT</v>
      </c>
      <c r="B26" s="75">
        <f>VLOOKUP($A26,'Data Vlaue (Cr)'!$C:$FB,2)</f>
        <v>250</v>
      </c>
      <c r="C26" s="75">
        <f>VLOOKUP($A26,'Data Vlaue (Cr)'!$C:$FB,8)</f>
        <v>2464</v>
      </c>
      <c r="D26" s="75">
        <f>VLOOKUP($A26,'Data Vlaue (Cr)'!$C:$FB,4)</f>
        <v>2464.3000000000002</v>
      </c>
      <c r="E26" s="75">
        <f>VLOOKUP($A26,'Data Vlaue (Cr)'!$C:$FB,5)</f>
        <v>2442.4</v>
      </c>
      <c r="F26" s="75">
        <f t="shared" si="0"/>
        <v>0.3000000000001819</v>
      </c>
      <c r="G26" s="75">
        <f t="shared" si="1"/>
        <v>0.88869050034492914</v>
      </c>
      <c r="H26" s="75">
        <f>VLOOKUP($A26,'Data Vlaue (Cr)'!$C:$FB,99)</f>
        <v>5960</v>
      </c>
      <c r="I26" s="75">
        <f>VLOOKUP($A26,'Data Vlaue (Cr)'!$C:$FB,100)</f>
        <v>5853</v>
      </c>
      <c r="J26" s="75">
        <f t="shared" si="2"/>
        <v>107</v>
      </c>
      <c r="K26" s="75">
        <f t="shared" si="3"/>
        <v>1.7953020134228188</v>
      </c>
      <c r="L26" s="75">
        <f>VLOOKUP($A26,'Data Vlaue (Cr)'!$C:$FB,67)</f>
        <v>4660</v>
      </c>
      <c r="M26" s="75">
        <f>VLOOKUP($A26,'Data Vlaue (Cr)'!$C:$FB,68)</f>
        <v>2901</v>
      </c>
      <c r="N26" s="75">
        <f t="shared" si="4"/>
        <v>1759</v>
      </c>
      <c r="O26" s="75">
        <f t="shared" si="5"/>
        <v>37.746781115879827</v>
      </c>
      <c r="P26" s="75">
        <f>VLOOKUP($A26,'Data Vlaue (Cr)'!$C:$FB,119)</f>
        <v>1.1499999999999999</v>
      </c>
      <c r="Q26" s="75">
        <f>VLOOKUP($A26,'Data Vlaue (Cr)'!$C:$FB,122)*100</f>
        <v>-14.180000000000001</v>
      </c>
      <c r="R26" s="75">
        <f>VLOOKUP($A26,'Data Vlaue (Cr)'!$C:$FB,125)</f>
        <v>0.7</v>
      </c>
      <c r="S26" s="75">
        <f>VLOOKUP($A26,'Data Vlaue (Cr)'!$C:$FB,128)*100</f>
        <v>-14.63</v>
      </c>
    </row>
    <row r="27" spans="1:19" x14ac:dyDescent="0.25">
      <c r="A27" s="96" t="str">
        <f>'Data Vlaue (Cr)'!C18</f>
        <v>ASTRAL</v>
      </c>
      <c r="B27" s="75">
        <f>VLOOKUP($A27,'Data Vlaue (Cr)'!$C:$FB,2)</f>
        <v>425</v>
      </c>
      <c r="C27" s="75">
        <f>VLOOKUP($A27,'Data Vlaue (Cr)'!$C:$FB,8)</f>
        <v>1605</v>
      </c>
      <c r="D27" s="75">
        <f>VLOOKUP($A27,'Data Vlaue (Cr)'!$C:$FB,4)</f>
        <v>1544.7</v>
      </c>
      <c r="E27" s="75">
        <f>VLOOKUP($A27,'Data Vlaue (Cr)'!$C:$FB,5)</f>
        <v>1525.5</v>
      </c>
      <c r="F27" s="75">
        <f t="shared" si="0"/>
        <v>-60.299999999999955</v>
      </c>
      <c r="G27" s="75">
        <f t="shared" si="1"/>
        <v>1.2429597980190357</v>
      </c>
      <c r="H27" s="75">
        <f>VLOOKUP($A27,'Data Vlaue (Cr)'!$C:$FB,99)</f>
        <v>3221</v>
      </c>
      <c r="I27" s="75">
        <f>VLOOKUP($A27,'Data Vlaue (Cr)'!$C:$FB,100)</f>
        <v>3181</v>
      </c>
      <c r="J27" s="75">
        <f t="shared" si="2"/>
        <v>40</v>
      </c>
      <c r="K27" s="75">
        <f t="shared" si="3"/>
        <v>1.2418503570319777</v>
      </c>
      <c r="L27" s="75">
        <f>VLOOKUP($A27,'Data Vlaue (Cr)'!$C:$FB,67)</f>
        <v>2755</v>
      </c>
      <c r="M27" s="75">
        <f>VLOOKUP($A27,'Data Vlaue (Cr)'!$C:$FB,68)</f>
        <v>5568</v>
      </c>
      <c r="N27" s="75">
        <f t="shared" si="4"/>
        <v>-2813</v>
      </c>
      <c r="O27" s="75">
        <f t="shared" si="5"/>
        <v>-102.10526315789474</v>
      </c>
      <c r="P27" s="75">
        <f>VLOOKUP($A27,'Data Vlaue (Cr)'!$C:$FB,119)</f>
        <v>0.59</v>
      </c>
      <c r="Q27" s="75">
        <f>VLOOKUP($A27,'Data Vlaue (Cr)'!$C:$FB,122)*100</f>
        <v>15.690000000000001</v>
      </c>
      <c r="R27" s="75">
        <f>VLOOKUP($A27,'Data Vlaue (Cr)'!$C:$FB,125)</f>
        <v>0.49</v>
      </c>
      <c r="S27" s="75">
        <f>VLOOKUP($A27,'Data Vlaue (Cr)'!$C:$FB,128)*100</f>
        <v>-10.91</v>
      </c>
    </row>
    <row r="28" spans="1:19" x14ac:dyDescent="0.25">
      <c r="A28" s="96" t="str">
        <f>'Data Vlaue (Cr)'!C19</f>
        <v>AUBANK</v>
      </c>
      <c r="B28" s="75">
        <f>VLOOKUP($A28,'Data Vlaue (Cr)'!$C:$FB,2)</f>
        <v>1000</v>
      </c>
      <c r="C28" s="75">
        <f>VLOOKUP($A28,'Data Vlaue (Cr)'!$C:$FB,8)</f>
        <v>990.6</v>
      </c>
      <c r="D28" s="75">
        <f>VLOOKUP($A28,'Data Vlaue (Cr)'!$C:$FB,4)</f>
        <v>993.2</v>
      </c>
      <c r="E28" s="75">
        <f>VLOOKUP($A28,'Data Vlaue (Cr)'!$C:$FB,5)</f>
        <v>987</v>
      </c>
      <c r="F28" s="75">
        <f t="shared" si="0"/>
        <v>2.6000000000000227</v>
      </c>
      <c r="G28" s="75">
        <f t="shared" si="1"/>
        <v>0.62424486508256594</v>
      </c>
      <c r="H28" s="75">
        <f>VLOOKUP($A28,'Data Vlaue (Cr)'!$C:$FB,99)</f>
        <v>3670</v>
      </c>
      <c r="I28" s="75">
        <f>VLOOKUP($A28,'Data Vlaue (Cr)'!$C:$FB,100)</f>
        <v>3695</v>
      </c>
      <c r="J28" s="75">
        <f t="shared" si="2"/>
        <v>-25</v>
      </c>
      <c r="K28" s="75">
        <f t="shared" si="3"/>
        <v>-0.68119891008174382</v>
      </c>
      <c r="L28" s="75">
        <f>VLOOKUP($A28,'Data Vlaue (Cr)'!$C:$FB,67)</f>
        <v>1160</v>
      </c>
      <c r="M28" s="75">
        <f>VLOOKUP($A28,'Data Vlaue (Cr)'!$C:$FB,68)</f>
        <v>1187</v>
      </c>
      <c r="N28" s="75">
        <f t="shared" si="4"/>
        <v>-27</v>
      </c>
      <c r="O28" s="75">
        <f t="shared" si="5"/>
        <v>-2.327586206896552</v>
      </c>
      <c r="P28" s="75">
        <f>VLOOKUP($A28,'Data Vlaue (Cr)'!$C:$FB,119)</f>
        <v>0.8</v>
      </c>
      <c r="Q28" s="75">
        <f>VLOOKUP($A28,'Data Vlaue (Cr)'!$C:$FB,122)*100</f>
        <v>-4.7600000000000007</v>
      </c>
      <c r="R28" s="75">
        <f>VLOOKUP($A28,'Data Vlaue (Cr)'!$C:$FB,125)</f>
        <v>0.75</v>
      </c>
      <c r="S28" s="75">
        <f>VLOOKUP($A28,'Data Vlaue (Cr)'!$C:$FB,128)*100</f>
        <v>-13.79</v>
      </c>
    </row>
    <row r="29" spans="1:19" x14ac:dyDescent="0.25">
      <c r="A29" s="96" t="str">
        <f>'Data Vlaue (Cr)'!C20</f>
        <v>AUROPHARMA</v>
      </c>
      <c r="B29" s="75">
        <f>VLOOKUP($A29,'Data Vlaue (Cr)'!$C:$FB,2)</f>
        <v>550</v>
      </c>
      <c r="C29" s="75">
        <f>VLOOKUP($A29,'Data Vlaue (Cr)'!$C:$FB,8)</f>
        <v>1386</v>
      </c>
      <c r="D29" s="75">
        <f>VLOOKUP($A29,'Data Vlaue (Cr)'!$C:$FB,4)</f>
        <v>1388.6</v>
      </c>
      <c r="E29" s="75">
        <f>VLOOKUP($A29,'Data Vlaue (Cr)'!$C:$FB,5)</f>
        <v>1385.4</v>
      </c>
      <c r="F29" s="75">
        <f t="shared" si="0"/>
        <v>2.5999999999999091</v>
      </c>
      <c r="G29" s="75">
        <f t="shared" si="1"/>
        <v>0.23044793317008627</v>
      </c>
      <c r="H29" s="75">
        <f>VLOOKUP($A29,'Data Vlaue (Cr)'!$C:$FB,99)</f>
        <v>3828</v>
      </c>
      <c r="I29" s="75">
        <f>VLOOKUP($A29,'Data Vlaue (Cr)'!$C:$FB,100)</f>
        <v>3840</v>
      </c>
      <c r="J29" s="75">
        <f t="shared" si="2"/>
        <v>-12</v>
      </c>
      <c r="K29" s="75">
        <f t="shared" si="3"/>
        <v>-0.31347962382445138</v>
      </c>
      <c r="L29" s="75">
        <f>VLOOKUP($A29,'Data Vlaue (Cr)'!$C:$FB,67)</f>
        <v>1064</v>
      </c>
      <c r="M29" s="75">
        <f>VLOOKUP($A29,'Data Vlaue (Cr)'!$C:$FB,68)</f>
        <v>1150</v>
      </c>
      <c r="N29" s="75">
        <f t="shared" si="4"/>
        <v>-86</v>
      </c>
      <c r="O29" s="75">
        <f t="shared" si="5"/>
        <v>-8.0827067669172923</v>
      </c>
      <c r="P29" s="75">
        <f>VLOOKUP($A29,'Data Vlaue (Cr)'!$C:$FB,119)</f>
        <v>0.7</v>
      </c>
      <c r="Q29" s="75">
        <f>VLOOKUP($A29,'Data Vlaue (Cr)'!$C:$FB,122)*100</f>
        <v>-2.78</v>
      </c>
      <c r="R29" s="75">
        <f>VLOOKUP($A29,'Data Vlaue (Cr)'!$C:$FB,125)</f>
        <v>0.67</v>
      </c>
      <c r="S29" s="75">
        <f>VLOOKUP($A29,'Data Vlaue (Cr)'!$C:$FB,128)*100</f>
        <v>17.54</v>
      </c>
    </row>
    <row r="30" spans="1:19" x14ac:dyDescent="0.25">
      <c r="A30" s="96" t="str">
        <f>'Data Vlaue (Cr)'!C21</f>
        <v>AXISBANK</v>
      </c>
      <c r="B30" s="75">
        <f>VLOOKUP($A30,'Data Vlaue (Cr)'!$C:$FB,2)</f>
        <v>625</v>
      </c>
      <c r="C30" s="75">
        <f>VLOOKUP($A30,'Data Vlaue (Cr)'!$C:$FB,8)</f>
        <v>1359.1</v>
      </c>
      <c r="D30" s="75">
        <f>VLOOKUP($A30,'Data Vlaue (Cr)'!$C:$FB,4)</f>
        <v>1363.3</v>
      </c>
      <c r="E30" s="75">
        <f>VLOOKUP($A30,'Data Vlaue (Cr)'!$C:$FB,5)</f>
        <v>1350.4</v>
      </c>
      <c r="F30" s="75">
        <f t="shared" si="0"/>
        <v>4.2000000000000455</v>
      </c>
      <c r="G30" s="75">
        <f t="shared" si="1"/>
        <v>0.94623340423970248</v>
      </c>
      <c r="H30" s="75">
        <f>VLOOKUP($A30,'Data Vlaue (Cr)'!$C:$FB,99)</f>
        <v>12984</v>
      </c>
      <c r="I30" s="75">
        <f>VLOOKUP($A30,'Data Vlaue (Cr)'!$C:$FB,100)</f>
        <v>12835</v>
      </c>
      <c r="J30" s="75">
        <f t="shared" si="2"/>
        <v>149</v>
      </c>
      <c r="K30" s="75">
        <f t="shared" si="3"/>
        <v>1.147566235366605</v>
      </c>
      <c r="L30" s="75">
        <f>VLOOKUP($A30,'Data Vlaue (Cr)'!$C:$FB,67)</f>
        <v>4668</v>
      </c>
      <c r="M30" s="75">
        <f>VLOOKUP($A30,'Data Vlaue (Cr)'!$C:$FB,68)</f>
        <v>5316</v>
      </c>
      <c r="N30" s="75">
        <f t="shared" si="4"/>
        <v>-648</v>
      </c>
      <c r="O30" s="75">
        <f t="shared" si="5"/>
        <v>-13.881748071979436</v>
      </c>
      <c r="P30" s="75">
        <f>VLOOKUP($A30,'Data Vlaue (Cr)'!$C:$FB,119)</f>
        <v>0.84</v>
      </c>
      <c r="Q30" s="75">
        <f>VLOOKUP($A30,'Data Vlaue (Cr)'!$C:$FB,122)*100</f>
        <v>3.6999999999999997</v>
      </c>
      <c r="R30" s="75">
        <f>VLOOKUP($A30,'Data Vlaue (Cr)'!$C:$FB,125)</f>
        <v>0.69</v>
      </c>
      <c r="S30" s="75">
        <f>VLOOKUP($A30,'Data Vlaue (Cr)'!$C:$FB,128)*100</f>
        <v>-21.59</v>
      </c>
    </row>
    <row r="31" spans="1:19" x14ac:dyDescent="0.25">
      <c r="A31" s="96" t="str">
        <f>'Data Vlaue (Cr)'!C22</f>
        <v>BAJAJ-AUTO</v>
      </c>
      <c r="B31" s="75">
        <f>VLOOKUP($A31,'Data Vlaue (Cr)'!$C:$FB,2)</f>
        <v>75</v>
      </c>
      <c r="C31" s="75">
        <f>VLOOKUP($A31,'Data Vlaue (Cr)'!$C:$FB,8)</f>
        <v>9773.5</v>
      </c>
      <c r="D31" s="75">
        <f>VLOOKUP($A31,'Data Vlaue (Cr)'!$C:$FB,4)</f>
        <v>9761.5</v>
      </c>
      <c r="E31" s="75">
        <f>VLOOKUP($A31,'Data Vlaue (Cr)'!$C:$FB,5)</f>
        <v>9853</v>
      </c>
      <c r="F31" s="75">
        <f t="shared" si="0"/>
        <v>-12</v>
      </c>
      <c r="G31" s="75">
        <f t="shared" si="1"/>
        <v>-0.93735593914869642</v>
      </c>
      <c r="H31" s="75">
        <f>VLOOKUP($A31,'Data Vlaue (Cr)'!$C:$FB,99)</f>
        <v>5356</v>
      </c>
      <c r="I31" s="75">
        <f>VLOOKUP($A31,'Data Vlaue (Cr)'!$C:$FB,100)</f>
        <v>5180</v>
      </c>
      <c r="J31" s="75">
        <f t="shared" si="2"/>
        <v>176</v>
      </c>
      <c r="K31" s="75">
        <f t="shared" si="3"/>
        <v>3.286034353995519</v>
      </c>
      <c r="L31" s="75">
        <f>VLOOKUP($A31,'Data Vlaue (Cr)'!$C:$FB,67)</f>
        <v>2368</v>
      </c>
      <c r="M31" s="75">
        <f>VLOOKUP($A31,'Data Vlaue (Cr)'!$C:$FB,68)</f>
        <v>2938</v>
      </c>
      <c r="N31" s="75">
        <f t="shared" si="4"/>
        <v>-570</v>
      </c>
      <c r="O31" s="75">
        <f t="shared" si="5"/>
        <v>-24.070945945945947</v>
      </c>
      <c r="P31" s="75">
        <f>VLOOKUP($A31,'Data Vlaue (Cr)'!$C:$FB,119)</f>
        <v>0.89</v>
      </c>
      <c r="Q31" s="75">
        <f>VLOOKUP($A31,'Data Vlaue (Cr)'!$C:$FB,122)*100</f>
        <v>-11</v>
      </c>
      <c r="R31" s="75">
        <f>VLOOKUP($A31,'Data Vlaue (Cr)'!$C:$FB,125)</f>
        <v>0.67</v>
      </c>
      <c r="S31" s="75">
        <f>VLOOKUP($A31,'Data Vlaue (Cr)'!$C:$FB,128)*100</f>
        <v>13.56</v>
      </c>
    </row>
    <row r="32" spans="1:19" x14ac:dyDescent="0.25">
      <c r="A32" s="96" t="str">
        <f>'Data Vlaue (Cr)'!C23</f>
        <v>BAJAJFINSV</v>
      </c>
      <c r="B32" s="75">
        <f>VLOOKUP($A32,'Data Vlaue (Cr)'!$C:$FB,2)</f>
        <v>250</v>
      </c>
      <c r="C32" s="75">
        <f>VLOOKUP($A32,'Data Vlaue (Cr)'!$C:$FB,8)</f>
        <v>1838.9</v>
      </c>
      <c r="D32" s="75">
        <f>VLOOKUP($A32,'Data Vlaue (Cr)'!$C:$FB,4)</f>
        <v>1839.4</v>
      </c>
      <c r="E32" s="75">
        <f>VLOOKUP($A32,'Data Vlaue (Cr)'!$C:$FB,5)</f>
        <v>1829.8</v>
      </c>
      <c r="F32" s="75">
        <f t="shared" si="0"/>
        <v>0.5</v>
      </c>
      <c r="G32" s="75">
        <f t="shared" si="1"/>
        <v>0.52190931825596043</v>
      </c>
      <c r="H32" s="75">
        <f>VLOOKUP($A32,'Data Vlaue (Cr)'!$C:$FB,99)</f>
        <v>3362</v>
      </c>
      <c r="I32" s="75">
        <f>VLOOKUP($A32,'Data Vlaue (Cr)'!$C:$FB,100)</f>
        <v>3379</v>
      </c>
      <c r="J32" s="75">
        <f t="shared" si="2"/>
        <v>-17</v>
      </c>
      <c r="K32" s="75">
        <f t="shared" si="3"/>
        <v>-0.50565139797739433</v>
      </c>
      <c r="L32" s="75">
        <f>VLOOKUP($A32,'Data Vlaue (Cr)'!$C:$FB,67)</f>
        <v>675</v>
      </c>
      <c r="M32" s="75">
        <f>VLOOKUP($A32,'Data Vlaue (Cr)'!$C:$FB,68)</f>
        <v>1535</v>
      </c>
      <c r="N32" s="75">
        <f t="shared" si="4"/>
        <v>-860</v>
      </c>
      <c r="O32" s="75">
        <f t="shared" si="5"/>
        <v>-127.40740740740742</v>
      </c>
      <c r="P32" s="75">
        <f>VLOOKUP($A32,'Data Vlaue (Cr)'!$C:$FB,119)</f>
        <v>1.02</v>
      </c>
      <c r="Q32" s="75">
        <f>VLOOKUP($A32,'Data Vlaue (Cr)'!$C:$FB,122)*100</f>
        <v>2</v>
      </c>
      <c r="R32" s="75">
        <f>VLOOKUP($A32,'Data Vlaue (Cr)'!$C:$FB,125)</f>
        <v>0.66</v>
      </c>
      <c r="S32" s="75">
        <f>VLOOKUP($A32,'Data Vlaue (Cr)'!$C:$FB,128)*100</f>
        <v>50</v>
      </c>
    </row>
    <row r="33" spans="1:19" x14ac:dyDescent="0.25">
      <c r="A33" s="96" t="str">
        <f>'Data Vlaue (Cr)'!C24</f>
        <v>BAJAJHLDNG</v>
      </c>
      <c r="B33" s="75">
        <f>VLOOKUP($A33,'Data Vlaue (Cr)'!$C:$FB,2)</f>
        <v>50</v>
      </c>
      <c r="C33" s="75">
        <f>VLOOKUP($A33,'Data Vlaue (Cr)'!$C:$FB,8)</f>
        <v>10355.5</v>
      </c>
      <c r="D33" s="75">
        <f>VLOOKUP($A33,'Data Vlaue (Cr)'!$C:$FB,4)</f>
        <v>10358</v>
      </c>
      <c r="E33" s="75">
        <f>VLOOKUP($A33,'Data Vlaue (Cr)'!$C:$FB,5)</f>
        <v>10206.5</v>
      </c>
      <c r="F33" s="75">
        <f t="shared" si="0"/>
        <v>2.5</v>
      </c>
      <c r="G33" s="75">
        <f t="shared" si="1"/>
        <v>1.462637574821394</v>
      </c>
      <c r="H33" s="75">
        <f>VLOOKUP($A33,'Data Vlaue (Cr)'!$C:$FB,99)</f>
        <v>441</v>
      </c>
      <c r="I33" s="75">
        <f>VLOOKUP($A33,'Data Vlaue (Cr)'!$C:$FB,100)</f>
        <v>450</v>
      </c>
      <c r="J33" s="75">
        <f t="shared" si="2"/>
        <v>-9</v>
      </c>
      <c r="K33" s="75">
        <f t="shared" si="3"/>
        <v>-2.0408163265306123</v>
      </c>
      <c r="L33" s="75">
        <f>VLOOKUP($A33,'Data Vlaue (Cr)'!$C:$FB,67)</f>
        <v>261</v>
      </c>
      <c r="M33" s="75">
        <f>VLOOKUP($A33,'Data Vlaue (Cr)'!$C:$FB,68)</f>
        <v>334</v>
      </c>
      <c r="N33" s="75">
        <f t="shared" si="4"/>
        <v>-73</v>
      </c>
      <c r="O33" s="75">
        <f t="shared" si="5"/>
        <v>-27.969348659003828</v>
      </c>
      <c r="P33" s="75">
        <f>VLOOKUP($A33,'Data Vlaue (Cr)'!$C:$FB,119)</f>
        <v>0.55000000000000004</v>
      </c>
      <c r="Q33" s="75">
        <f>VLOOKUP($A33,'Data Vlaue (Cr)'!$C:$FB,122)*100</f>
        <v>14.580000000000002</v>
      </c>
      <c r="R33" s="75">
        <f>VLOOKUP($A33,'Data Vlaue (Cr)'!$C:$FB,125)</f>
        <v>1.5</v>
      </c>
      <c r="S33" s="75">
        <f>VLOOKUP($A33,'Data Vlaue (Cr)'!$C:$FB,128)*100</f>
        <v>837.5</v>
      </c>
    </row>
    <row r="34" spans="1:19" x14ac:dyDescent="0.25">
      <c r="A34" s="96" t="str">
        <f>'Data Vlaue (Cr)'!C25</f>
        <v>BAJFINANCE</v>
      </c>
      <c r="B34" s="75">
        <f>VLOOKUP($A34,'Data Vlaue (Cr)'!$C:$FB,2)</f>
        <v>750</v>
      </c>
      <c r="C34" s="75">
        <f>VLOOKUP($A34,'Data Vlaue (Cr)'!$C:$FB,8)</f>
        <v>908.25</v>
      </c>
      <c r="D34" s="75">
        <f>VLOOKUP($A34,'Data Vlaue (Cr)'!$C:$FB,4)</f>
        <v>910.95</v>
      </c>
      <c r="E34" s="75">
        <f>VLOOKUP($A34,'Data Vlaue (Cr)'!$C:$FB,5)</f>
        <v>908.85</v>
      </c>
      <c r="F34" s="75">
        <f t="shared" si="0"/>
        <v>2.7000000000000455</v>
      </c>
      <c r="G34" s="75">
        <f t="shared" si="1"/>
        <v>0.23052856907624159</v>
      </c>
      <c r="H34" s="180">
        <f>VLOOKUP($A34,'Data Vlaue (Cr)'!$C:$FB,99)</f>
        <v>10020</v>
      </c>
      <c r="I34" s="180">
        <f>VLOOKUP($A34,'Data Vlaue (Cr)'!$C:$FB,100)</f>
        <v>9952</v>
      </c>
      <c r="J34" s="180">
        <f t="shared" si="2"/>
        <v>68</v>
      </c>
      <c r="K34" s="180">
        <f t="shared" si="3"/>
        <v>0.67864271457085823</v>
      </c>
      <c r="L34" s="180">
        <f>VLOOKUP($A34,'Data Vlaue (Cr)'!$C:$FB,67)</f>
        <v>2500</v>
      </c>
      <c r="M34" s="180">
        <f>VLOOKUP($A34,'Data Vlaue (Cr)'!$C:$FB,68)</f>
        <v>5105</v>
      </c>
      <c r="N34" s="180">
        <f t="shared" si="4"/>
        <v>-2605</v>
      </c>
      <c r="O34" s="180">
        <f t="shared" si="5"/>
        <v>-104.2</v>
      </c>
      <c r="P34" s="180">
        <f>VLOOKUP($A34,'Data Vlaue (Cr)'!$C:$FB,119)</f>
        <v>0.78</v>
      </c>
      <c r="Q34" s="180">
        <f>VLOOKUP($A34,'Data Vlaue (Cr)'!$C:$FB,122)*100</f>
        <v>-1.27</v>
      </c>
      <c r="R34" s="180">
        <f>VLOOKUP($A34,'Data Vlaue (Cr)'!$C:$FB,125)</f>
        <v>0.63</v>
      </c>
      <c r="S34" s="180">
        <f>VLOOKUP($A34,'Data Vlaue (Cr)'!$C:$FB,128)*100</f>
        <v>10.530000000000001</v>
      </c>
    </row>
    <row r="35" spans="1:19" x14ac:dyDescent="0.25">
      <c r="A35" s="96" t="str">
        <f>'Data Vlaue (Cr)'!C26</f>
        <v>BANDHANBNK</v>
      </c>
      <c r="B35" s="75">
        <f>VLOOKUP($A35,'Data Vlaue (Cr)'!$C:$FB,2)</f>
        <v>3600</v>
      </c>
      <c r="C35" s="75">
        <f>VLOOKUP($A35,'Data Vlaue (Cr)'!$C:$FB,8)</f>
        <v>174.47</v>
      </c>
      <c r="D35" s="75">
        <f>VLOOKUP($A35,'Data Vlaue (Cr)'!$C:$FB,4)</f>
        <v>175.02</v>
      </c>
      <c r="E35" s="75">
        <f>VLOOKUP($A35,'Data Vlaue (Cr)'!$C:$FB,5)</f>
        <v>174.35</v>
      </c>
      <c r="F35" s="75">
        <f t="shared" si="0"/>
        <v>0.55000000000001137</v>
      </c>
      <c r="G35" s="75">
        <f t="shared" si="1"/>
        <v>0.38281339275512277</v>
      </c>
      <c r="H35" s="75">
        <f>VLOOKUP($A35,'Data Vlaue (Cr)'!$C:$FB,99)</f>
        <v>2372</v>
      </c>
      <c r="I35" s="75">
        <f>VLOOKUP($A35,'Data Vlaue (Cr)'!$C:$FB,100)</f>
        <v>2353</v>
      </c>
      <c r="J35" s="75">
        <f t="shared" si="2"/>
        <v>19</v>
      </c>
      <c r="K35" s="75">
        <f t="shared" si="3"/>
        <v>0.80101180438448571</v>
      </c>
      <c r="L35" s="75">
        <f>VLOOKUP($A35,'Data Vlaue (Cr)'!$C:$FB,67)</f>
        <v>735</v>
      </c>
      <c r="M35" s="75">
        <f>VLOOKUP($A35,'Data Vlaue (Cr)'!$C:$FB,68)</f>
        <v>774</v>
      </c>
      <c r="N35" s="75">
        <f t="shared" si="4"/>
        <v>-39</v>
      </c>
      <c r="O35" s="75">
        <f t="shared" si="5"/>
        <v>-5.3061224489795915</v>
      </c>
      <c r="P35" s="75">
        <f>VLOOKUP($A35,'Data Vlaue (Cr)'!$C:$FB,119)</f>
        <v>0.77</v>
      </c>
      <c r="Q35" s="75">
        <f>VLOOKUP($A35,'Data Vlaue (Cr)'!$C:$FB,122)*100</f>
        <v>-1.28</v>
      </c>
      <c r="R35" s="75">
        <f>VLOOKUP($A35,'Data Vlaue (Cr)'!$C:$FB,125)</f>
        <v>0.74</v>
      </c>
      <c r="S35" s="75">
        <f>VLOOKUP($A35,'Data Vlaue (Cr)'!$C:$FB,128)*100</f>
        <v>-1.3299999999999998</v>
      </c>
    </row>
    <row r="36" spans="1:19" x14ac:dyDescent="0.25">
      <c r="A36" s="96" t="str">
        <f>'Data Vlaue (Cr)'!C27</f>
        <v>BANKBARODA</v>
      </c>
      <c r="B36" s="75">
        <f>VLOOKUP($A36,'Data Vlaue (Cr)'!$C:$FB,2)</f>
        <v>2925</v>
      </c>
      <c r="C36" s="75">
        <f>VLOOKUP($A36,'Data Vlaue (Cr)'!$C:$FB,8)</f>
        <v>280.44</v>
      </c>
      <c r="D36" s="75">
        <f>VLOOKUP($A36,'Data Vlaue (Cr)'!$C:$FB,4)</f>
        <v>281.16000000000003</v>
      </c>
      <c r="E36" s="75">
        <f>VLOOKUP($A36,'Data Vlaue (Cr)'!$C:$FB,5)</f>
        <v>279.62</v>
      </c>
      <c r="F36" s="75">
        <f t="shared" si="0"/>
        <v>0.72000000000002728</v>
      </c>
      <c r="G36" s="75">
        <f t="shared" si="1"/>
        <v>0.54773082942097751</v>
      </c>
      <c r="H36" s="75">
        <f>VLOOKUP($A36,'Data Vlaue (Cr)'!$C:$FB,99)</f>
        <v>5173</v>
      </c>
      <c r="I36" s="75">
        <f>VLOOKUP($A36,'Data Vlaue (Cr)'!$C:$FB,100)</f>
        <v>5140</v>
      </c>
      <c r="J36" s="75">
        <f t="shared" si="2"/>
        <v>33</v>
      </c>
      <c r="K36" s="75">
        <f t="shared" si="3"/>
        <v>0.63792770152716027</v>
      </c>
      <c r="L36" s="75">
        <f>VLOOKUP($A36,'Data Vlaue (Cr)'!$C:$FB,67)</f>
        <v>2371</v>
      </c>
      <c r="M36" s="75">
        <f>VLOOKUP($A36,'Data Vlaue (Cr)'!$C:$FB,68)</f>
        <v>1863</v>
      </c>
      <c r="N36" s="75">
        <f t="shared" si="4"/>
        <v>508</v>
      </c>
      <c r="O36" s="75">
        <f t="shared" si="5"/>
        <v>21.425558835934204</v>
      </c>
      <c r="P36" s="75">
        <f>VLOOKUP($A36,'Data Vlaue (Cr)'!$C:$FB,119)</f>
        <v>0.95</v>
      </c>
      <c r="Q36" s="75">
        <f>VLOOKUP($A36,'Data Vlaue (Cr)'!$C:$FB,122)*100</f>
        <v>1.06</v>
      </c>
      <c r="R36" s="75">
        <f>VLOOKUP($A36,'Data Vlaue (Cr)'!$C:$FB,125)</f>
        <v>0.71</v>
      </c>
      <c r="S36" s="75">
        <f>VLOOKUP($A36,'Data Vlaue (Cr)'!$C:$FB,128)*100</f>
        <v>12.7</v>
      </c>
    </row>
    <row r="37" spans="1:19" x14ac:dyDescent="0.25">
      <c r="A37" s="96" t="str">
        <f>'Data Vlaue (Cr)'!C28</f>
        <v>BANKINDIA</v>
      </c>
      <c r="B37" s="75">
        <f>VLOOKUP($A37,'Data Vlaue (Cr)'!$C:$FB,2)</f>
        <v>5200</v>
      </c>
      <c r="C37" s="75">
        <f>VLOOKUP($A37,'Data Vlaue (Cr)'!$C:$FB,8)</f>
        <v>148.1</v>
      </c>
      <c r="D37" s="75">
        <f>VLOOKUP($A37,'Data Vlaue (Cr)'!$C:$FB,4)</f>
        <v>148.28</v>
      </c>
      <c r="E37" s="75">
        <f>VLOOKUP($A37,'Data Vlaue (Cr)'!$C:$FB,5)</f>
        <v>149.19999999999999</v>
      </c>
      <c r="F37" s="75">
        <f t="shared" si="0"/>
        <v>0.18000000000000682</v>
      </c>
      <c r="G37" s="75">
        <f t="shared" si="1"/>
        <v>-0.62044780145669509</v>
      </c>
      <c r="H37" s="75">
        <f>VLOOKUP($A37,'Data Vlaue (Cr)'!$C:$FB,99)</f>
        <v>1550</v>
      </c>
      <c r="I37" s="75">
        <f>VLOOKUP($A37,'Data Vlaue (Cr)'!$C:$FB,100)</f>
        <v>1523</v>
      </c>
      <c r="J37" s="75">
        <f t="shared" si="2"/>
        <v>27</v>
      </c>
      <c r="K37" s="75">
        <f t="shared" si="3"/>
        <v>1.7419354838709675</v>
      </c>
      <c r="L37" s="75">
        <f>VLOOKUP($A37,'Data Vlaue (Cr)'!$C:$FB,67)</f>
        <v>730</v>
      </c>
      <c r="M37" s="75">
        <f>VLOOKUP($A37,'Data Vlaue (Cr)'!$C:$FB,68)</f>
        <v>743</v>
      </c>
      <c r="N37" s="75">
        <f t="shared" si="4"/>
        <v>-13</v>
      </c>
      <c r="O37" s="75">
        <f t="shared" si="5"/>
        <v>-1.7808219178082192</v>
      </c>
      <c r="P37" s="75">
        <f>VLOOKUP($A37,'Data Vlaue (Cr)'!$C:$FB,119)</f>
        <v>0.87</v>
      </c>
      <c r="Q37" s="75">
        <f>VLOOKUP($A37,'Data Vlaue (Cr)'!$C:$FB,122)*100</f>
        <v>-10.31</v>
      </c>
      <c r="R37" s="75">
        <f>VLOOKUP($A37,'Data Vlaue (Cr)'!$C:$FB,125)</f>
        <v>0.48</v>
      </c>
      <c r="S37" s="75">
        <f>VLOOKUP($A37,'Data Vlaue (Cr)'!$C:$FB,128)*100</f>
        <v>-23.810000000000002</v>
      </c>
    </row>
    <row r="38" spans="1:19" x14ac:dyDescent="0.25">
      <c r="A38" s="96" t="str">
        <f>'Data Vlaue (Cr)'!C29</f>
        <v>BANKNIFTY</v>
      </c>
      <c r="B38" s="75">
        <f>VLOOKUP($A38,'Data Vlaue (Cr)'!$C:$FB,2)</f>
        <v>30</v>
      </c>
      <c r="C38" s="75">
        <f>VLOOKUP($A38,'Data Vlaue (Cr)'!$C:$FB,8)</f>
        <v>56565.7</v>
      </c>
      <c r="D38" s="75">
        <f>VLOOKUP($A38,'Data Vlaue (Cr)'!$C:$FB,4)</f>
        <v>56666.8</v>
      </c>
      <c r="E38" s="75">
        <f>VLOOKUP($A38,'Data Vlaue (Cr)'!$C:$FB,5)</f>
        <v>56209.2</v>
      </c>
      <c r="F38" s="75">
        <f t="shared" si="0"/>
        <v>101.10000000000582</v>
      </c>
      <c r="G38" s="75">
        <f t="shared" si="1"/>
        <v>0.8075275116999826</v>
      </c>
      <c r="H38" s="75">
        <f>VLOOKUP($A38,'Data Vlaue (Cr)'!$C:$FB,99)</f>
        <v>232980</v>
      </c>
      <c r="I38" s="75">
        <f>VLOOKUP($A38,'Data Vlaue (Cr)'!$C:$FB,100)</f>
        <v>219282</v>
      </c>
      <c r="J38" s="75">
        <f t="shared" si="2"/>
        <v>13698</v>
      </c>
      <c r="K38" s="75">
        <f t="shared" si="3"/>
        <v>5.8794746330157102</v>
      </c>
      <c r="L38" s="75">
        <f>VLOOKUP($A38,'Data Vlaue (Cr)'!$C:$FB,67)</f>
        <v>437166</v>
      </c>
      <c r="M38" s="75">
        <f>VLOOKUP($A38,'Data Vlaue (Cr)'!$C:$FB,68)</f>
        <v>444587</v>
      </c>
      <c r="N38" s="75">
        <f t="shared" si="4"/>
        <v>-7421</v>
      </c>
      <c r="O38" s="75">
        <f t="shared" si="5"/>
        <v>-1.6975245101403129</v>
      </c>
      <c r="P38" s="75">
        <f>VLOOKUP($A38,'Data Vlaue (Cr)'!$C:$FB,119)</f>
        <v>0.93</v>
      </c>
      <c r="Q38" s="75">
        <f>VLOOKUP($A38,'Data Vlaue (Cr)'!$C:$FB,122)*100</f>
        <v>6.9</v>
      </c>
      <c r="R38" s="75">
        <f>VLOOKUP($A38,'Data Vlaue (Cr)'!$C:$FB,125)</f>
        <v>0.88</v>
      </c>
      <c r="S38" s="75">
        <f>VLOOKUP($A38,'Data Vlaue (Cr)'!$C:$FB,128)*100</f>
        <v>-7.37</v>
      </c>
    </row>
    <row r="39" spans="1:19" x14ac:dyDescent="0.25">
      <c r="A39" s="96" t="str">
        <f>'Data Vlaue (Cr)'!C30</f>
        <v>BDL</v>
      </c>
      <c r="B39" s="75">
        <f>VLOOKUP($A39,'Data Vlaue (Cr)'!$C:$FB,2)</f>
        <v>350</v>
      </c>
      <c r="C39" s="75">
        <f>VLOOKUP($A39,'Data Vlaue (Cr)'!$C:$FB,8)</f>
        <v>1380.7</v>
      </c>
      <c r="D39" s="75">
        <f>VLOOKUP($A39,'Data Vlaue (Cr)'!$C:$FB,4)</f>
        <v>1380.8</v>
      </c>
      <c r="E39" s="75">
        <f>VLOOKUP($A39,'Data Vlaue (Cr)'!$C:$FB,5)</f>
        <v>1359.7</v>
      </c>
      <c r="F39" s="75">
        <f t="shared" si="0"/>
        <v>9.9999999999909051E-2</v>
      </c>
      <c r="G39" s="75">
        <f t="shared" si="1"/>
        <v>1.528099652375428</v>
      </c>
      <c r="H39" s="75">
        <f>VLOOKUP($A39,'Data Vlaue (Cr)'!$C:$FB,99)</f>
        <v>1370</v>
      </c>
      <c r="I39" s="75">
        <f>VLOOKUP($A39,'Data Vlaue (Cr)'!$C:$FB,100)</f>
        <v>1374</v>
      </c>
      <c r="J39" s="75">
        <f t="shared" si="2"/>
        <v>-4</v>
      </c>
      <c r="K39" s="75">
        <f t="shared" si="3"/>
        <v>-0.29197080291970801</v>
      </c>
      <c r="L39" s="75">
        <f>VLOOKUP($A39,'Data Vlaue (Cr)'!$C:$FB,67)</f>
        <v>1426</v>
      </c>
      <c r="M39" s="75">
        <f>VLOOKUP($A39,'Data Vlaue (Cr)'!$C:$FB,68)</f>
        <v>1220</v>
      </c>
      <c r="N39" s="75">
        <f t="shared" si="4"/>
        <v>206</v>
      </c>
      <c r="O39" s="75">
        <f t="shared" si="5"/>
        <v>14.446002805049089</v>
      </c>
      <c r="P39" s="75">
        <f>VLOOKUP($A39,'Data Vlaue (Cr)'!$C:$FB,119)</f>
        <v>0.8</v>
      </c>
      <c r="Q39" s="75">
        <f>VLOOKUP($A39,'Data Vlaue (Cr)'!$C:$FB,122)*100</f>
        <v>8.1100000000000012</v>
      </c>
      <c r="R39" s="75">
        <f>VLOOKUP($A39,'Data Vlaue (Cr)'!$C:$FB,125)</f>
        <v>0.52</v>
      </c>
      <c r="S39" s="75">
        <f>VLOOKUP($A39,'Data Vlaue (Cr)'!$C:$FB,128)*100</f>
        <v>8.33</v>
      </c>
    </row>
    <row r="40" spans="1:19" x14ac:dyDescent="0.25">
      <c r="A40" s="96" t="str">
        <f>'Data Vlaue (Cr)'!C31</f>
        <v>BEL</v>
      </c>
      <c r="B40" s="75">
        <f>VLOOKUP($A40,'Data Vlaue (Cr)'!$C:$FB,2)</f>
        <v>1425</v>
      </c>
      <c r="C40" s="75">
        <f>VLOOKUP($A40,'Data Vlaue (Cr)'!$C:$FB,8)</f>
        <v>462.75</v>
      </c>
      <c r="D40" s="75">
        <f>VLOOKUP($A40,'Data Vlaue (Cr)'!$C:$FB,4)</f>
        <v>462.9</v>
      </c>
      <c r="E40" s="75">
        <f>VLOOKUP($A40,'Data Vlaue (Cr)'!$C:$FB,5)</f>
        <v>456.55</v>
      </c>
      <c r="F40" s="75">
        <f t="shared" si="0"/>
        <v>0.14999999999997726</v>
      </c>
      <c r="G40" s="75">
        <f t="shared" si="1"/>
        <v>1.371786562972557</v>
      </c>
      <c r="H40" s="75">
        <f>VLOOKUP($A40,'Data Vlaue (Cr)'!$C:$FB,99)</f>
        <v>8295</v>
      </c>
      <c r="I40" s="75">
        <f>VLOOKUP($A40,'Data Vlaue (Cr)'!$C:$FB,100)</f>
        <v>8172</v>
      </c>
      <c r="J40" s="75">
        <f t="shared" si="2"/>
        <v>123</v>
      </c>
      <c r="K40" s="75">
        <f t="shared" si="3"/>
        <v>1.4828209764918625</v>
      </c>
      <c r="L40" s="75">
        <f>VLOOKUP($A40,'Data Vlaue (Cr)'!$C:$FB,67)</f>
        <v>5963</v>
      </c>
      <c r="M40" s="75">
        <f>VLOOKUP($A40,'Data Vlaue (Cr)'!$C:$FB,68)</f>
        <v>5480</v>
      </c>
      <c r="N40" s="75">
        <f t="shared" si="4"/>
        <v>483</v>
      </c>
      <c r="O40" s="75">
        <f t="shared" si="5"/>
        <v>8.0999496897534797</v>
      </c>
      <c r="P40" s="75">
        <f>VLOOKUP($A40,'Data Vlaue (Cr)'!$C:$FB,119)</f>
        <v>0.75</v>
      </c>
      <c r="Q40" s="75">
        <f>VLOOKUP($A40,'Data Vlaue (Cr)'!$C:$FB,122)*100</f>
        <v>5.63</v>
      </c>
      <c r="R40" s="75">
        <f>VLOOKUP($A40,'Data Vlaue (Cr)'!$C:$FB,125)</f>
        <v>0.5</v>
      </c>
      <c r="S40" s="75">
        <f>VLOOKUP($A40,'Data Vlaue (Cr)'!$C:$FB,128)*100</f>
        <v>6.38</v>
      </c>
    </row>
    <row r="41" spans="1:19" x14ac:dyDescent="0.25">
      <c r="A41" s="96" t="str">
        <f>'Data Vlaue (Cr)'!C32</f>
        <v>BHARATFORG</v>
      </c>
      <c r="B41" s="75">
        <f>VLOOKUP($A41,'Data Vlaue (Cr)'!$C:$FB,2)</f>
        <v>500</v>
      </c>
      <c r="C41" s="75">
        <f>VLOOKUP($A41,'Data Vlaue (Cr)'!$C:$FB,8)</f>
        <v>1860.5</v>
      </c>
      <c r="D41" s="75">
        <f>VLOOKUP($A41,'Data Vlaue (Cr)'!$C:$FB,4)</f>
        <v>1858.1</v>
      </c>
      <c r="E41" s="75">
        <f>VLOOKUP($A41,'Data Vlaue (Cr)'!$C:$FB,5)</f>
        <v>1847.3</v>
      </c>
      <c r="F41" s="75">
        <f t="shared" si="0"/>
        <v>-2.4000000000000909</v>
      </c>
      <c r="G41" s="75">
        <f t="shared" si="1"/>
        <v>0.58123889995156097</v>
      </c>
      <c r="H41" s="75">
        <f>VLOOKUP($A41,'Data Vlaue (Cr)'!$C:$FB,99)</f>
        <v>2473</v>
      </c>
      <c r="I41" s="75">
        <f>VLOOKUP($A41,'Data Vlaue (Cr)'!$C:$FB,100)</f>
        <v>2445</v>
      </c>
      <c r="J41" s="75">
        <f t="shared" si="2"/>
        <v>28</v>
      </c>
      <c r="K41" s="75">
        <f t="shared" si="3"/>
        <v>1.1322280630812778</v>
      </c>
      <c r="L41" s="75">
        <f>VLOOKUP($A41,'Data Vlaue (Cr)'!$C:$FB,67)</f>
        <v>1432</v>
      </c>
      <c r="M41" s="75">
        <f>VLOOKUP($A41,'Data Vlaue (Cr)'!$C:$FB,68)</f>
        <v>1298</v>
      </c>
      <c r="N41" s="75">
        <f t="shared" si="4"/>
        <v>134</v>
      </c>
      <c r="O41" s="75">
        <f t="shared" si="5"/>
        <v>9.3575418994413404</v>
      </c>
      <c r="P41" s="75">
        <f>VLOOKUP($A41,'Data Vlaue (Cr)'!$C:$FB,119)</f>
        <v>0.61</v>
      </c>
      <c r="Q41" s="75">
        <f>VLOOKUP($A41,'Data Vlaue (Cr)'!$C:$FB,122)*100</f>
        <v>0</v>
      </c>
      <c r="R41" s="75">
        <f>VLOOKUP($A41,'Data Vlaue (Cr)'!$C:$FB,125)</f>
        <v>0.64</v>
      </c>
      <c r="S41" s="75">
        <f>VLOOKUP($A41,'Data Vlaue (Cr)'!$C:$FB,128)*100</f>
        <v>20.75</v>
      </c>
    </row>
    <row r="42" spans="1:19" x14ac:dyDescent="0.25">
      <c r="A42" s="96" t="str">
        <f>'Data Vlaue (Cr)'!C33</f>
        <v>BHARTIARTL</v>
      </c>
      <c r="B42" s="75">
        <f>VLOOKUP($A42,'Data Vlaue (Cr)'!$C:$FB,2)</f>
        <v>475</v>
      </c>
      <c r="C42" s="75">
        <f>VLOOKUP($A42,'Data Vlaue (Cr)'!$C:$FB,8)</f>
        <v>1846.9</v>
      </c>
      <c r="D42" s="75">
        <f>VLOOKUP($A42,'Data Vlaue (Cr)'!$C:$FB,4)</f>
        <v>1849</v>
      </c>
      <c r="E42" s="75">
        <f>VLOOKUP($A42,'Data Vlaue (Cr)'!$C:$FB,5)</f>
        <v>1844</v>
      </c>
      <c r="F42" s="75">
        <f t="shared" si="0"/>
        <v>2.0999999999999091</v>
      </c>
      <c r="G42" s="75">
        <f t="shared" si="1"/>
        <v>0.27041644131963222</v>
      </c>
      <c r="H42" s="75">
        <f>VLOOKUP($A42,'Data Vlaue (Cr)'!$C:$FB,99)</f>
        <v>15298</v>
      </c>
      <c r="I42" s="75">
        <f>VLOOKUP($A42,'Data Vlaue (Cr)'!$C:$FB,100)</f>
        <v>15157</v>
      </c>
      <c r="J42" s="75">
        <f t="shared" si="2"/>
        <v>141</v>
      </c>
      <c r="K42" s="75">
        <f t="shared" si="3"/>
        <v>0.92168910968754081</v>
      </c>
      <c r="L42" s="75">
        <f>VLOOKUP($A42,'Data Vlaue (Cr)'!$C:$FB,67)</f>
        <v>4970</v>
      </c>
      <c r="M42" s="75">
        <f>VLOOKUP($A42,'Data Vlaue (Cr)'!$C:$FB,68)</f>
        <v>7947</v>
      </c>
      <c r="N42" s="75">
        <f t="shared" si="4"/>
        <v>-2977</v>
      </c>
      <c r="O42" s="75">
        <f t="shared" si="5"/>
        <v>-59.899396378269621</v>
      </c>
      <c r="P42" s="75">
        <f>VLOOKUP($A42,'Data Vlaue (Cr)'!$C:$FB,119)</f>
        <v>0.61</v>
      </c>
      <c r="Q42" s="75">
        <f>VLOOKUP($A42,'Data Vlaue (Cr)'!$C:$FB,122)*100</f>
        <v>0</v>
      </c>
      <c r="R42" s="75">
        <f>VLOOKUP($A42,'Data Vlaue (Cr)'!$C:$FB,125)</f>
        <v>0.47</v>
      </c>
      <c r="S42" s="75">
        <f>VLOOKUP($A42,'Data Vlaue (Cr)'!$C:$FB,128)*100</f>
        <v>9.3000000000000007</v>
      </c>
    </row>
    <row r="43" spans="1:19" x14ac:dyDescent="0.25">
      <c r="A43" s="96" t="str">
        <f>'Data Vlaue (Cr)'!C34</f>
        <v>BHEL</v>
      </c>
      <c r="B43" s="75">
        <f>VLOOKUP($A43,'Data Vlaue (Cr)'!$C:$FB,2)</f>
        <v>2625</v>
      </c>
      <c r="C43" s="75">
        <f>VLOOKUP($A43,'Data Vlaue (Cr)'!$C:$FB,8)</f>
        <v>316.79000000000002</v>
      </c>
      <c r="D43" s="75">
        <f>VLOOKUP($A43,'Data Vlaue (Cr)'!$C:$FB,4)</f>
        <v>317.22000000000003</v>
      </c>
      <c r="E43" s="75">
        <f>VLOOKUP($A43,'Data Vlaue (Cr)'!$C:$FB,5)</f>
        <v>309.98</v>
      </c>
      <c r="F43" s="75">
        <f t="shared" si="0"/>
        <v>0.43000000000000682</v>
      </c>
      <c r="G43" s="75">
        <f t="shared" si="1"/>
        <v>2.2823277220856215</v>
      </c>
      <c r="H43" s="75">
        <f>VLOOKUP($A43,'Data Vlaue (Cr)'!$C:$FB,99)</f>
        <v>5783</v>
      </c>
      <c r="I43" s="75">
        <f>VLOOKUP($A43,'Data Vlaue (Cr)'!$C:$FB,100)</f>
        <v>5746</v>
      </c>
      <c r="J43" s="75">
        <f t="shared" si="2"/>
        <v>37</v>
      </c>
      <c r="K43" s="75">
        <f t="shared" si="3"/>
        <v>0.63980632889503719</v>
      </c>
      <c r="L43" s="75">
        <f>VLOOKUP($A43,'Data Vlaue (Cr)'!$C:$FB,67)</f>
        <v>8718</v>
      </c>
      <c r="M43" s="75">
        <f>VLOOKUP($A43,'Data Vlaue (Cr)'!$C:$FB,68)</f>
        <v>8281</v>
      </c>
      <c r="N43" s="75">
        <f t="shared" si="4"/>
        <v>437</v>
      </c>
      <c r="O43" s="75">
        <f t="shared" si="5"/>
        <v>5.0126175728378071</v>
      </c>
      <c r="P43" s="75">
        <f>VLOOKUP($A43,'Data Vlaue (Cr)'!$C:$FB,119)</f>
        <v>0.88</v>
      </c>
      <c r="Q43" s="75">
        <f>VLOOKUP($A43,'Data Vlaue (Cr)'!$C:$FB,122)*100</f>
        <v>-3.3000000000000003</v>
      </c>
      <c r="R43" s="75">
        <f>VLOOKUP($A43,'Data Vlaue (Cr)'!$C:$FB,125)</f>
        <v>0.6</v>
      </c>
      <c r="S43" s="75">
        <f>VLOOKUP($A43,'Data Vlaue (Cr)'!$C:$FB,128)*100</f>
        <v>39.53</v>
      </c>
    </row>
    <row r="44" spans="1:19" x14ac:dyDescent="0.25">
      <c r="A44" s="96" t="str">
        <f>'Data Vlaue (Cr)'!C35</f>
        <v>BIOCON</v>
      </c>
      <c r="B44" s="75">
        <f>VLOOKUP($A44,'Data Vlaue (Cr)'!$C:$FB,2)</f>
        <v>2500</v>
      </c>
      <c r="C44" s="75">
        <f>VLOOKUP($A44,'Data Vlaue (Cr)'!$C:$FB,8)</f>
        <v>358.1</v>
      </c>
      <c r="D44" s="75">
        <f>VLOOKUP($A44,'Data Vlaue (Cr)'!$C:$FB,4)</f>
        <v>358.45</v>
      </c>
      <c r="E44" s="75">
        <f>VLOOKUP($A44,'Data Vlaue (Cr)'!$C:$FB,5)</f>
        <v>350.8</v>
      </c>
      <c r="F44" s="75">
        <f t="shared" si="0"/>
        <v>0.34999999999996589</v>
      </c>
      <c r="G44" s="75">
        <f t="shared" si="1"/>
        <v>2.134188868740404</v>
      </c>
      <c r="H44" s="75">
        <f>VLOOKUP($A44,'Data Vlaue (Cr)'!$C:$FB,99)</f>
        <v>2748</v>
      </c>
      <c r="I44" s="75">
        <f>VLOOKUP($A44,'Data Vlaue (Cr)'!$C:$FB,100)</f>
        <v>2772</v>
      </c>
      <c r="J44" s="75">
        <f t="shared" si="2"/>
        <v>-24</v>
      </c>
      <c r="K44" s="75">
        <f t="shared" si="3"/>
        <v>-0.87336244541484709</v>
      </c>
      <c r="L44" s="75">
        <f>VLOOKUP($A44,'Data Vlaue (Cr)'!$C:$FB,67)</f>
        <v>2991</v>
      </c>
      <c r="M44" s="75">
        <f>VLOOKUP($A44,'Data Vlaue (Cr)'!$C:$FB,68)</f>
        <v>1135</v>
      </c>
      <c r="N44" s="75">
        <f t="shared" si="4"/>
        <v>1856</v>
      </c>
      <c r="O44" s="75">
        <f t="shared" si="5"/>
        <v>62.052825142092949</v>
      </c>
      <c r="P44" s="75">
        <f>VLOOKUP($A44,'Data Vlaue (Cr)'!$C:$FB,119)</f>
        <v>0.64</v>
      </c>
      <c r="Q44" s="75">
        <f>VLOOKUP($A44,'Data Vlaue (Cr)'!$C:$FB,122)*100</f>
        <v>0</v>
      </c>
      <c r="R44" s="75">
        <f>VLOOKUP($A44,'Data Vlaue (Cr)'!$C:$FB,125)</f>
        <v>0.24</v>
      </c>
      <c r="S44" s="75">
        <f>VLOOKUP($A44,'Data Vlaue (Cr)'!$C:$FB,128)*100</f>
        <v>-36.840000000000003</v>
      </c>
    </row>
    <row r="45" spans="1:19" x14ac:dyDescent="0.25">
      <c r="A45" s="96" t="str">
        <f>'Data Vlaue (Cr)'!C36</f>
        <v>BLUESTARCO</v>
      </c>
      <c r="B45" s="75">
        <f>VLOOKUP($A45,'Data Vlaue (Cr)'!$C:$FB,2)</f>
        <v>325</v>
      </c>
      <c r="C45" s="75">
        <f>VLOOKUP($A45,'Data Vlaue (Cr)'!$C:$FB,8)</f>
        <v>1866.1</v>
      </c>
      <c r="D45" s="75">
        <f>VLOOKUP($A45,'Data Vlaue (Cr)'!$C:$FB,4)</f>
        <v>1856.5</v>
      </c>
      <c r="E45" s="75">
        <f>VLOOKUP($A45,'Data Vlaue (Cr)'!$C:$FB,5)</f>
        <v>1839.5</v>
      </c>
      <c r="F45" s="75">
        <f t="shared" si="0"/>
        <v>-9.5999999999999091</v>
      </c>
      <c r="G45" s="75">
        <f t="shared" si="1"/>
        <v>0.91570158901158105</v>
      </c>
      <c r="H45" s="75">
        <f>VLOOKUP($A45,'Data Vlaue (Cr)'!$C:$FB,99)</f>
        <v>1130</v>
      </c>
      <c r="I45" s="75">
        <f>VLOOKUP($A45,'Data Vlaue (Cr)'!$C:$FB,100)</f>
        <v>1068</v>
      </c>
      <c r="J45" s="75">
        <f t="shared" si="2"/>
        <v>62</v>
      </c>
      <c r="K45" s="75">
        <f t="shared" si="3"/>
        <v>5.4867256637168138</v>
      </c>
      <c r="L45" s="75">
        <f>VLOOKUP($A45,'Data Vlaue (Cr)'!$C:$FB,67)</f>
        <v>751</v>
      </c>
      <c r="M45" s="75">
        <f>VLOOKUP($A45,'Data Vlaue (Cr)'!$C:$FB,68)</f>
        <v>1977</v>
      </c>
      <c r="N45" s="75">
        <f t="shared" si="4"/>
        <v>-1226</v>
      </c>
      <c r="O45" s="75">
        <f t="shared" si="5"/>
        <v>-163.24900133155793</v>
      </c>
      <c r="P45" s="75">
        <f>VLOOKUP($A45,'Data Vlaue (Cr)'!$C:$FB,119)</f>
        <v>0.63</v>
      </c>
      <c r="Q45" s="75">
        <f>VLOOKUP($A45,'Data Vlaue (Cr)'!$C:$FB,122)*100</f>
        <v>3.2800000000000002</v>
      </c>
      <c r="R45" s="75">
        <f>VLOOKUP($A45,'Data Vlaue (Cr)'!$C:$FB,125)</f>
        <v>0.52</v>
      </c>
      <c r="S45" s="75">
        <f>VLOOKUP($A45,'Data Vlaue (Cr)'!$C:$FB,128)*100</f>
        <v>73.33</v>
      </c>
    </row>
    <row r="46" spans="1:19" x14ac:dyDescent="0.25">
      <c r="A46" s="96" t="str">
        <f>'Data Vlaue (Cr)'!C37</f>
        <v>BOSCHLTD</v>
      </c>
      <c r="B46" s="75">
        <f>VLOOKUP($A46,'Data Vlaue (Cr)'!$C:$FB,2)</f>
        <v>25</v>
      </c>
      <c r="C46" s="75">
        <f>VLOOKUP($A46,'Data Vlaue (Cr)'!$C:$FB,8)</f>
        <v>37505</v>
      </c>
      <c r="D46" s="75">
        <f>VLOOKUP($A46,'Data Vlaue (Cr)'!$C:$FB,4)</f>
        <v>37580</v>
      </c>
      <c r="E46" s="75">
        <f>VLOOKUP($A46,'Data Vlaue (Cr)'!$C:$FB,5)</f>
        <v>37570</v>
      </c>
      <c r="F46" s="75">
        <f t="shared" si="0"/>
        <v>75</v>
      </c>
      <c r="G46" s="75">
        <f t="shared" si="1"/>
        <v>2.6609898882384245E-2</v>
      </c>
      <c r="H46" s="75">
        <f>VLOOKUP($A46,'Data Vlaue (Cr)'!$C:$FB,99)</f>
        <v>2829</v>
      </c>
      <c r="I46" s="75">
        <f>VLOOKUP($A46,'Data Vlaue (Cr)'!$C:$FB,100)</f>
        <v>2852</v>
      </c>
      <c r="J46" s="75">
        <f t="shared" si="2"/>
        <v>-23</v>
      </c>
      <c r="K46" s="75">
        <f t="shared" si="3"/>
        <v>-0.81300813008130091</v>
      </c>
      <c r="L46" s="75">
        <f>VLOOKUP($A46,'Data Vlaue (Cr)'!$C:$FB,67)</f>
        <v>3276</v>
      </c>
      <c r="M46" s="75">
        <f>VLOOKUP($A46,'Data Vlaue (Cr)'!$C:$FB,68)</f>
        <v>2027</v>
      </c>
      <c r="N46" s="75">
        <f t="shared" si="4"/>
        <v>1249</v>
      </c>
      <c r="O46" s="75">
        <f t="shared" si="5"/>
        <v>38.125763125763122</v>
      </c>
      <c r="P46" s="75">
        <f>VLOOKUP($A46,'Data Vlaue (Cr)'!$C:$FB,119)</f>
        <v>0.89</v>
      </c>
      <c r="Q46" s="75">
        <f>VLOOKUP($A46,'Data Vlaue (Cr)'!$C:$FB,122)*100</f>
        <v>0</v>
      </c>
      <c r="R46" s="75">
        <f>VLOOKUP($A46,'Data Vlaue (Cr)'!$C:$FB,125)</f>
        <v>3.76</v>
      </c>
      <c r="S46" s="75">
        <f>VLOOKUP($A46,'Data Vlaue (Cr)'!$C:$FB,128)*100</f>
        <v>258.10000000000002</v>
      </c>
    </row>
    <row r="47" spans="1:19" x14ac:dyDescent="0.25">
      <c r="A47" s="96" t="str">
        <f>'Data Vlaue (Cr)'!C38</f>
        <v>BPCL</v>
      </c>
      <c r="B47" s="75">
        <f>VLOOKUP($A47,'Data Vlaue (Cr)'!$C:$FB,2)</f>
        <v>1975</v>
      </c>
      <c r="C47" s="75">
        <f>VLOOKUP($A47,'Data Vlaue (Cr)'!$C:$FB,8)</f>
        <v>312.10000000000002</v>
      </c>
      <c r="D47" s="75">
        <f>VLOOKUP($A47,'Data Vlaue (Cr)'!$C:$FB,4)</f>
        <v>313.05</v>
      </c>
      <c r="E47" s="75">
        <f>VLOOKUP($A47,'Data Vlaue (Cr)'!$C:$FB,5)</f>
        <v>308.85000000000002</v>
      </c>
      <c r="F47" s="75">
        <f t="shared" si="0"/>
        <v>0.94999999999998863</v>
      </c>
      <c r="G47" s="75">
        <f t="shared" si="1"/>
        <v>1.3416387158600824</v>
      </c>
      <c r="H47" s="75">
        <f>VLOOKUP($A47,'Data Vlaue (Cr)'!$C:$FB,99)</f>
        <v>3054</v>
      </c>
      <c r="I47" s="75">
        <f>VLOOKUP($A47,'Data Vlaue (Cr)'!$C:$FB,100)</f>
        <v>3034</v>
      </c>
      <c r="J47" s="75">
        <f t="shared" si="2"/>
        <v>20</v>
      </c>
      <c r="K47" s="75">
        <f t="shared" si="3"/>
        <v>0.65487884741322855</v>
      </c>
      <c r="L47" s="75">
        <f>VLOOKUP($A47,'Data Vlaue (Cr)'!$C:$FB,67)</f>
        <v>1871</v>
      </c>
      <c r="M47" s="75">
        <f>VLOOKUP($A47,'Data Vlaue (Cr)'!$C:$FB,68)</f>
        <v>1434</v>
      </c>
      <c r="N47" s="75">
        <f t="shared" si="4"/>
        <v>437</v>
      </c>
      <c r="O47" s="75">
        <f t="shared" si="5"/>
        <v>23.356493853554248</v>
      </c>
      <c r="P47" s="75">
        <f>VLOOKUP($A47,'Data Vlaue (Cr)'!$C:$FB,119)</f>
        <v>0.88</v>
      </c>
      <c r="Q47" s="75">
        <f>VLOOKUP($A47,'Data Vlaue (Cr)'!$C:$FB,122)*100</f>
        <v>0</v>
      </c>
      <c r="R47" s="75">
        <f>VLOOKUP($A47,'Data Vlaue (Cr)'!$C:$FB,125)</f>
        <v>0.48</v>
      </c>
      <c r="S47" s="75">
        <f>VLOOKUP($A47,'Data Vlaue (Cr)'!$C:$FB,128)*100</f>
        <v>-18.64</v>
      </c>
    </row>
    <row r="48" spans="1:19" x14ac:dyDescent="0.25">
      <c r="A48" s="96" t="str">
        <f>'Data Vlaue (Cr)'!C39</f>
        <v>BRITANNIA</v>
      </c>
      <c r="B48" s="75">
        <f>VLOOKUP($A48,'Data Vlaue (Cr)'!$C:$FB,2)</f>
        <v>125</v>
      </c>
      <c r="C48" s="75">
        <f>VLOOKUP($A48,'Data Vlaue (Cr)'!$C:$FB,8)</f>
        <v>5735.5</v>
      </c>
      <c r="D48" s="75">
        <f>VLOOKUP($A48,'Data Vlaue (Cr)'!$C:$FB,4)</f>
        <v>5737.5</v>
      </c>
      <c r="E48" s="75">
        <f>VLOOKUP($A48,'Data Vlaue (Cr)'!$C:$FB,5)</f>
        <v>5588</v>
      </c>
      <c r="F48" s="75">
        <f t="shared" si="0"/>
        <v>2</v>
      </c>
      <c r="G48" s="75">
        <f t="shared" si="1"/>
        <v>2.6056644880174291</v>
      </c>
      <c r="H48" s="75">
        <f>VLOOKUP($A48,'Data Vlaue (Cr)'!$C:$FB,99)</f>
        <v>2274</v>
      </c>
      <c r="I48" s="75">
        <f>VLOOKUP($A48,'Data Vlaue (Cr)'!$C:$FB,100)</f>
        <v>2219</v>
      </c>
      <c r="J48" s="75">
        <f t="shared" si="2"/>
        <v>55</v>
      </c>
      <c r="K48" s="75">
        <f t="shared" si="3"/>
        <v>2.4186455584872473</v>
      </c>
      <c r="L48" s="75">
        <f>VLOOKUP($A48,'Data Vlaue (Cr)'!$C:$FB,67)</f>
        <v>2092</v>
      </c>
      <c r="M48" s="75">
        <f>VLOOKUP($A48,'Data Vlaue (Cr)'!$C:$FB,68)</f>
        <v>1205</v>
      </c>
      <c r="N48" s="75">
        <f t="shared" si="4"/>
        <v>887</v>
      </c>
      <c r="O48" s="75">
        <f t="shared" si="5"/>
        <v>42.399617590822182</v>
      </c>
      <c r="P48" s="75">
        <f>VLOOKUP($A48,'Data Vlaue (Cr)'!$C:$FB,119)</f>
        <v>1.06</v>
      </c>
      <c r="Q48" s="75">
        <f>VLOOKUP($A48,'Data Vlaue (Cr)'!$C:$FB,122)*100</f>
        <v>13.98</v>
      </c>
      <c r="R48" s="75">
        <f>VLOOKUP($A48,'Data Vlaue (Cr)'!$C:$FB,125)</f>
        <v>0.28000000000000003</v>
      </c>
      <c r="S48" s="75">
        <f>VLOOKUP($A48,'Data Vlaue (Cr)'!$C:$FB,128)*100</f>
        <v>-34.880000000000003</v>
      </c>
    </row>
    <row r="49" spans="1:19" x14ac:dyDescent="0.25">
      <c r="A49" s="96" t="str">
        <f>'Data Vlaue (Cr)'!C40</f>
        <v>BSE</v>
      </c>
      <c r="B49" s="75">
        <f>VLOOKUP($A49,'Data Vlaue (Cr)'!$C:$FB,2)</f>
        <v>375</v>
      </c>
      <c r="C49" s="75">
        <f>VLOOKUP($A49,'Data Vlaue (Cr)'!$C:$FB,8)</f>
        <v>3531.5</v>
      </c>
      <c r="D49" s="75">
        <f>VLOOKUP($A49,'Data Vlaue (Cr)'!$C:$FB,4)</f>
        <v>3540.9</v>
      </c>
      <c r="E49" s="75">
        <f>VLOOKUP($A49,'Data Vlaue (Cr)'!$C:$FB,5)</f>
        <v>3443.3</v>
      </c>
      <c r="F49" s="75">
        <f t="shared" si="0"/>
        <v>9.4000000000000909</v>
      </c>
      <c r="G49" s="75">
        <f t="shared" si="1"/>
        <v>2.7563613770510296</v>
      </c>
      <c r="H49" s="75">
        <f>VLOOKUP($A49,'Data Vlaue (Cr)'!$C:$FB,99)</f>
        <v>9563</v>
      </c>
      <c r="I49" s="75">
        <f>VLOOKUP($A49,'Data Vlaue (Cr)'!$C:$FB,100)</f>
        <v>8560</v>
      </c>
      <c r="J49" s="75">
        <f t="shared" si="2"/>
        <v>1003</v>
      </c>
      <c r="K49" s="75">
        <f t="shared" si="3"/>
        <v>10.488340478929207</v>
      </c>
      <c r="L49" s="75">
        <f>VLOOKUP($A49,'Data Vlaue (Cr)'!$C:$FB,67)</f>
        <v>23015</v>
      </c>
      <c r="M49" s="75">
        <f>VLOOKUP($A49,'Data Vlaue (Cr)'!$C:$FB,68)</f>
        <v>11908</v>
      </c>
      <c r="N49" s="75">
        <f t="shared" si="4"/>
        <v>11107</v>
      </c>
      <c r="O49" s="75">
        <f t="shared" si="5"/>
        <v>48.259830545296545</v>
      </c>
      <c r="P49" s="75">
        <f>VLOOKUP($A49,'Data Vlaue (Cr)'!$C:$FB,119)</f>
        <v>1.32</v>
      </c>
      <c r="Q49" s="75">
        <f>VLOOKUP($A49,'Data Vlaue (Cr)'!$C:$FB,122)*100</f>
        <v>2.33</v>
      </c>
      <c r="R49" s="75">
        <f>VLOOKUP($A49,'Data Vlaue (Cr)'!$C:$FB,125)</f>
        <v>0.77</v>
      </c>
      <c r="S49" s="75">
        <f>VLOOKUP($A49,'Data Vlaue (Cr)'!$C:$FB,128)*100</f>
        <v>-13.48</v>
      </c>
    </row>
    <row r="50" spans="1:19" x14ac:dyDescent="0.25">
      <c r="A50" s="96" t="str">
        <f>'Data Vlaue (Cr)'!C41</f>
        <v>CAMS</v>
      </c>
      <c r="B50" s="75">
        <f>VLOOKUP($A50,'Data Vlaue (Cr)'!$C:$FB,2)</f>
        <v>750</v>
      </c>
      <c r="C50" s="75">
        <f>VLOOKUP($A50,'Data Vlaue (Cr)'!$C:$FB,8)</f>
        <v>750.15</v>
      </c>
      <c r="D50" s="75">
        <f>VLOOKUP($A50,'Data Vlaue (Cr)'!$C:$FB,4)</f>
        <v>752.35</v>
      </c>
      <c r="E50" s="75">
        <f>VLOOKUP($A50,'Data Vlaue (Cr)'!$C:$FB,5)</f>
        <v>738.1</v>
      </c>
      <c r="F50" s="75">
        <f t="shared" si="0"/>
        <v>2.2000000000000455</v>
      </c>
      <c r="G50" s="75">
        <f t="shared" si="1"/>
        <v>1.8940652621785075</v>
      </c>
      <c r="H50" s="75">
        <f>VLOOKUP($A50,'Data Vlaue (Cr)'!$C:$FB,99)</f>
        <v>988</v>
      </c>
      <c r="I50" s="75">
        <f>VLOOKUP($A50,'Data Vlaue (Cr)'!$C:$FB,100)</f>
        <v>909</v>
      </c>
      <c r="J50" s="75">
        <f t="shared" si="2"/>
        <v>79</v>
      </c>
      <c r="K50" s="75">
        <f t="shared" si="3"/>
        <v>7.9959514170040489</v>
      </c>
      <c r="L50" s="75">
        <f>VLOOKUP($A50,'Data Vlaue (Cr)'!$C:$FB,67)</f>
        <v>954</v>
      </c>
      <c r="M50" s="75">
        <f>VLOOKUP($A50,'Data Vlaue (Cr)'!$C:$FB,68)</f>
        <v>547</v>
      </c>
      <c r="N50" s="75">
        <f t="shared" si="4"/>
        <v>407</v>
      </c>
      <c r="O50" s="75">
        <f t="shared" si="5"/>
        <v>42.662473794549264</v>
      </c>
      <c r="P50" s="75">
        <f>VLOOKUP($A50,'Data Vlaue (Cr)'!$C:$FB,119)</f>
        <v>0.85</v>
      </c>
      <c r="Q50" s="75">
        <f>VLOOKUP($A50,'Data Vlaue (Cr)'!$C:$FB,122)*100</f>
        <v>10.39</v>
      </c>
      <c r="R50" s="75">
        <f>VLOOKUP($A50,'Data Vlaue (Cr)'!$C:$FB,125)</f>
        <v>0.49</v>
      </c>
      <c r="S50" s="75">
        <f>VLOOKUP($A50,'Data Vlaue (Cr)'!$C:$FB,128)*100</f>
        <v>-5.7700000000000005</v>
      </c>
    </row>
    <row r="51" spans="1:19" x14ac:dyDescent="0.25">
      <c r="A51" s="96" t="str">
        <f>'Data Vlaue (Cr)'!C42</f>
        <v>CANBK</v>
      </c>
      <c r="B51" s="75">
        <f>VLOOKUP($A51,'Data Vlaue (Cr)'!$C:$FB,2)</f>
        <v>6750</v>
      </c>
      <c r="C51" s="75">
        <f>VLOOKUP($A51,'Data Vlaue (Cr)'!$C:$FB,8)</f>
        <v>142.37</v>
      </c>
      <c r="D51" s="75">
        <f>VLOOKUP($A51,'Data Vlaue (Cr)'!$C:$FB,4)</f>
        <v>142.61000000000001</v>
      </c>
      <c r="E51" s="75">
        <f>VLOOKUP($A51,'Data Vlaue (Cr)'!$C:$FB,5)</f>
        <v>141.46</v>
      </c>
      <c r="F51" s="75">
        <f t="shared" si="0"/>
        <v>0.24000000000000909</v>
      </c>
      <c r="G51" s="75">
        <f t="shared" si="1"/>
        <v>0.8063950634597894</v>
      </c>
      <c r="H51" s="75">
        <f>VLOOKUP($A51,'Data Vlaue (Cr)'!$C:$FB,99)</f>
        <v>4900</v>
      </c>
      <c r="I51" s="75">
        <f>VLOOKUP($A51,'Data Vlaue (Cr)'!$C:$FB,100)</f>
        <v>4875</v>
      </c>
      <c r="J51" s="75">
        <f t="shared" si="2"/>
        <v>25</v>
      </c>
      <c r="K51" s="75">
        <f t="shared" si="3"/>
        <v>0.51020408163265307</v>
      </c>
      <c r="L51" s="75">
        <f>VLOOKUP($A51,'Data Vlaue (Cr)'!$C:$FB,67)</f>
        <v>2190</v>
      </c>
      <c r="M51" s="75">
        <f>VLOOKUP($A51,'Data Vlaue (Cr)'!$C:$FB,68)</f>
        <v>1804</v>
      </c>
      <c r="N51" s="75">
        <f t="shared" si="4"/>
        <v>386</v>
      </c>
      <c r="O51" s="75">
        <f t="shared" si="5"/>
        <v>17.62557077625571</v>
      </c>
      <c r="P51" s="75">
        <f>VLOOKUP($A51,'Data Vlaue (Cr)'!$C:$FB,119)</f>
        <v>0.93</v>
      </c>
      <c r="Q51" s="75">
        <f>VLOOKUP($A51,'Data Vlaue (Cr)'!$C:$FB,122)*100</f>
        <v>0</v>
      </c>
      <c r="R51" s="75">
        <f>VLOOKUP($A51,'Data Vlaue (Cr)'!$C:$FB,125)</f>
        <v>0.56999999999999995</v>
      </c>
      <c r="S51" s="75">
        <f>VLOOKUP($A51,'Data Vlaue (Cr)'!$C:$FB,128)*100</f>
        <v>-27.85</v>
      </c>
    </row>
    <row r="52" spans="1:19" x14ac:dyDescent="0.25">
      <c r="A52" s="96" t="str">
        <f>'Data Vlaue (Cr)'!C43</f>
        <v>CDSL</v>
      </c>
      <c r="B52" s="75">
        <f>VLOOKUP($A52,'Data Vlaue (Cr)'!$C:$FB,2)</f>
        <v>475</v>
      </c>
      <c r="C52" s="75">
        <f>VLOOKUP($A52,'Data Vlaue (Cr)'!$C:$FB,8)</f>
        <v>1393.2</v>
      </c>
      <c r="D52" s="75">
        <f>VLOOKUP($A52,'Data Vlaue (Cr)'!$C:$FB,4)</f>
        <v>1396.1</v>
      </c>
      <c r="E52" s="75">
        <f>VLOOKUP($A52,'Data Vlaue (Cr)'!$C:$FB,5)</f>
        <v>1372.3</v>
      </c>
      <c r="F52" s="75">
        <f t="shared" si="0"/>
        <v>2.8999999999998636</v>
      </c>
      <c r="G52" s="75">
        <f t="shared" si="1"/>
        <v>1.7047489434854204</v>
      </c>
      <c r="H52" s="75">
        <f>VLOOKUP($A52,'Data Vlaue (Cr)'!$C:$FB,99)</f>
        <v>2826</v>
      </c>
      <c r="I52" s="75">
        <f>VLOOKUP($A52,'Data Vlaue (Cr)'!$C:$FB,100)</f>
        <v>2757</v>
      </c>
      <c r="J52" s="75">
        <f t="shared" si="2"/>
        <v>69</v>
      </c>
      <c r="K52" s="75">
        <f t="shared" si="3"/>
        <v>2.4416135881104037</v>
      </c>
      <c r="L52" s="75">
        <f>VLOOKUP($A52,'Data Vlaue (Cr)'!$C:$FB,67)</f>
        <v>2764</v>
      </c>
      <c r="M52" s="75">
        <f>VLOOKUP($A52,'Data Vlaue (Cr)'!$C:$FB,68)</f>
        <v>2082</v>
      </c>
      <c r="N52" s="75">
        <f t="shared" si="4"/>
        <v>682</v>
      </c>
      <c r="O52" s="75">
        <f t="shared" si="5"/>
        <v>24.67438494934877</v>
      </c>
      <c r="P52" s="75">
        <f>VLOOKUP($A52,'Data Vlaue (Cr)'!$C:$FB,119)</f>
        <v>0.91</v>
      </c>
      <c r="Q52" s="75">
        <f>VLOOKUP($A52,'Data Vlaue (Cr)'!$C:$FB,122)*100</f>
        <v>2.25</v>
      </c>
      <c r="R52" s="75">
        <f>VLOOKUP($A52,'Data Vlaue (Cr)'!$C:$FB,125)</f>
        <v>0.56999999999999995</v>
      </c>
      <c r="S52" s="75">
        <f>VLOOKUP($A52,'Data Vlaue (Cr)'!$C:$FB,128)*100</f>
        <v>1.79</v>
      </c>
    </row>
    <row r="53" spans="1:19" x14ac:dyDescent="0.25">
      <c r="A53" s="96" t="str">
        <f>'Data Vlaue (Cr)'!C44</f>
        <v>CGPOWER</v>
      </c>
      <c r="B53" s="75">
        <f>VLOOKUP($A53,'Data Vlaue (Cr)'!$C:$FB,2)</f>
        <v>850</v>
      </c>
      <c r="C53" s="75">
        <f>VLOOKUP($A53,'Data Vlaue (Cr)'!$C:$FB,8)</f>
        <v>774.8</v>
      </c>
      <c r="D53" s="75">
        <f>VLOOKUP($A53,'Data Vlaue (Cr)'!$C:$FB,4)</f>
        <v>774.65</v>
      </c>
      <c r="E53" s="75">
        <f>VLOOKUP($A53,'Data Vlaue (Cr)'!$C:$FB,5)</f>
        <v>757.85</v>
      </c>
      <c r="F53" s="75">
        <f t="shared" si="0"/>
        <v>-0.14999999999997726</v>
      </c>
      <c r="G53" s="75">
        <f t="shared" si="1"/>
        <v>2.1687213580326539</v>
      </c>
      <c r="H53" s="75">
        <f>VLOOKUP($A53,'Data Vlaue (Cr)'!$C:$FB,99)</f>
        <v>2067</v>
      </c>
      <c r="I53" s="75">
        <f>VLOOKUP($A53,'Data Vlaue (Cr)'!$C:$FB,100)</f>
        <v>2099</v>
      </c>
      <c r="J53" s="75">
        <f t="shared" si="2"/>
        <v>-32</v>
      </c>
      <c r="K53" s="75">
        <f t="shared" si="3"/>
        <v>-1.5481373971940009</v>
      </c>
      <c r="L53" s="75">
        <f>VLOOKUP($A53,'Data Vlaue (Cr)'!$C:$FB,67)</f>
        <v>1683</v>
      </c>
      <c r="M53" s="75">
        <f>VLOOKUP($A53,'Data Vlaue (Cr)'!$C:$FB,68)</f>
        <v>1755</v>
      </c>
      <c r="N53" s="75">
        <f t="shared" si="4"/>
        <v>-72</v>
      </c>
      <c r="O53" s="75">
        <f t="shared" si="5"/>
        <v>-4.2780748663101598</v>
      </c>
      <c r="P53" s="75">
        <f>VLOOKUP($A53,'Data Vlaue (Cr)'!$C:$FB,119)</f>
        <v>0.64</v>
      </c>
      <c r="Q53" s="75">
        <f>VLOOKUP($A53,'Data Vlaue (Cr)'!$C:$FB,122)*100</f>
        <v>8.4699999999999989</v>
      </c>
      <c r="R53" s="75">
        <f>VLOOKUP($A53,'Data Vlaue (Cr)'!$C:$FB,125)</f>
        <v>0.32</v>
      </c>
      <c r="S53" s="75">
        <f>VLOOKUP($A53,'Data Vlaue (Cr)'!$C:$FB,128)*100</f>
        <v>3.2300000000000004</v>
      </c>
    </row>
    <row r="54" spans="1:19" x14ac:dyDescent="0.25">
      <c r="A54" s="96" t="str">
        <f>'Data Vlaue (Cr)'!C45</f>
        <v>CHOLAFIN</v>
      </c>
      <c r="B54" s="75">
        <f>VLOOKUP($A54,'Data Vlaue (Cr)'!$C:$FB,2)</f>
        <v>625</v>
      </c>
      <c r="C54" s="75">
        <f>VLOOKUP($A54,'Data Vlaue (Cr)'!$C:$FB,8)</f>
        <v>1579</v>
      </c>
      <c r="D54" s="75">
        <f>VLOOKUP($A54,'Data Vlaue (Cr)'!$C:$FB,4)</f>
        <v>1578.4</v>
      </c>
      <c r="E54" s="75">
        <f>VLOOKUP($A54,'Data Vlaue (Cr)'!$C:$FB,5)</f>
        <v>1572.1</v>
      </c>
      <c r="F54" s="75">
        <f t="shared" si="0"/>
        <v>-0.59999999999990905</v>
      </c>
      <c r="G54" s="75">
        <f t="shared" si="1"/>
        <v>0.39913836796757363</v>
      </c>
      <c r="H54" s="75">
        <f>VLOOKUP($A54,'Data Vlaue (Cr)'!$C:$FB,99)</f>
        <v>4532</v>
      </c>
      <c r="I54" s="75">
        <f>VLOOKUP($A54,'Data Vlaue (Cr)'!$C:$FB,100)</f>
        <v>4500</v>
      </c>
      <c r="J54" s="75">
        <f t="shared" si="2"/>
        <v>32</v>
      </c>
      <c r="K54" s="75">
        <f t="shared" si="3"/>
        <v>0.70609002647837604</v>
      </c>
      <c r="L54" s="75">
        <f>VLOOKUP($A54,'Data Vlaue (Cr)'!$C:$FB,67)</f>
        <v>1786</v>
      </c>
      <c r="M54" s="75">
        <f>VLOOKUP($A54,'Data Vlaue (Cr)'!$C:$FB,68)</f>
        <v>3570</v>
      </c>
      <c r="N54" s="75">
        <f t="shared" si="4"/>
        <v>-1784</v>
      </c>
      <c r="O54" s="75">
        <f t="shared" si="5"/>
        <v>-99.888017917133254</v>
      </c>
      <c r="P54" s="75">
        <f>VLOOKUP($A54,'Data Vlaue (Cr)'!$C:$FB,119)</f>
        <v>0.86</v>
      </c>
      <c r="Q54" s="75">
        <f>VLOOKUP($A54,'Data Vlaue (Cr)'!$C:$FB,122)*100</f>
        <v>0</v>
      </c>
      <c r="R54" s="75">
        <f>VLOOKUP($A54,'Data Vlaue (Cr)'!$C:$FB,125)</f>
        <v>0.66</v>
      </c>
      <c r="S54" s="75">
        <f>VLOOKUP($A54,'Data Vlaue (Cr)'!$C:$FB,128)*100</f>
        <v>22.220000000000002</v>
      </c>
    </row>
    <row r="55" spans="1:19" x14ac:dyDescent="0.25">
      <c r="A55" s="96" t="str">
        <f>'Data Vlaue (Cr)'!C46</f>
        <v>CIPLA</v>
      </c>
      <c r="B55" s="75">
        <f>VLOOKUP($A55,'Data Vlaue (Cr)'!$C:$FB,2)</f>
        <v>375</v>
      </c>
      <c r="C55" s="75">
        <f>VLOOKUP($A55,'Data Vlaue (Cr)'!$C:$FB,8)</f>
        <v>1240.8</v>
      </c>
      <c r="D55" s="75">
        <f>VLOOKUP($A55,'Data Vlaue (Cr)'!$C:$FB,4)</f>
        <v>1245.0999999999999</v>
      </c>
      <c r="E55" s="75">
        <f>VLOOKUP($A55,'Data Vlaue (Cr)'!$C:$FB,5)</f>
        <v>1232.0999999999999</v>
      </c>
      <c r="F55" s="75">
        <f t="shared" si="0"/>
        <v>4.2999999999999545</v>
      </c>
      <c r="G55" s="75">
        <f t="shared" si="1"/>
        <v>1.0440928439482773</v>
      </c>
      <c r="H55" s="75">
        <f>VLOOKUP($A55,'Data Vlaue (Cr)'!$C:$FB,99)</f>
        <v>2963</v>
      </c>
      <c r="I55" s="75">
        <f>VLOOKUP($A55,'Data Vlaue (Cr)'!$C:$FB,100)</f>
        <v>2958</v>
      </c>
      <c r="J55" s="75">
        <f t="shared" si="2"/>
        <v>5</v>
      </c>
      <c r="K55" s="75">
        <f t="shared" si="3"/>
        <v>0.16874789065136686</v>
      </c>
      <c r="L55" s="75">
        <f>VLOOKUP($A55,'Data Vlaue (Cr)'!$C:$FB,67)</f>
        <v>1211</v>
      </c>
      <c r="M55" s="75">
        <f>VLOOKUP($A55,'Data Vlaue (Cr)'!$C:$FB,68)</f>
        <v>927</v>
      </c>
      <c r="N55" s="75">
        <f t="shared" si="4"/>
        <v>284</v>
      </c>
      <c r="O55" s="75">
        <f t="shared" si="5"/>
        <v>23.451692815854667</v>
      </c>
      <c r="P55" s="75">
        <f>VLOOKUP($A55,'Data Vlaue (Cr)'!$C:$FB,119)</f>
        <v>0.89</v>
      </c>
      <c r="Q55" s="75">
        <f>VLOOKUP($A55,'Data Vlaue (Cr)'!$C:$FB,122)*100</f>
        <v>8.5400000000000009</v>
      </c>
      <c r="R55" s="75">
        <f>VLOOKUP($A55,'Data Vlaue (Cr)'!$C:$FB,125)</f>
        <v>0.37</v>
      </c>
      <c r="S55" s="75">
        <f>VLOOKUP($A55,'Data Vlaue (Cr)'!$C:$FB,128)*100</f>
        <v>19.350000000000001</v>
      </c>
    </row>
    <row r="56" spans="1:19" x14ac:dyDescent="0.25">
      <c r="A56" s="96" t="str">
        <f>'Data Vlaue (Cr)'!C47</f>
        <v>COALINDIA</v>
      </c>
      <c r="B56" s="75">
        <f>VLOOKUP($A56,'Data Vlaue (Cr)'!$C:$FB,2)</f>
        <v>1350</v>
      </c>
      <c r="C56" s="75">
        <f>VLOOKUP($A56,'Data Vlaue (Cr)'!$C:$FB,8)</f>
        <v>438.75</v>
      </c>
      <c r="D56" s="75">
        <f>VLOOKUP($A56,'Data Vlaue (Cr)'!$C:$FB,4)</f>
        <v>439.55</v>
      </c>
      <c r="E56" s="75">
        <f>VLOOKUP($A56,'Data Vlaue (Cr)'!$C:$FB,5)</f>
        <v>432.35</v>
      </c>
      <c r="F56" s="75">
        <f t="shared" si="0"/>
        <v>0.80000000000001137</v>
      </c>
      <c r="G56" s="75">
        <f t="shared" si="1"/>
        <v>1.6380389034239538</v>
      </c>
      <c r="H56" s="75">
        <f>VLOOKUP($A56,'Data Vlaue (Cr)'!$C:$FB,99)</f>
        <v>6277</v>
      </c>
      <c r="I56" s="75">
        <f>VLOOKUP($A56,'Data Vlaue (Cr)'!$C:$FB,100)</f>
        <v>6205</v>
      </c>
      <c r="J56" s="75">
        <f t="shared" si="2"/>
        <v>72</v>
      </c>
      <c r="K56" s="75">
        <f t="shared" si="3"/>
        <v>1.1470447666082524</v>
      </c>
      <c r="L56" s="75">
        <f>VLOOKUP($A56,'Data Vlaue (Cr)'!$C:$FB,67)</f>
        <v>4186</v>
      </c>
      <c r="M56" s="75">
        <f>VLOOKUP($A56,'Data Vlaue (Cr)'!$C:$FB,68)</f>
        <v>2760</v>
      </c>
      <c r="N56" s="75">
        <f t="shared" si="4"/>
        <v>1426</v>
      </c>
      <c r="O56" s="75">
        <f t="shared" si="5"/>
        <v>34.065934065934066</v>
      </c>
      <c r="P56" s="75">
        <f>VLOOKUP($A56,'Data Vlaue (Cr)'!$C:$FB,119)</f>
        <v>0.64</v>
      </c>
      <c r="Q56" s="75">
        <f>VLOOKUP($A56,'Data Vlaue (Cr)'!$C:$FB,122)*100</f>
        <v>12.280000000000001</v>
      </c>
      <c r="R56" s="75">
        <f>VLOOKUP($A56,'Data Vlaue (Cr)'!$C:$FB,125)</f>
        <v>0.6</v>
      </c>
      <c r="S56" s="75">
        <f>VLOOKUP($A56,'Data Vlaue (Cr)'!$C:$FB,128)*100</f>
        <v>42.86</v>
      </c>
    </row>
    <row r="57" spans="1:19" x14ac:dyDescent="0.25">
      <c r="A57" s="96" t="str">
        <f>'Data Vlaue (Cr)'!C48</f>
        <v>COCHINSHIP</v>
      </c>
      <c r="B57" s="75">
        <f>VLOOKUP($A57,'Data Vlaue (Cr)'!$C:$FB,2)</f>
        <v>400</v>
      </c>
      <c r="C57" s="75">
        <f>VLOOKUP($A57,'Data Vlaue (Cr)'!$C:$FB,8)</f>
        <v>1561.1</v>
      </c>
      <c r="D57" s="75">
        <f>VLOOKUP($A57,'Data Vlaue (Cr)'!$C:$FB,4)</f>
        <v>1566.2</v>
      </c>
      <c r="E57" s="75">
        <f>VLOOKUP($A57,'Data Vlaue (Cr)'!$C:$FB,5)</f>
        <v>1503.2</v>
      </c>
      <c r="F57" s="75">
        <f t="shared" si="0"/>
        <v>5.1000000000001364</v>
      </c>
      <c r="G57" s="75">
        <f t="shared" si="1"/>
        <v>4.0224747797216196</v>
      </c>
      <c r="H57" s="75">
        <f>VLOOKUP($A57,'Data Vlaue (Cr)'!$C:$FB,99)</f>
        <v>567</v>
      </c>
      <c r="I57" s="75">
        <f>VLOOKUP($A57,'Data Vlaue (Cr)'!$C:$FB,100)</f>
        <v>456</v>
      </c>
      <c r="J57" s="75">
        <f t="shared" si="2"/>
        <v>111</v>
      </c>
      <c r="K57" s="75">
        <f t="shared" si="3"/>
        <v>19.576719576719576</v>
      </c>
      <c r="L57" s="75">
        <f>VLOOKUP($A57,'Data Vlaue (Cr)'!$C:$FB,67)</f>
        <v>1909</v>
      </c>
      <c r="M57" s="75">
        <f>VLOOKUP($A57,'Data Vlaue (Cr)'!$C:$FB,68)</f>
        <v>545</v>
      </c>
      <c r="N57" s="75">
        <f t="shared" si="4"/>
        <v>1364</v>
      </c>
      <c r="O57" s="75">
        <f t="shared" si="5"/>
        <v>71.451021477213203</v>
      </c>
      <c r="P57" s="75">
        <f>VLOOKUP($A57,'Data Vlaue (Cr)'!$C:$FB,119)</f>
        <v>0.68</v>
      </c>
      <c r="Q57" s="75">
        <f>VLOOKUP($A57,'Data Vlaue (Cr)'!$C:$FB,122)*100</f>
        <v>-8.1100000000000012</v>
      </c>
      <c r="R57" s="75">
        <f>VLOOKUP($A57,'Data Vlaue (Cr)'!$C:$FB,125)</f>
        <v>0.19</v>
      </c>
      <c r="S57" s="75">
        <f>VLOOKUP($A57,'Data Vlaue (Cr)'!$C:$FB,128)*100</f>
        <v>-69.84</v>
      </c>
    </row>
    <row r="58" spans="1:19" x14ac:dyDescent="0.25">
      <c r="A58" s="96" t="str">
        <f>'Data Vlaue (Cr)'!C49</f>
        <v>COFORGE</v>
      </c>
      <c r="B58" s="75">
        <f>VLOOKUP($A58,'Data Vlaue (Cr)'!$C:$FB,2)</f>
        <v>375</v>
      </c>
      <c r="C58" s="75">
        <f>VLOOKUP($A58,'Data Vlaue (Cr)'!$C:$FB,8)</f>
        <v>1316.8</v>
      </c>
      <c r="D58" s="75">
        <f>VLOOKUP($A58,'Data Vlaue (Cr)'!$C:$FB,4)</f>
        <v>1316.8</v>
      </c>
      <c r="E58" s="75">
        <f>VLOOKUP($A58,'Data Vlaue (Cr)'!$C:$FB,5)</f>
        <v>1313</v>
      </c>
      <c r="F58" s="75">
        <f t="shared" si="0"/>
        <v>0</v>
      </c>
      <c r="G58" s="75">
        <f t="shared" si="1"/>
        <v>0.2885783718104461</v>
      </c>
      <c r="H58" s="75">
        <f>VLOOKUP($A58,'Data Vlaue (Cr)'!$C:$FB,99)</f>
        <v>4065</v>
      </c>
      <c r="I58" s="75">
        <f>VLOOKUP($A58,'Data Vlaue (Cr)'!$C:$FB,100)</f>
        <v>4072</v>
      </c>
      <c r="J58" s="75">
        <f t="shared" si="2"/>
        <v>-7</v>
      </c>
      <c r="K58" s="75">
        <f t="shared" si="3"/>
        <v>-0.17220172201722017</v>
      </c>
      <c r="L58" s="75">
        <f>VLOOKUP($A58,'Data Vlaue (Cr)'!$C:$FB,67)</f>
        <v>1640</v>
      </c>
      <c r="M58" s="75">
        <f>VLOOKUP($A58,'Data Vlaue (Cr)'!$C:$FB,68)</f>
        <v>3907</v>
      </c>
      <c r="N58" s="75">
        <f t="shared" si="4"/>
        <v>-2267</v>
      </c>
      <c r="O58" s="75">
        <f t="shared" si="5"/>
        <v>-138.23170731707316</v>
      </c>
      <c r="P58" s="75">
        <f>VLOOKUP($A58,'Data Vlaue (Cr)'!$C:$FB,119)</f>
        <v>0.65</v>
      </c>
      <c r="Q58" s="75">
        <f>VLOOKUP($A58,'Data Vlaue (Cr)'!$C:$FB,122)*100</f>
        <v>3.17</v>
      </c>
      <c r="R58" s="75">
        <f>VLOOKUP($A58,'Data Vlaue (Cr)'!$C:$FB,125)</f>
        <v>0.55000000000000004</v>
      </c>
      <c r="S58" s="75">
        <f>VLOOKUP($A58,'Data Vlaue (Cr)'!$C:$FB,128)*100</f>
        <v>22.220000000000002</v>
      </c>
    </row>
    <row r="59" spans="1:19" x14ac:dyDescent="0.25">
      <c r="A59" s="96" t="str">
        <f>'Data Vlaue (Cr)'!C50</f>
        <v>COLPAL</v>
      </c>
      <c r="B59" s="75">
        <f>VLOOKUP($A59,'Data Vlaue (Cr)'!$C:$FB,2)</f>
        <v>225</v>
      </c>
      <c r="C59" s="75">
        <f>VLOOKUP($A59,'Data Vlaue (Cr)'!$C:$FB,8)</f>
        <v>2106</v>
      </c>
      <c r="D59" s="75">
        <f>VLOOKUP($A59,'Data Vlaue (Cr)'!$C:$FB,4)</f>
        <v>2109.1999999999998</v>
      </c>
      <c r="E59" s="75">
        <f>VLOOKUP($A59,'Data Vlaue (Cr)'!$C:$FB,5)</f>
        <v>1982.8</v>
      </c>
      <c r="F59" s="75">
        <f t="shared" si="0"/>
        <v>3.1999999999998181</v>
      </c>
      <c r="G59" s="75">
        <f t="shared" si="1"/>
        <v>5.992793476199501</v>
      </c>
      <c r="H59" s="75">
        <f>VLOOKUP($A59,'Data Vlaue (Cr)'!$C:$FB,99)</f>
        <v>2215</v>
      </c>
      <c r="I59" s="75">
        <f>VLOOKUP($A59,'Data Vlaue (Cr)'!$C:$FB,100)</f>
        <v>1860</v>
      </c>
      <c r="J59" s="75">
        <f t="shared" si="2"/>
        <v>355</v>
      </c>
      <c r="K59" s="75">
        <f t="shared" si="3"/>
        <v>16.02708803611738</v>
      </c>
      <c r="L59" s="75">
        <f>VLOOKUP($A59,'Data Vlaue (Cr)'!$C:$FB,67)</f>
        <v>8743</v>
      </c>
      <c r="M59" s="75">
        <f>VLOOKUP($A59,'Data Vlaue (Cr)'!$C:$FB,68)</f>
        <v>1127</v>
      </c>
      <c r="N59" s="75">
        <f t="shared" si="4"/>
        <v>7616</v>
      </c>
      <c r="O59" s="75">
        <f t="shared" si="5"/>
        <v>87.109687750200166</v>
      </c>
      <c r="P59" s="75">
        <f>VLOOKUP($A59,'Data Vlaue (Cr)'!$C:$FB,119)</f>
        <v>0.73</v>
      </c>
      <c r="Q59" s="75">
        <f>VLOOKUP($A59,'Data Vlaue (Cr)'!$C:$FB,122)*100</f>
        <v>2.82</v>
      </c>
      <c r="R59" s="75">
        <f>VLOOKUP($A59,'Data Vlaue (Cr)'!$C:$FB,125)</f>
        <v>0.38</v>
      </c>
      <c r="S59" s="75">
        <f>VLOOKUP($A59,'Data Vlaue (Cr)'!$C:$FB,128)*100</f>
        <v>11.76</v>
      </c>
    </row>
    <row r="60" spans="1:19" x14ac:dyDescent="0.25">
      <c r="A60" s="96" t="str">
        <f>'Data Vlaue (Cr)'!C51</f>
        <v>CONCOR</v>
      </c>
      <c r="B60" s="75">
        <f>VLOOKUP($A60,'Data Vlaue (Cr)'!$C:$FB,2)</f>
        <v>1250</v>
      </c>
      <c r="C60" s="75">
        <f>VLOOKUP($A60,'Data Vlaue (Cr)'!$C:$FB,8)</f>
        <v>503.1</v>
      </c>
      <c r="D60" s="75">
        <f>VLOOKUP($A60,'Data Vlaue (Cr)'!$C:$FB,4)</f>
        <v>504.5</v>
      </c>
      <c r="E60" s="75">
        <f>VLOOKUP($A60,'Data Vlaue (Cr)'!$C:$FB,5)</f>
        <v>502.55</v>
      </c>
      <c r="F60" s="75">
        <f t="shared" si="0"/>
        <v>1.3999999999999773</v>
      </c>
      <c r="G60" s="75">
        <f t="shared" si="1"/>
        <v>0.38652130822596409</v>
      </c>
      <c r="H60" s="75">
        <f>VLOOKUP($A60,'Data Vlaue (Cr)'!$C:$FB,99)</f>
        <v>1867</v>
      </c>
      <c r="I60" s="75">
        <f>VLOOKUP($A60,'Data Vlaue (Cr)'!$C:$FB,100)</f>
        <v>1845</v>
      </c>
      <c r="J60" s="75">
        <f t="shared" si="2"/>
        <v>22</v>
      </c>
      <c r="K60" s="75">
        <f t="shared" si="3"/>
        <v>1.1783610069630424</v>
      </c>
      <c r="L60" s="75">
        <f>VLOOKUP($A60,'Data Vlaue (Cr)'!$C:$FB,67)</f>
        <v>724</v>
      </c>
      <c r="M60" s="75">
        <f>VLOOKUP($A60,'Data Vlaue (Cr)'!$C:$FB,68)</f>
        <v>981</v>
      </c>
      <c r="N60" s="75">
        <f t="shared" si="4"/>
        <v>-257</v>
      </c>
      <c r="O60" s="75">
        <f t="shared" si="5"/>
        <v>-35.497237569060772</v>
      </c>
      <c r="P60" s="75">
        <f>VLOOKUP($A60,'Data Vlaue (Cr)'!$C:$FB,119)</f>
        <v>0.81</v>
      </c>
      <c r="Q60" s="75">
        <f>VLOOKUP($A60,'Data Vlaue (Cr)'!$C:$FB,122)*100</f>
        <v>5.19</v>
      </c>
      <c r="R60" s="75">
        <f>VLOOKUP($A60,'Data Vlaue (Cr)'!$C:$FB,125)</f>
        <v>0.41</v>
      </c>
      <c r="S60" s="75">
        <f>VLOOKUP($A60,'Data Vlaue (Cr)'!$C:$FB,128)*100</f>
        <v>64</v>
      </c>
    </row>
    <row r="61" spans="1:19" x14ac:dyDescent="0.25">
      <c r="A61" s="96" t="str">
        <f>'Data Vlaue (Cr)'!C52</f>
        <v>CROMPTON</v>
      </c>
      <c r="B61" s="75">
        <f>VLOOKUP($A61,'Data Vlaue (Cr)'!$C:$FB,2)</f>
        <v>1800</v>
      </c>
      <c r="C61" s="75">
        <f>VLOOKUP($A61,'Data Vlaue (Cr)'!$C:$FB,8)</f>
        <v>261.45</v>
      </c>
      <c r="D61" s="75">
        <f>VLOOKUP($A61,'Data Vlaue (Cr)'!$C:$FB,4)</f>
        <v>261.39</v>
      </c>
      <c r="E61" s="75">
        <f>VLOOKUP($A61,'Data Vlaue (Cr)'!$C:$FB,5)</f>
        <v>261.22000000000003</v>
      </c>
      <c r="F61" s="75">
        <f t="shared" si="0"/>
        <v>-6.0000000000002274E-2</v>
      </c>
      <c r="G61" s="75">
        <f t="shared" si="1"/>
        <v>6.5036918015210637E-2</v>
      </c>
      <c r="H61" s="75">
        <f>VLOOKUP($A61,'Data Vlaue (Cr)'!$C:$FB,99)</f>
        <v>1715</v>
      </c>
      <c r="I61" s="75">
        <f>VLOOKUP($A61,'Data Vlaue (Cr)'!$C:$FB,100)</f>
        <v>1715</v>
      </c>
      <c r="J61" s="75">
        <f t="shared" si="2"/>
        <v>0</v>
      </c>
      <c r="K61" s="75">
        <f t="shared" si="3"/>
        <v>0</v>
      </c>
      <c r="L61" s="75">
        <f>VLOOKUP($A61,'Data Vlaue (Cr)'!$C:$FB,67)</f>
        <v>794</v>
      </c>
      <c r="M61" s="75">
        <f>VLOOKUP($A61,'Data Vlaue (Cr)'!$C:$FB,68)</f>
        <v>1994</v>
      </c>
      <c r="N61" s="75">
        <f t="shared" si="4"/>
        <v>-1200</v>
      </c>
      <c r="O61" s="75">
        <f t="shared" si="5"/>
        <v>-151.13350125944584</v>
      </c>
      <c r="P61" s="75">
        <f>VLOOKUP($A61,'Data Vlaue (Cr)'!$C:$FB,119)</f>
        <v>0.7</v>
      </c>
      <c r="Q61" s="75">
        <f>VLOOKUP($A61,'Data Vlaue (Cr)'!$C:$FB,122)*100</f>
        <v>-12.5</v>
      </c>
      <c r="R61" s="75">
        <f>VLOOKUP($A61,'Data Vlaue (Cr)'!$C:$FB,125)</f>
        <v>0.44</v>
      </c>
      <c r="S61" s="75">
        <f>VLOOKUP($A61,'Data Vlaue (Cr)'!$C:$FB,128)*100</f>
        <v>29.409999999999997</v>
      </c>
    </row>
    <row r="62" spans="1:19" x14ac:dyDescent="0.25">
      <c r="A62" s="96" t="str">
        <f>'Data Vlaue (Cr)'!C53</f>
        <v>CUMMINSIND</v>
      </c>
      <c r="B62" s="75">
        <f>VLOOKUP($A62,'Data Vlaue (Cr)'!$C:$FB,2)</f>
        <v>200</v>
      </c>
      <c r="C62" s="75">
        <f>VLOOKUP($A62,'Data Vlaue (Cr)'!$C:$FB,8)</f>
        <v>5140.8999999999996</v>
      </c>
      <c r="D62" s="75">
        <f>VLOOKUP($A62,'Data Vlaue (Cr)'!$C:$FB,4)</f>
        <v>5151.7</v>
      </c>
      <c r="E62" s="75">
        <f>VLOOKUP($A62,'Data Vlaue (Cr)'!$C:$FB,5)</f>
        <v>5056.8</v>
      </c>
      <c r="F62" s="75">
        <f t="shared" si="0"/>
        <v>10.800000000000182</v>
      </c>
      <c r="G62" s="75">
        <f t="shared" si="1"/>
        <v>1.8421103713337277</v>
      </c>
      <c r="H62" s="75">
        <f>VLOOKUP($A62,'Data Vlaue (Cr)'!$C:$FB,99)</f>
        <v>3211</v>
      </c>
      <c r="I62" s="75">
        <f>VLOOKUP($A62,'Data Vlaue (Cr)'!$C:$FB,100)</f>
        <v>3038</v>
      </c>
      <c r="J62" s="75">
        <f t="shared" si="2"/>
        <v>173</v>
      </c>
      <c r="K62" s="75">
        <f t="shared" si="3"/>
        <v>5.3877296792276548</v>
      </c>
      <c r="L62" s="75">
        <f>VLOOKUP($A62,'Data Vlaue (Cr)'!$C:$FB,67)</f>
        <v>3884</v>
      </c>
      <c r="M62" s="75">
        <f>VLOOKUP($A62,'Data Vlaue (Cr)'!$C:$FB,68)</f>
        <v>1752</v>
      </c>
      <c r="N62" s="75">
        <f t="shared" si="4"/>
        <v>2132</v>
      </c>
      <c r="O62" s="75">
        <f t="shared" si="5"/>
        <v>54.8918640576725</v>
      </c>
      <c r="P62" s="75">
        <f>VLOOKUP($A62,'Data Vlaue (Cr)'!$C:$FB,119)</f>
        <v>0.69</v>
      </c>
      <c r="Q62" s="75">
        <f>VLOOKUP($A62,'Data Vlaue (Cr)'!$C:$FB,122)*100</f>
        <v>4.55</v>
      </c>
      <c r="R62" s="75">
        <f>VLOOKUP($A62,'Data Vlaue (Cr)'!$C:$FB,125)</f>
        <v>0.27</v>
      </c>
      <c r="S62" s="75">
        <f>VLOOKUP($A62,'Data Vlaue (Cr)'!$C:$FB,128)*100</f>
        <v>-41.3</v>
      </c>
    </row>
    <row r="63" spans="1:19" x14ac:dyDescent="0.25">
      <c r="A63" s="96" t="str">
        <f>'Data Vlaue (Cr)'!C54</f>
        <v>DABUR</v>
      </c>
      <c r="B63" s="75">
        <f>VLOOKUP($A63,'Data Vlaue (Cr)'!$C:$FB,2)</f>
        <v>1250</v>
      </c>
      <c r="C63" s="75">
        <f>VLOOKUP($A63,'Data Vlaue (Cr)'!$C:$FB,8)</f>
        <v>442.85</v>
      </c>
      <c r="D63" s="75">
        <f>VLOOKUP($A63,'Data Vlaue (Cr)'!$C:$FB,4)</f>
        <v>442.75</v>
      </c>
      <c r="E63" s="75">
        <f>VLOOKUP($A63,'Data Vlaue (Cr)'!$C:$FB,5)</f>
        <v>427.45</v>
      </c>
      <c r="F63" s="75">
        <f t="shared" si="0"/>
        <v>-0.10000000000002274</v>
      </c>
      <c r="G63" s="75">
        <f t="shared" si="1"/>
        <v>3.455674760022589</v>
      </c>
      <c r="H63" s="75">
        <f>VLOOKUP($A63,'Data Vlaue (Cr)'!$C:$FB,99)</f>
        <v>2243</v>
      </c>
      <c r="I63" s="75">
        <f>VLOOKUP($A63,'Data Vlaue (Cr)'!$C:$FB,100)</f>
        <v>2147</v>
      </c>
      <c r="J63" s="75">
        <f t="shared" si="2"/>
        <v>96</v>
      </c>
      <c r="K63" s="75">
        <f t="shared" si="3"/>
        <v>4.2799821667409716</v>
      </c>
      <c r="L63" s="75">
        <f>VLOOKUP($A63,'Data Vlaue (Cr)'!$C:$FB,67)</f>
        <v>2588</v>
      </c>
      <c r="M63" s="75">
        <f>VLOOKUP($A63,'Data Vlaue (Cr)'!$C:$FB,68)</f>
        <v>1267</v>
      </c>
      <c r="N63" s="75">
        <f t="shared" si="4"/>
        <v>1321</v>
      </c>
      <c r="O63" s="75">
        <f t="shared" si="5"/>
        <v>51.043276661514682</v>
      </c>
      <c r="P63" s="75">
        <f>VLOOKUP($A63,'Data Vlaue (Cr)'!$C:$FB,119)</f>
        <v>0.64</v>
      </c>
      <c r="Q63" s="75">
        <f>VLOOKUP($A63,'Data Vlaue (Cr)'!$C:$FB,122)*100</f>
        <v>1.59</v>
      </c>
      <c r="R63" s="75">
        <f>VLOOKUP($A63,'Data Vlaue (Cr)'!$C:$FB,125)</f>
        <v>0.3</v>
      </c>
      <c r="S63" s="75">
        <f>VLOOKUP($A63,'Data Vlaue (Cr)'!$C:$FB,128)*100</f>
        <v>-26.83</v>
      </c>
    </row>
    <row r="64" spans="1:19" x14ac:dyDescent="0.25">
      <c r="A64" s="96" t="str">
        <f>'Data Vlaue (Cr)'!C55</f>
        <v>DALBHARAT</v>
      </c>
      <c r="B64" s="75">
        <f>VLOOKUP($A64,'Data Vlaue (Cr)'!$C:$FB,2)</f>
        <v>325</v>
      </c>
      <c r="C64" s="75">
        <f>VLOOKUP($A64,'Data Vlaue (Cr)'!$C:$FB,8)</f>
        <v>1971.7</v>
      </c>
      <c r="D64" s="75">
        <f>VLOOKUP($A64,'Data Vlaue (Cr)'!$C:$FB,4)</f>
        <v>1978.1</v>
      </c>
      <c r="E64" s="75">
        <f>VLOOKUP($A64,'Data Vlaue (Cr)'!$C:$FB,5)</f>
        <v>1974.2</v>
      </c>
      <c r="F64" s="75">
        <f t="shared" si="0"/>
        <v>6.3999999999998636</v>
      </c>
      <c r="G64" s="75">
        <f t="shared" si="1"/>
        <v>0.1971588898437826</v>
      </c>
      <c r="H64" s="75">
        <f>VLOOKUP($A64,'Data Vlaue (Cr)'!$C:$FB,99)</f>
        <v>909</v>
      </c>
      <c r="I64" s="75">
        <f>VLOOKUP($A64,'Data Vlaue (Cr)'!$C:$FB,100)</f>
        <v>894</v>
      </c>
      <c r="J64" s="75">
        <f t="shared" si="2"/>
        <v>15</v>
      </c>
      <c r="K64" s="75">
        <f t="shared" si="3"/>
        <v>1.6501650165016499</v>
      </c>
      <c r="L64" s="75">
        <f>VLOOKUP($A64,'Data Vlaue (Cr)'!$C:$FB,67)</f>
        <v>387</v>
      </c>
      <c r="M64" s="75">
        <f>VLOOKUP($A64,'Data Vlaue (Cr)'!$C:$FB,68)</f>
        <v>361</v>
      </c>
      <c r="N64" s="75">
        <f t="shared" si="4"/>
        <v>26</v>
      </c>
      <c r="O64" s="75">
        <f t="shared" si="5"/>
        <v>6.7183462532299743</v>
      </c>
      <c r="P64" s="75">
        <f>VLOOKUP($A64,'Data Vlaue (Cr)'!$C:$FB,119)</f>
        <v>0.99</v>
      </c>
      <c r="Q64" s="75">
        <f>VLOOKUP($A64,'Data Vlaue (Cr)'!$C:$FB,122)*100</f>
        <v>-11.61</v>
      </c>
      <c r="R64" s="75">
        <f>VLOOKUP($A64,'Data Vlaue (Cr)'!$C:$FB,125)</f>
        <v>0.44</v>
      </c>
      <c r="S64" s="75">
        <f>VLOOKUP($A64,'Data Vlaue (Cr)'!$C:$FB,128)*100</f>
        <v>2.33</v>
      </c>
    </row>
    <row r="65" spans="1:19" x14ac:dyDescent="0.25">
      <c r="A65" s="96" t="str">
        <f>'Data Vlaue (Cr)'!C56</f>
        <v>DELHIVERY</v>
      </c>
      <c r="B65" s="75">
        <f>VLOOKUP($A65,'Data Vlaue (Cr)'!$C:$FB,2)</f>
        <v>2075</v>
      </c>
      <c r="C65" s="75">
        <f>VLOOKUP($A65,'Data Vlaue (Cr)'!$C:$FB,8)</f>
        <v>463</v>
      </c>
      <c r="D65" s="75">
        <f>VLOOKUP($A65,'Data Vlaue (Cr)'!$C:$FB,4)</f>
        <v>464.5</v>
      </c>
      <c r="E65" s="75">
        <f>VLOOKUP($A65,'Data Vlaue (Cr)'!$C:$FB,5)</f>
        <v>461.15</v>
      </c>
      <c r="F65" s="75">
        <f t="shared" si="0"/>
        <v>1.5</v>
      </c>
      <c r="G65" s="75">
        <f t="shared" si="1"/>
        <v>0.72120559741658186</v>
      </c>
      <c r="H65" s="75">
        <f>VLOOKUP($A65,'Data Vlaue (Cr)'!$C:$FB,99)</f>
        <v>2405</v>
      </c>
      <c r="I65" s="75">
        <f>VLOOKUP($A65,'Data Vlaue (Cr)'!$C:$FB,100)</f>
        <v>2094</v>
      </c>
      <c r="J65" s="75">
        <f t="shared" si="2"/>
        <v>311</v>
      </c>
      <c r="K65" s="75">
        <f t="shared" si="3"/>
        <v>12.931392931392931</v>
      </c>
      <c r="L65" s="75">
        <f>VLOOKUP($A65,'Data Vlaue (Cr)'!$C:$FB,67)</f>
        <v>2095</v>
      </c>
      <c r="M65" s="75">
        <f>VLOOKUP($A65,'Data Vlaue (Cr)'!$C:$FB,68)</f>
        <v>900</v>
      </c>
      <c r="N65" s="75">
        <f t="shared" si="4"/>
        <v>1195</v>
      </c>
      <c r="O65" s="75">
        <f t="shared" si="5"/>
        <v>57.040572792362767</v>
      </c>
      <c r="P65" s="75">
        <f>VLOOKUP($A65,'Data Vlaue (Cr)'!$C:$FB,119)</f>
        <v>0.39</v>
      </c>
      <c r="Q65" s="75">
        <f>VLOOKUP($A65,'Data Vlaue (Cr)'!$C:$FB,122)*100</f>
        <v>-15.22</v>
      </c>
      <c r="R65" s="75">
        <f>VLOOKUP($A65,'Data Vlaue (Cr)'!$C:$FB,125)</f>
        <v>0.22</v>
      </c>
      <c r="S65" s="75">
        <f>VLOOKUP($A65,'Data Vlaue (Cr)'!$C:$FB,128)*100</f>
        <v>-21.43</v>
      </c>
    </row>
    <row r="66" spans="1:19" x14ac:dyDescent="0.25">
      <c r="A66" s="96" t="str">
        <f>'Data Vlaue (Cr)'!C57</f>
        <v>DIVISLAB</v>
      </c>
      <c r="B66" s="75">
        <f>VLOOKUP($A66,'Data Vlaue (Cr)'!$C:$FB,2)</f>
        <v>100</v>
      </c>
      <c r="C66" s="75">
        <f>VLOOKUP($A66,'Data Vlaue (Cr)'!$C:$FB,8)</f>
        <v>6229</v>
      </c>
      <c r="D66" s="75">
        <f>VLOOKUP($A66,'Data Vlaue (Cr)'!$C:$FB,4)</f>
        <v>6238</v>
      </c>
      <c r="E66" s="75">
        <f>VLOOKUP($A66,'Data Vlaue (Cr)'!$C:$FB,5)</f>
        <v>6292</v>
      </c>
      <c r="F66" s="75">
        <f t="shared" si="0"/>
        <v>9</v>
      </c>
      <c r="G66" s="75">
        <f t="shared" si="1"/>
        <v>-0.86566207117665916</v>
      </c>
      <c r="H66" s="75">
        <f>VLOOKUP($A66,'Data Vlaue (Cr)'!$C:$FB,99)</f>
        <v>2620</v>
      </c>
      <c r="I66" s="75">
        <f>VLOOKUP($A66,'Data Vlaue (Cr)'!$C:$FB,100)</f>
        <v>2577</v>
      </c>
      <c r="J66" s="75">
        <f t="shared" si="2"/>
        <v>43</v>
      </c>
      <c r="K66" s="75">
        <f t="shared" si="3"/>
        <v>1.6412213740458017</v>
      </c>
      <c r="L66" s="75">
        <f>VLOOKUP($A66,'Data Vlaue (Cr)'!$C:$FB,67)</f>
        <v>1136</v>
      </c>
      <c r="M66" s="75">
        <f>VLOOKUP($A66,'Data Vlaue (Cr)'!$C:$FB,68)</f>
        <v>1773</v>
      </c>
      <c r="N66" s="75">
        <f t="shared" si="4"/>
        <v>-637</v>
      </c>
      <c r="O66" s="75">
        <f t="shared" si="5"/>
        <v>-56.073943661971825</v>
      </c>
      <c r="P66" s="75">
        <f>VLOOKUP($A66,'Data Vlaue (Cr)'!$C:$FB,119)</f>
        <v>1.05</v>
      </c>
      <c r="Q66" s="75">
        <f>VLOOKUP($A66,'Data Vlaue (Cr)'!$C:$FB,122)*100</f>
        <v>-12.5</v>
      </c>
      <c r="R66" s="75">
        <f>VLOOKUP($A66,'Data Vlaue (Cr)'!$C:$FB,125)</f>
        <v>0.56999999999999995</v>
      </c>
      <c r="S66" s="75">
        <f>VLOOKUP($A66,'Data Vlaue (Cr)'!$C:$FB,128)*100</f>
        <v>21.279999999999998</v>
      </c>
    </row>
    <row r="67" spans="1:19" x14ac:dyDescent="0.25">
      <c r="A67" s="96" t="str">
        <f>'Data Vlaue (Cr)'!C58</f>
        <v>DIXON</v>
      </c>
      <c r="B67" s="75">
        <f>VLOOKUP($A67,'Data Vlaue (Cr)'!$C:$FB,2)</f>
        <v>50</v>
      </c>
      <c r="C67" s="75">
        <f>VLOOKUP($A67,'Data Vlaue (Cr)'!$C:$FB,8)</f>
        <v>11371.5</v>
      </c>
      <c r="D67" s="75">
        <f>VLOOKUP($A67,'Data Vlaue (Cr)'!$C:$FB,4)</f>
        <v>11377.5</v>
      </c>
      <c r="E67" s="75">
        <f>VLOOKUP($A67,'Data Vlaue (Cr)'!$C:$FB,5)</f>
        <v>11222.5</v>
      </c>
      <c r="F67" s="75">
        <f t="shared" si="0"/>
        <v>6</v>
      </c>
      <c r="G67" s="75">
        <f t="shared" si="1"/>
        <v>1.3623379477038013</v>
      </c>
      <c r="H67" s="75">
        <f>VLOOKUP($A67,'Data Vlaue (Cr)'!$C:$FB,99)</f>
        <v>7679</v>
      </c>
      <c r="I67" s="75">
        <f>VLOOKUP($A67,'Data Vlaue (Cr)'!$C:$FB,100)</f>
        <v>7830</v>
      </c>
      <c r="J67" s="75">
        <f t="shared" si="2"/>
        <v>-151</v>
      </c>
      <c r="K67" s="75">
        <f t="shared" si="3"/>
        <v>-1.9664018752441725</v>
      </c>
      <c r="L67" s="75">
        <f>VLOOKUP($A67,'Data Vlaue (Cr)'!$C:$FB,67)</f>
        <v>7216</v>
      </c>
      <c r="M67" s="75">
        <f>VLOOKUP($A67,'Data Vlaue (Cr)'!$C:$FB,68)</f>
        <v>10722</v>
      </c>
      <c r="N67" s="75">
        <f t="shared" si="4"/>
        <v>-3506</v>
      </c>
      <c r="O67" s="75">
        <f t="shared" si="5"/>
        <v>-48.586474501108647</v>
      </c>
      <c r="P67" s="75">
        <f>VLOOKUP($A67,'Data Vlaue (Cr)'!$C:$FB,119)</f>
        <v>0.74</v>
      </c>
      <c r="Q67" s="75">
        <f>VLOOKUP($A67,'Data Vlaue (Cr)'!$C:$FB,122)*100</f>
        <v>4.2299999999999995</v>
      </c>
      <c r="R67" s="75">
        <f>VLOOKUP($A67,'Data Vlaue (Cr)'!$C:$FB,125)</f>
        <v>0.56000000000000005</v>
      </c>
      <c r="S67" s="75">
        <f>VLOOKUP($A67,'Data Vlaue (Cr)'!$C:$FB,128)*100</f>
        <v>47.370000000000005</v>
      </c>
    </row>
    <row r="68" spans="1:19" x14ac:dyDescent="0.25">
      <c r="A68" s="96" t="str">
        <f>'Data Vlaue (Cr)'!C59</f>
        <v>DLF</v>
      </c>
      <c r="B68" s="75">
        <f>VLOOKUP($A68,'Data Vlaue (Cr)'!$C:$FB,2)</f>
        <v>825</v>
      </c>
      <c r="C68" s="75">
        <f>VLOOKUP($A68,'Data Vlaue (Cr)'!$C:$FB,8)</f>
        <v>601.75</v>
      </c>
      <c r="D68" s="75">
        <f>VLOOKUP($A68,'Data Vlaue (Cr)'!$C:$FB,4)</f>
        <v>601.54999999999995</v>
      </c>
      <c r="E68" s="75">
        <f>VLOOKUP($A68,'Data Vlaue (Cr)'!$C:$FB,5)</f>
        <v>589.79999999999995</v>
      </c>
      <c r="F68" s="75">
        <f t="shared" si="0"/>
        <v>-0.20000000000004547</v>
      </c>
      <c r="G68" s="75">
        <f t="shared" si="1"/>
        <v>1.9532873410356582</v>
      </c>
      <c r="H68" s="75">
        <f>VLOOKUP($A68,'Data Vlaue (Cr)'!$C:$FB,99)</f>
        <v>4396</v>
      </c>
      <c r="I68" s="75">
        <f>VLOOKUP($A68,'Data Vlaue (Cr)'!$C:$FB,100)</f>
        <v>4492</v>
      </c>
      <c r="J68" s="75">
        <f t="shared" si="2"/>
        <v>-96</v>
      </c>
      <c r="K68" s="75">
        <f t="shared" si="3"/>
        <v>-2.1838034576888083</v>
      </c>
      <c r="L68" s="75">
        <f>VLOOKUP($A68,'Data Vlaue (Cr)'!$C:$FB,67)</f>
        <v>2480</v>
      </c>
      <c r="M68" s="75">
        <f>VLOOKUP($A68,'Data Vlaue (Cr)'!$C:$FB,68)</f>
        <v>1521</v>
      </c>
      <c r="N68" s="75">
        <f t="shared" si="4"/>
        <v>959</v>
      </c>
      <c r="O68" s="75">
        <f t="shared" si="5"/>
        <v>38.66935483870968</v>
      </c>
      <c r="P68" s="75">
        <f>VLOOKUP($A68,'Data Vlaue (Cr)'!$C:$FB,119)</f>
        <v>1.08</v>
      </c>
      <c r="Q68" s="75">
        <f>VLOOKUP($A68,'Data Vlaue (Cr)'!$C:$FB,122)*100</f>
        <v>0.92999999999999994</v>
      </c>
      <c r="R68" s="75">
        <f>VLOOKUP($A68,'Data Vlaue (Cr)'!$C:$FB,125)</f>
        <v>0.84</v>
      </c>
      <c r="S68" s="75">
        <f>VLOOKUP($A68,'Data Vlaue (Cr)'!$C:$FB,128)*100</f>
        <v>2.44</v>
      </c>
    </row>
    <row r="69" spans="1:19" x14ac:dyDescent="0.25">
      <c r="A69" s="96" t="str">
        <f>'Data Vlaue (Cr)'!C60</f>
        <v>DMART</v>
      </c>
      <c r="B69" s="75">
        <f>VLOOKUP($A69,'Data Vlaue (Cr)'!$C:$FB,2)</f>
        <v>150</v>
      </c>
      <c r="C69" s="75">
        <f>VLOOKUP($A69,'Data Vlaue (Cr)'!$C:$FB,8)</f>
        <v>4628.5</v>
      </c>
      <c r="D69" s="75">
        <f>VLOOKUP($A69,'Data Vlaue (Cr)'!$C:$FB,4)</f>
        <v>4644.8999999999996</v>
      </c>
      <c r="E69" s="75">
        <f>VLOOKUP($A69,'Data Vlaue (Cr)'!$C:$FB,5)</f>
        <v>4429</v>
      </c>
      <c r="F69" s="75">
        <f t="shared" si="0"/>
        <v>16.399999999999636</v>
      </c>
      <c r="G69" s="75">
        <f t="shared" si="1"/>
        <v>4.6481086783353716</v>
      </c>
      <c r="H69" s="75">
        <f>VLOOKUP($A69,'Data Vlaue (Cr)'!$C:$FB,99)</f>
        <v>3652</v>
      </c>
      <c r="I69" s="75">
        <f>VLOOKUP($A69,'Data Vlaue (Cr)'!$C:$FB,100)</f>
        <v>3475</v>
      </c>
      <c r="J69" s="75">
        <f t="shared" si="2"/>
        <v>177</v>
      </c>
      <c r="K69" s="75">
        <f t="shared" si="3"/>
        <v>4.8466593647316536</v>
      </c>
      <c r="L69" s="75">
        <f>VLOOKUP($A69,'Data Vlaue (Cr)'!$C:$FB,67)</f>
        <v>7207</v>
      </c>
      <c r="M69" s="75">
        <f>VLOOKUP($A69,'Data Vlaue (Cr)'!$C:$FB,68)</f>
        <v>2188</v>
      </c>
      <c r="N69" s="75">
        <f t="shared" si="4"/>
        <v>5019</v>
      </c>
      <c r="O69" s="75">
        <f t="shared" si="5"/>
        <v>69.640627168031074</v>
      </c>
      <c r="P69" s="75">
        <f>VLOOKUP($A69,'Data Vlaue (Cr)'!$C:$FB,119)</f>
        <v>0.96</v>
      </c>
      <c r="Q69" s="75">
        <f>VLOOKUP($A69,'Data Vlaue (Cr)'!$C:$FB,122)*100</f>
        <v>20</v>
      </c>
      <c r="R69" s="75">
        <f>VLOOKUP($A69,'Data Vlaue (Cr)'!$C:$FB,125)</f>
        <v>0.45</v>
      </c>
      <c r="S69" s="75">
        <f>VLOOKUP($A69,'Data Vlaue (Cr)'!$C:$FB,128)*100</f>
        <v>-21.05</v>
      </c>
    </row>
    <row r="70" spans="1:19" x14ac:dyDescent="0.25">
      <c r="A70" s="96" t="str">
        <f>'Data Vlaue (Cr)'!C61</f>
        <v>DRREDDY</v>
      </c>
      <c r="B70" s="75">
        <f>VLOOKUP($A70,'Data Vlaue (Cr)'!$C:$FB,2)</f>
        <v>625</v>
      </c>
      <c r="C70" s="75">
        <f>VLOOKUP($A70,'Data Vlaue (Cr)'!$C:$FB,8)</f>
        <v>1235.7</v>
      </c>
      <c r="D70" s="75">
        <f>VLOOKUP($A70,'Data Vlaue (Cr)'!$C:$FB,4)</f>
        <v>1231.8</v>
      </c>
      <c r="E70" s="75">
        <f>VLOOKUP($A70,'Data Vlaue (Cr)'!$C:$FB,5)</f>
        <v>1221</v>
      </c>
      <c r="F70" s="75">
        <f t="shared" si="0"/>
        <v>-3.9000000000000909</v>
      </c>
      <c r="G70" s="75">
        <f t="shared" si="1"/>
        <v>0.87676570871894433</v>
      </c>
      <c r="H70" s="75">
        <f>VLOOKUP($A70,'Data Vlaue (Cr)'!$C:$FB,99)</f>
        <v>3231</v>
      </c>
      <c r="I70" s="75">
        <f>VLOOKUP($A70,'Data Vlaue (Cr)'!$C:$FB,100)</f>
        <v>3180</v>
      </c>
      <c r="J70" s="75">
        <f t="shared" si="2"/>
        <v>51</v>
      </c>
      <c r="K70" s="75">
        <f t="shared" si="3"/>
        <v>1.5784586815227482</v>
      </c>
      <c r="L70" s="75">
        <f>VLOOKUP($A70,'Data Vlaue (Cr)'!$C:$FB,67)</f>
        <v>1962</v>
      </c>
      <c r="M70" s="75">
        <f>VLOOKUP($A70,'Data Vlaue (Cr)'!$C:$FB,68)</f>
        <v>2045</v>
      </c>
      <c r="N70" s="75">
        <f t="shared" si="4"/>
        <v>-83</v>
      </c>
      <c r="O70" s="75">
        <f t="shared" si="5"/>
        <v>-4.2303771661569822</v>
      </c>
      <c r="P70" s="75">
        <f>VLOOKUP($A70,'Data Vlaue (Cr)'!$C:$FB,119)</f>
        <v>0.71</v>
      </c>
      <c r="Q70" s="75">
        <f>VLOOKUP($A70,'Data Vlaue (Cr)'!$C:$FB,122)*100</f>
        <v>-1.39</v>
      </c>
      <c r="R70" s="75">
        <f>VLOOKUP($A70,'Data Vlaue (Cr)'!$C:$FB,125)</f>
        <v>0.42</v>
      </c>
      <c r="S70" s="75">
        <f>VLOOKUP($A70,'Data Vlaue (Cr)'!$C:$FB,128)*100</f>
        <v>-17.649999999999999</v>
      </c>
    </row>
    <row r="71" spans="1:19" x14ac:dyDescent="0.25">
      <c r="A71" s="96" t="str">
        <f>'Data Vlaue (Cr)'!C62</f>
        <v>EICHERMOT</v>
      </c>
      <c r="B71" s="75">
        <f>VLOOKUP($A71,'Data Vlaue (Cr)'!$C:$FB,2)</f>
        <v>100</v>
      </c>
      <c r="C71" s="75">
        <f>VLOOKUP($A71,'Data Vlaue (Cr)'!$C:$FB,8)</f>
        <v>7189.5</v>
      </c>
      <c r="D71" s="75">
        <f>VLOOKUP($A71,'Data Vlaue (Cr)'!$C:$FB,4)</f>
        <v>7189.5</v>
      </c>
      <c r="E71" s="75">
        <f>VLOOKUP($A71,'Data Vlaue (Cr)'!$C:$FB,5)</f>
        <v>7132.5</v>
      </c>
      <c r="F71" s="75">
        <f t="shared" si="0"/>
        <v>0</v>
      </c>
      <c r="G71" s="75">
        <f t="shared" si="1"/>
        <v>0.79282286668057589</v>
      </c>
      <c r="H71" s="75">
        <f>VLOOKUP($A71,'Data Vlaue (Cr)'!$C:$FB,99)</f>
        <v>5892</v>
      </c>
      <c r="I71" s="75">
        <f>VLOOKUP($A71,'Data Vlaue (Cr)'!$C:$FB,100)</f>
        <v>5921</v>
      </c>
      <c r="J71" s="75">
        <f t="shared" si="2"/>
        <v>-29</v>
      </c>
      <c r="K71" s="75">
        <f t="shared" si="3"/>
        <v>-0.49219280380176517</v>
      </c>
      <c r="L71" s="75">
        <f>VLOOKUP($A71,'Data Vlaue (Cr)'!$C:$FB,67)</f>
        <v>3499</v>
      </c>
      <c r="M71" s="75">
        <f>VLOOKUP($A71,'Data Vlaue (Cr)'!$C:$FB,68)</f>
        <v>3736</v>
      </c>
      <c r="N71" s="75">
        <f t="shared" si="4"/>
        <v>-237</v>
      </c>
      <c r="O71" s="75">
        <f t="shared" si="5"/>
        <v>-6.773363818233781</v>
      </c>
      <c r="P71" s="75">
        <f>VLOOKUP($A71,'Data Vlaue (Cr)'!$C:$FB,119)</f>
        <v>0.68</v>
      </c>
      <c r="Q71" s="75">
        <f>VLOOKUP($A71,'Data Vlaue (Cr)'!$C:$FB,122)*100</f>
        <v>1.49</v>
      </c>
      <c r="R71" s="75">
        <f>VLOOKUP($A71,'Data Vlaue (Cr)'!$C:$FB,125)</f>
        <v>0.34</v>
      </c>
      <c r="S71" s="75">
        <f>VLOOKUP($A71,'Data Vlaue (Cr)'!$C:$FB,128)*100</f>
        <v>-35.85</v>
      </c>
    </row>
    <row r="72" spans="1:19" x14ac:dyDescent="0.25">
      <c r="A72" s="96" t="str">
        <f>'Data Vlaue (Cr)'!C63</f>
        <v>ETERNAL</v>
      </c>
      <c r="B72" s="75">
        <f>VLOOKUP($A72,'Data Vlaue (Cr)'!$C:$FB,2)</f>
        <v>2425</v>
      </c>
      <c r="C72" s="75">
        <f>VLOOKUP($A72,'Data Vlaue (Cr)'!$C:$FB,8)</f>
        <v>252.61</v>
      </c>
      <c r="D72" s="75">
        <f>VLOOKUP($A72,'Data Vlaue (Cr)'!$C:$FB,4)</f>
        <v>252.59</v>
      </c>
      <c r="E72" s="75">
        <f>VLOOKUP($A72,'Data Vlaue (Cr)'!$C:$FB,5)</f>
        <v>252.79</v>
      </c>
      <c r="F72" s="75">
        <f t="shared" si="0"/>
        <v>-2.0000000000010232E-2</v>
      </c>
      <c r="G72" s="75">
        <f t="shared" si="1"/>
        <v>-7.9179698325344883E-2</v>
      </c>
      <c r="H72" s="75">
        <f>VLOOKUP($A72,'Data Vlaue (Cr)'!$C:$FB,99)</f>
        <v>7844</v>
      </c>
      <c r="I72" s="75">
        <f>VLOOKUP($A72,'Data Vlaue (Cr)'!$C:$FB,100)</f>
        <v>7913</v>
      </c>
      <c r="J72" s="75">
        <f t="shared" si="2"/>
        <v>-69</v>
      </c>
      <c r="K72" s="75">
        <f t="shared" si="3"/>
        <v>-0.87965323814380414</v>
      </c>
      <c r="L72" s="75">
        <f>VLOOKUP($A72,'Data Vlaue (Cr)'!$C:$FB,67)</f>
        <v>4143</v>
      </c>
      <c r="M72" s="75">
        <f>VLOOKUP($A72,'Data Vlaue (Cr)'!$C:$FB,68)</f>
        <v>5324</v>
      </c>
      <c r="N72" s="75">
        <f t="shared" si="4"/>
        <v>-1181</v>
      </c>
      <c r="O72" s="75">
        <f t="shared" si="5"/>
        <v>-28.505913589186584</v>
      </c>
      <c r="P72" s="75">
        <f>VLOOKUP($A72,'Data Vlaue (Cr)'!$C:$FB,119)</f>
        <v>0.78</v>
      </c>
      <c r="Q72" s="75">
        <f>VLOOKUP($A72,'Data Vlaue (Cr)'!$C:$FB,122)*100</f>
        <v>-1.27</v>
      </c>
      <c r="R72" s="75">
        <f>VLOOKUP($A72,'Data Vlaue (Cr)'!$C:$FB,125)</f>
        <v>0.49</v>
      </c>
      <c r="S72" s="75">
        <f>VLOOKUP($A72,'Data Vlaue (Cr)'!$C:$FB,128)*100</f>
        <v>13.950000000000001</v>
      </c>
    </row>
    <row r="73" spans="1:19" x14ac:dyDescent="0.25">
      <c r="A73" s="96" t="str">
        <f>'Data Vlaue (Cr)'!C64</f>
        <v>EXIDEIND</v>
      </c>
      <c r="B73" s="75">
        <f>VLOOKUP($A73,'Data Vlaue (Cr)'!$C:$FB,2)</f>
        <v>1800</v>
      </c>
      <c r="C73" s="75">
        <f>VLOOKUP($A73,'Data Vlaue (Cr)'!$C:$FB,8)</f>
        <v>330</v>
      </c>
      <c r="D73" s="75">
        <f>VLOOKUP($A73,'Data Vlaue (Cr)'!$C:$FB,4)</f>
        <v>330.25</v>
      </c>
      <c r="E73" s="75">
        <f>VLOOKUP($A73,'Data Vlaue (Cr)'!$C:$FB,5)</f>
        <v>331.6</v>
      </c>
      <c r="F73" s="75">
        <f t="shared" si="0"/>
        <v>0.25</v>
      </c>
      <c r="G73" s="75">
        <f t="shared" si="1"/>
        <v>-0.40878122634368586</v>
      </c>
      <c r="H73" s="75">
        <f>VLOOKUP($A73,'Data Vlaue (Cr)'!$C:$FB,99)</f>
        <v>1794</v>
      </c>
      <c r="I73" s="75">
        <f>VLOOKUP($A73,'Data Vlaue (Cr)'!$C:$FB,100)</f>
        <v>1778</v>
      </c>
      <c r="J73" s="75">
        <f t="shared" si="2"/>
        <v>16</v>
      </c>
      <c r="K73" s="75">
        <f t="shared" si="3"/>
        <v>0.89186176142697882</v>
      </c>
      <c r="L73" s="75">
        <f>VLOOKUP($A73,'Data Vlaue (Cr)'!$C:$FB,67)</f>
        <v>400</v>
      </c>
      <c r="M73" s="75">
        <f>VLOOKUP($A73,'Data Vlaue (Cr)'!$C:$FB,68)</f>
        <v>403</v>
      </c>
      <c r="N73" s="75">
        <f t="shared" si="4"/>
        <v>-3</v>
      </c>
      <c r="O73" s="75">
        <f t="shared" si="5"/>
        <v>-0.75</v>
      </c>
      <c r="P73" s="75">
        <f>VLOOKUP($A73,'Data Vlaue (Cr)'!$C:$FB,119)</f>
        <v>0.97</v>
      </c>
      <c r="Q73" s="75">
        <f>VLOOKUP($A73,'Data Vlaue (Cr)'!$C:$FB,122)*100</f>
        <v>-3</v>
      </c>
      <c r="R73" s="75">
        <f>VLOOKUP($A73,'Data Vlaue (Cr)'!$C:$FB,125)</f>
        <v>0.52</v>
      </c>
      <c r="S73" s="75">
        <f>VLOOKUP($A73,'Data Vlaue (Cr)'!$C:$FB,128)*100</f>
        <v>-18.75</v>
      </c>
    </row>
    <row r="74" spans="1:19" x14ac:dyDescent="0.25">
      <c r="A74" s="96" t="str">
        <f>'Data Vlaue (Cr)'!C65</f>
        <v>FEDERALBNK</v>
      </c>
      <c r="B74" s="75">
        <f>VLOOKUP($A74,'Data Vlaue (Cr)'!$C:$FB,2)</f>
        <v>5000</v>
      </c>
      <c r="C74" s="75">
        <f>VLOOKUP($A74,'Data Vlaue (Cr)'!$C:$FB,8)</f>
        <v>293.75</v>
      </c>
      <c r="D74" s="75">
        <f>VLOOKUP($A74,'Data Vlaue (Cr)'!$C:$FB,4)</f>
        <v>293.60000000000002</v>
      </c>
      <c r="E74" s="75">
        <f>VLOOKUP($A74,'Data Vlaue (Cr)'!$C:$FB,5)</f>
        <v>285.10000000000002</v>
      </c>
      <c r="F74" s="75">
        <f t="shared" si="0"/>
        <v>-0.14999999999997726</v>
      </c>
      <c r="G74" s="75">
        <f t="shared" si="1"/>
        <v>2.8950953678474112</v>
      </c>
      <c r="H74" s="75">
        <f>VLOOKUP($A74,'Data Vlaue (Cr)'!$C:$FB,99)</f>
        <v>4338</v>
      </c>
      <c r="I74" s="75">
        <f>VLOOKUP($A74,'Data Vlaue (Cr)'!$C:$FB,100)</f>
        <v>4409</v>
      </c>
      <c r="J74" s="75">
        <f t="shared" si="2"/>
        <v>-71</v>
      </c>
      <c r="K74" s="75">
        <f t="shared" si="3"/>
        <v>-1.6366989396035041</v>
      </c>
      <c r="L74" s="75">
        <f>VLOOKUP($A74,'Data Vlaue (Cr)'!$C:$FB,67)</f>
        <v>3633</v>
      </c>
      <c r="M74" s="75">
        <f>VLOOKUP($A74,'Data Vlaue (Cr)'!$C:$FB,68)</f>
        <v>3114</v>
      </c>
      <c r="N74" s="75">
        <f t="shared" si="4"/>
        <v>519</v>
      </c>
      <c r="O74" s="75">
        <f t="shared" si="5"/>
        <v>14.285714285714285</v>
      </c>
      <c r="P74" s="75">
        <f>VLOOKUP($A74,'Data Vlaue (Cr)'!$C:$FB,119)</f>
        <v>0.84</v>
      </c>
      <c r="Q74" s="75">
        <f>VLOOKUP($A74,'Data Vlaue (Cr)'!$C:$FB,122)*100</f>
        <v>21.740000000000002</v>
      </c>
      <c r="R74" s="75">
        <f>VLOOKUP($A74,'Data Vlaue (Cr)'!$C:$FB,125)</f>
        <v>0.55000000000000004</v>
      </c>
      <c r="S74" s="75">
        <f>VLOOKUP($A74,'Data Vlaue (Cr)'!$C:$FB,128)*100</f>
        <v>5.7700000000000005</v>
      </c>
    </row>
    <row r="75" spans="1:19" x14ac:dyDescent="0.25">
      <c r="A75" s="96" t="str">
        <f>'Data Vlaue (Cr)'!C66</f>
        <v>FINNIFTY</v>
      </c>
      <c r="B75" s="75">
        <f>VLOOKUP($A75,'Data Vlaue (Cr)'!$C:$FB,2)</f>
        <v>60</v>
      </c>
      <c r="C75" s="75">
        <f>VLOOKUP($A75,'Data Vlaue (Cr)'!$C:$FB,8)</f>
        <v>26521.25</v>
      </c>
      <c r="D75" s="75">
        <f>VLOOKUP($A75,'Data Vlaue (Cr)'!$C:$FB,4)</f>
        <v>26566.3</v>
      </c>
      <c r="E75" s="75">
        <f>VLOOKUP($A75,'Data Vlaue (Cr)'!$C:$FB,5)</f>
        <v>26392.2</v>
      </c>
      <c r="F75" s="75">
        <f t="shared" si="0"/>
        <v>45.049999999999272</v>
      </c>
      <c r="G75" s="75">
        <f>(D75-E75)/D75*100</f>
        <v>0.65534154172767212</v>
      </c>
      <c r="H75" s="75">
        <f>VLOOKUP($A75,'Data Vlaue (Cr)'!$C:$FB,99)</f>
        <v>1838</v>
      </c>
      <c r="I75" s="75">
        <f>VLOOKUP($A75,'Data Vlaue (Cr)'!$C:$FB,100)</f>
        <v>1876</v>
      </c>
      <c r="J75" s="75">
        <f t="shared" si="2"/>
        <v>-38</v>
      </c>
      <c r="K75" s="75">
        <f t="shared" si="3"/>
        <v>-2.0674646354733408</v>
      </c>
      <c r="L75" s="75">
        <f>VLOOKUP($A75,'Data Vlaue (Cr)'!$C:$FB,67)</f>
        <v>2475</v>
      </c>
      <c r="M75" s="75">
        <f>VLOOKUP($A75,'Data Vlaue (Cr)'!$C:$FB,68)</f>
        <v>2957</v>
      </c>
      <c r="N75" s="75">
        <f t="shared" si="4"/>
        <v>-482</v>
      </c>
      <c r="O75" s="75">
        <f t="shared" si="5"/>
        <v>-19.474747474747474</v>
      </c>
      <c r="P75" s="75">
        <f>VLOOKUP($A75,'Data Vlaue (Cr)'!$C:$FB,119)</f>
        <v>0.68</v>
      </c>
      <c r="Q75" s="75">
        <f>VLOOKUP($A75,'Data Vlaue (Cr)'!$C:$FB,122)*100</f>
        <v>-2.86</v>
      </c>
      <c r="R75" s="75">
        <f>VLOOKUP($A75,'Data Vlaue (Cr)'!$C:$FB,125)</f>
        <v>0.5</v>
      </c>
      <c r="S75" s="75">
        <f>VLOOKUP($A75,'Data Vlaue (Cr)'!$C:$FB,128)*100</f>
        <v>-33.33</v>
      </c>
    </row>
    <row r="76" spans="1:19" x14ac:dyDescent="0.25">
      <c r="A76" s="96" t="str">
        <f>'Data Vlaue (Cr)'!C67</f>
        <v>FORCEMOT</v>
      </c>
      <c r="B76" s="75">
        <f>VLOOKUP($A76,'Data Vlaue (Cr)'!$C:$FB,2)</f>
        <v>25</v>
      </c>
      <c r="C76" s="75">
        <f>VLOOKUP($A76,'Data Vlaue (Cr)'!$C:$FB,8)</f>
        <v>22378</v>
      </c>
      <c r="D76" s="75">
        <f>VLOOKUP($A76,'Data Vlaue (Cr)'!$C:$FB,4)</f>
        <v>22371</v>
      </c>
      <c r="E76" s="75">
        <f>VLOOKUP($A76,'Data Vlaue (Cr)'!$C:$FB,5)</f>
        <v>22574</v>
      </c>
      <c r="F76" s="75">
        <f t="shared" ref="F76:F139" si="6">D76-C76</f>
        <v>-7</v>
      </c>
      <c r="G76" s="75">
        <f t="shared" ref="G76:G139" si="7">(D76-E76)/D76*100</f>
        <v>-0.90742479102409368</v>
      </c>
      <c r="H76" s="75">
        <f>VLOOKUP($A76,'Data Vlaue (Cr)'!$C:$FB,99)</f>
        <v>529</v>
      </c>
      <c r="I76" s="75">
        <f>VLOOKUP($A76,'Data Vlaue (Cr)'!$C:$FB,100)</f>
        <v>492</v>
      </c>
      <c r="J76" s="75">
        <f t="shared" ref="J76:J139" si="8">H76-I76</f>
        <v>37</v>
      </c>
      <c r="K76" s="75">
        <f t="shared" ref="K76:K139" si="9">J76/H76*100</f>
        <v>6.9943289224952743</v>
      </c>
      <c r="L76" s="75">
        <f>VLOOKUP($A76,'Data Vlaue (Cr)'!$C:$FB,67)</f>
        <v>223</v>
      </c>
      <c r="M76" s="75">
        <f>VLOOKUP($A76,'Data Vlaue (Cr)'!$C:$FB,68)</f>
        <v>528</v>
      </c>
      <c r="N76" s="75">
        <f t="shared" ref="N76:N139" si="10">L76-M76</f>
        <v>-305</v>
      </c>
      <c r="O76" s="75">
        <f t="shared" ref="O76:O139" si="11">N76/L76*100</f>
        <v>-136.77130044843048</v>
      </c>
      <c r="P76" s="75">
        <f>VLOOKUP($A76,'Data Vlaue (Cr)'!$C:$FB,119)</f>
        <v>0.34</v>
      </c>
      <c r="Q76" s="75">
        <f>VLOOKUP($A76,'Data Vlaue (Cr)'!$C:$FB,122)*100</f>
        <v>-5.56</v>
      </c>
      <c r="R76" s="75">
        <f>VLOOKUP($A76,'Data Vlaue (Cr)'!$C:$FB,125)</f>
        <v>0.24</v>
      </c>
      <c r="S76" s="75">
        <f>VLOOKUP($A76,'Data Vlaue (Cr)'!$C:$FB,128)*100</f>
        <v>50</v>
      </c>
    </row>
    <row r="77" spans="1:19" x14ac:dyDescent="0.25">
      <c r="A77" s="96" t="str">
        <f>'Data Vlaue (Cr)'!C68</f>
        <v>FORTIS</v>
      </c>
      <c r="B77" s="75">
        <f>VLOOKUP($A77,'Data Vlaue (Cr)'!$C:$FB,2)</f>
        <v>775</v>
      </c>
      <c r="C77" s="75">
        <f>VLOOKUP($A77,'Data Vlaue (Cr)'!$C:$FB,8)</f>
        <v>890.2</v>
      </c>
      <c r="D77" s="75">
        <f>VLOOKUP($A77,'Data Vlaue (Cr)'!$C:$FB,4)</f>
        <v>890.9</v>
      </c>
      <c r="E77" s="75">
        <f>VLOOKUP($A77,'Data Vlaue (Cr)'!$C:$FB,5)</f>
        <v>873.8</v>
      </c>
      <c r="F77" s="75">
        <f t="shared" si="6"/>
        <v>0.69999999999993179</v>
      </c>
      <c r="G77" s="75">
        <f t="shared" si="7"/>
        <v>1.9194073408912362</v>
      </c>
      <c r="H77" s="75">
        <f>VLOOKUP($A77,'Data Vlaue (Cr)'!$C:$FB,99)</f>
        <v>1354</v>
      </c>
      <c r="I77" s="75">
        <f>VLOOKUP($A77,'Data Vlaue (Cr)'!$C:$FB,100)</f>
        <v>1346</v>
      </c>
      <c r="J77" s="75">
        <f t="shared" si="8"/>
        <v>8</v>
      </c>
      <c r="K77" s="75">
        <f t="shared" si="9"/>
        <v>0.59084194977843429</v>
      </c>
      <c r="L77" s="75">
        <f>VLOOKUP($A77,'Data Vlaue (Cr)'!$C:$FB,67)</f>
        <v>765</v>
      </c>
      <c r="M77" s="75">
        <f>VLOOKUP($A77,'Data Vlaue (Cr)'!$C:$FB,68)</f>
        <v>629</v>
      </c>
      <c r="N77" s="75">
        <f t="shared" si="10"/>
        <v>136</v>
      </c>
      <c r="O77" s="75">
        <f t="shared" si="11"/>
        <v>17.777777777777779</v>
      </c>
      <c r="P77" s="75">
        <f>VLOOKUP($A77,'Data Vlaue (Cr)'!$C:$FB,119)</f>
        <v>0.63</v>
      </c>
      <c r="Q77" s="75">
        <f>VLOOKUP($A77,'Data Vlaue (Cr)'!$C:$FB,122)*100</f>
        <v>-10</v>
      </c>
      <c r="R77" s="75">
        <f>VLOOKUP($A77,'Data Vlaue (Cr)'!$C:$FB,125)</f>
        <v>0.46</v>
      </c>
      <c r="S77" s="75">
        <f>VLOOKUP($A77,'Data Vlaue (Cr)'!$C:$FB,128)*100</f>
        <v>-4.17</v>
      </c>
    </row>
    <row r="78" spans="1:19" x14ac:dyDescent="0.25">
      <c r="A78" s="96" t="str">
        <f>'Data Vlaue (Cr)'!C69</f>
        <v>GAIL</v>
      </c>
      <c r="B78" s="75">
        <f>VLOOKUP($A78,'Data Vlaue (Cr)'!$C:$FB,2)</f>
        <v>3150</v>
      </c>
      <c r="C78" s="75">
        <f>VLOOKUP($A78,'Data Vlaue (Cr)'!$C:$FB,8)</f>
        <v>157.82</v>
      </c>
      <c r="D78" s="75">
        <f>VLOOKUP($A78,'Data Vlaue (Cr)'!$C:$FB,4)</f>
        <v>158.33000000000001</v>
      </c>
      <c r="E78" s="75">
        <f>VLOOKUP($A78,'Data Vlaue (Cr)'!$C:$FB,5)</f>
        <v>158.97</v>
      </c>
      <c r="F78" s="75">
        <f t="shared" si="6"/>
        <v>0.51000000000001933</v>
      </c>
      <c r="G78" s="75">
        <f t="shared" si="7"/>
        <v>-0.40421903619022698</v>
      </c>
      <c r="H78" s="75">
        <f>VLOOKUP($A78,'Data Vlaue (Cr)'!$C:$FB,99)</f>
        <v>2200</v>
      </c>
      <c r="I78" s="75">
        <f>VLOOKUP($A78,'Data Vlaue (Cr)'!$C:$FB,100)</f>
        <v>2177</v>
      </c>
      <c r="J78" s="75">
        <f t="shared" si="8"/>
        <v>23</v>
      </c>
      <c r="K78" s="75">
        <f t="shared" si="9"/>
        <v>1.0454545454545454</v>
      </c>
      <c r="L78" s="75">
        <f>VLOOKUP($A78,'Data Vlaue (Cr)'!$C:$FB,67)</f>
        <v>558</v>
      </c>
      <c r="M78" s="75">
        <f>VLOOKUP($A78,'Data Vlaue (Cr)'!$C:$FB,68)</f>
        <v>685</v>
      </c>
      <c r="N78" s="75">
        <f t="shared" si="10"/>
        <v>-127</v>
      </c>
      <c r="O78" s="75">
        <f t="shared" si="11"/>
        <v>-22.759856630824373</v>
      </c>
      <c r="P78" s="75">
        <f>VLOOKUP($A78,'Data Vlaue (Cr)'!$C:$FB,119)</f>
        <v>1.18</v>
      </c>
      <c r="Q78" s="75">
        <f>VLOOKUP($A78,'Data Vlaue (Cr)'!$C:$FB,122)*100</f>
        <v>-2.48</v>
      </c>
      <c r="R78" s="75">
        <f>VLOOKUP($A78,'Data Vlaue (Cr)'!$C:$FB,125)</f>
        <v>0.83</v>
      </c>
      <c r="S78" s="75">
        <f>VLOOKUP($A78,'Data Vlaue (Cr)'!$C:$FB,128)*100</f>
        <v>25.759999999999998</v>
      </c>
    </row>
    <row r="79" spans="1:19" x14ac:dyDescent="0.25">
      <c r="A79" s="96" t="str">
        <f>'Data Vlaue (Cr)'!C70</f>
        <v>GLENMARK</v>
      </c>
      <c r="B79" s="75">
        <f>VLOOKUP($A79,'Data Vlaue (Cr)'!$C:$FB,2)</f>
        <v>375</v>
      </c>
      <c r="C79" s="75">
        <f>VLOOKUP($A79,'Data Vlaue (Cr)'!$C:$FB,8)</f>
        <v>2249.5</v>
      </c>
      <c r="D79" s="75">
        <f>VLOOKUP($A79,'Data Vlaue (Cr)'!$C:$FB,4)</f>
        <v>2253.8000000000002</v>
      </c>
      <c r="E79" s="75">
        <f>VLOOKUP($A79,'Data Vlaue (Cr)'!$C:$FB,5)</f>
        <v>2255.6</v>
      </c>
      <c r="F79" s="75">
        <f t="shared" si="6"/>
        <v>4.3000000000001819</v>
      </c>
      <c r="G79" s="75">
        <f t="shared" si="7"/>
        <v>-7.9865116691797272E-2</v>
      </c>
      <c r="H79" s="75">
        <f>VLOOKUP($A79,'Data Vlaue (Cr)'!$C:$FB,99)</f>
        <v>3119</v>
      </c>
      <c r="I79" s="75">
        <f>VLOOKUP($A79,'Data Vlaue (Cr)'!$C:$FB,100)</f>
        <v>2975</v>
      </c>
      <c r="J79" s="75">
        <f t="shared" si="8"/>
        <v>144</v>
      </c>
      <c r="K79" s="75">
        <f t="shared" si="9"/>
        <v>4.6168643796088489</v>
      </c>
      <c r="L79" s="75">
        <f>VLOOKUP($A79,'Data Vlaue (Cr)'!$C:$FB,67)</f>
        <v>1481</v>
      </c>
      <c r="M79" s="75">
        <f>VLOOKUP($A79,'Data Vlaue (Cr)'!$C:$FB,68)</f>
        <v>1110</v>
      </c>
      <c r="N79" s="75">
        <f t="shared" si="10"/>
        <v>371</v>
      </c>
      <c r="O79" s="75">
        <f t="shared" si="11"/>
        <v>25.050641458474004</v>
      </c>
      <c r="P79" s="75">
        <f>VLOOKUP($A79,'Data Vlaue (Cr)'!$C:$FB,119)</f>
        <v>0.51</v>
      </c>
      <c r="Q79" s="75">
        <f>VLOOKUP($A79,'Data Vlaue (Cr)'!$C:$FB,122)*100</f>
        <v>-17.740000000000002</v>
      </c>
      <c r="R79" s="75">
        <f>VLOOKUP($A79,'Data Vlaue (Cr)'!$C:$FB,125)</f>
        <v>0.32</v>
      </c>
      <c r="S79" s="75">
        <f>VLOOKUP($A79,'Data Vlaue (Cr)'!$C:$FB,128)*100</f>
        <v>-48.39</v>
      </c>
    </row>
    <row r="80" spans="1:19" x14ac:dyDescent="0.25">
      <c r="A80" s="96" t="str">
        <f>'Data Vlaue (Cr)'!C71</f>
        <v>GMRAIRPORT</v>
      </c>
      <c r="B80" s="75">
        <f>VLOOKUP($A80,'Data Vlaue (Cr)'!$C:$FB,2)</f>
        <v>6975</v>
      </c>
      <c r="C80" s="75">
        <f>VLOOKUP($A80,'Data Vlaue (Cr)'!$C:$FB,8)</f>
        <v>96.85</v>
      </c>
      <c r="D80" s="75">
        <f>VLOOKUP($A80,'Data Vlaue (Cr)'!$C:$FB,4)</f>
        <v>97.16</v>
      </c>
      <c r="E80" s="75">
        <f>VLOOKUP($A80,'Data Vlaue (Cr)'!$C:$FB,5)</f>
        <v>97</v>
      </c>
      <c r="F80" s="75">
        <f t="shared" si="6"/>
        <v>0.31000000000000227</v>
      </c>
      <c r="G80" s="75">
        <f t="shared" si="7"/>
        <v>0.16467682173733697</v>
      </c>
      <c r="H80" s="75">
        <f>VLOOKUP($A80,'Data Vlaue (Cr)'!$C:$FB,99)</f>
        <v>1969</v>
      </c>
      <c r="I80" s="75">
        <f>VLOOKUP($A80,'Data Vlaue (Cr)'!$C:$FB,100)</f>
        <v>1935</v>
      </c>
      <c r="J80" s="75">
        <f t="shared" si="8"/>
        <v>34</v>
      </c>
      <c r="K80" s="75">
        <f t="shared" si="9"/>
        <v>1.7267648552564754</v>
      </c>
      <c r="L80" s="75">
        <f>VLOOKUP($A80,'Data Vlaue (Cr)'!$C:$FB,67)</f>
        <v>598</v>
      </c>
      <c r="M80" s="75">
        <f>VLOOKUP($A80,'Data Vlaue (Cr)'!$C:$FB,68)</f>
        <v>832</v>
      </c>
      <c r="N80" s="75">
        <f t="shared" si="10"/>
        <v>-234</v>
      </c>
      <c r="O80" s="75">
        <f t="shared" si="11"/>
        <v>-39.130434782608695</v>
      </c>
      <c r="P80" s="75">
        <f>VLOOKUP($A80,'Data Vlaue (Cr)'!$C:$FB,119)</f>
        <v>0.75</v>
      </c>
      <c r="Q80" s="75">
        <f>VLOOKUP($A80,'Data Vlaue (Cr)'!$C:$FB,122)*100</f>
        <v>0</v>
      </c>
      <c r="R80" s="75">
        <f>VLOOKUP($A80,'Data Vlaue (Cr)'!$C:$FB,125)</f>
        <v>0.5</v>
      </c>
      <c r="S80" s="75">
        <f>VLOOKUP($A80,'Data Vlaue (Cr)'!$C:$FB,128)*100</f>
        <v>-29.580000000000002</v>
      </c>
    </row>
    <row r="81" spans="1:19" x14ac:dyDescent="0.25">
      <c r="A81" s="96" t="str">
        <f>'Data Vlaue (Cr)'!C72</f>
        <v>GODFRYPHLP</v>
      </c>
      <c r="B81" s="75">
        <f>VLOOKUP($A81,'Data Vlaue (Cr)'!$C:$FB,2)</f>
        <v>275</v>
      </c>
      <c r="C81" s="75">
        <f>VLOOKUP($A81,'Data Vlaue (Cr)'!$C:$FB,8)</f>
        <v>2207.6999999999998</v>
      </c>
      <c r="D81" s="75">
        <f>VLOOKUP($A81,'Data Vlaue (Cr)'!$C:$FB,4)</f>
        <v>2184.1999999999998</v>
      </c>
      <c r="E81" s="75">
        <f>VLOOKUP($A81,'Data Vlaue (Cr)'!$C:$FB,5)</f>
        <v>2132.8000000000002</v>
      </c>
      <c r="F81" s="75">
        <f t="shared" si="6"/>
        <v>-23.5</v>
      </c>
      <c r="G81" s="75">
        <f t="shared" si="7"/>
        <v>2.3532643530812032</v>
      </c>
      <c r="H81" s="75">
        <f>VLOOKUP($A81,'Data Vlaue (Cr)'!$C:$FB,99)</f>
        <v>571</v>
      </c>
      <c r="I81" s="75">
        <f>VLOOKUP($A81,'Data Vlaue (Cr)'!$C:$FB,100)</f>
        <v>309</v>
      </c>
      <c r="J81" s="75">
        <f t="shared" si="8"/>
        <v>262</v>
      </c>
      <c r="K81" s="75">
        <f t="shared" si="9"/>
        <v>45.884413309982484</v>
      </c>
      <c r="L81" s="75">
        <f>VLOOKUP($A81,'Data Vlaue (Cr)'!$C:$FB,67)</f>
        <v>2027</v>
      </c>
      <c r="M81" s="75">
        <f>VLOOKUP($A81,'Data Vlaue (Cr)'!$C:$FB,68)</f>
        <v>352</v>
      </c>
      <c r="N81" s="75">
        <f t="shared" si="10"/>
        <v>1675</v>
      </c>
      <c r="O81" s="75">
        <f t="shared" si="11"/>
        <v>82.634435125801673</v>
      </c>
      <c r="P81" s="75">
        <f>VLOOKUP($A81,'Data Vlaue (Cr)'!$C:$FB,119)</f>
        <v>0.43</v>
      </c>
      <c r="Q81" s="75">
        <f>VLOOKUP($A81,'Data Vlaue (Cr)'!$C:$FB,122)*100</f>
        <v>4.88</v>
      </c>
      <c r="R81" s="75">
        <f>VLOOKUP($A81,'Data Vlaue (Cr)'!$C:$FB,125)</f>
        <v>0.24</v>
      </c>
      <c r="S81" s="75">
        <f>VLOOKUP($A81,'Data Vlaue (Cr)'!$C:$FB,128)*100</f>
        <v>-33.33</v>
      </c>
    </row>
    <row r="82" spans="1:19" x14ac:dyDescent="0.25">
      <c r="A82" s="96" t="str">
        <f>'Data Vlaue (Cr)'!C73</f>
        <v>GODREJCP</v>
      </c>
      <c r="B82" s="75">
        <f>VLOOKUP($A82,'Data Vlaue (Cr)'!$C:$FB,2)</f>
        <v>500</v>
      </c>
      <c r="C82" s="75">
        <f>VLOOKUP($A82,'Data Vlaue (Cr)'!$C:$FB,8)</f>
        <v>1109.4000000000001</v>
      </c>
      <c r="D82" s="75">
        <f>VLOOKUP($A82,'Data Vlaue (Cr)'!$C:$FB,4)</f>
        <v>1112.6500000000001</v>
      </c>
      <c r="E82" s="75">
        <f>VLOOKUP($A82,'Data Vlaue (Cr)'!$C:$FB,5)</f>
        <v>1084.75</v>
      </c>
      <c r="F82" s="75">
        <f t="shared" si="6"/>
        <v>3.25</v>
      </c>
      <c r="G82" s="75">
        <f t="shared" si="7"/>
        <v>2.5075270750011311</v>
      </c>
      <c r="H82" s="75">
        <f>VLOOKUP($A82,'Data Vlaue (Cr)'!$C:$FB,99)</f>
        <v>1695</v>
      </c>
      <c r="I82" s="75">
        <f>VLOOKUP($A82,'Data Vlaue (Cr)'!$C:$FB,100)</f>
        <v>1642</v>
      </c>
      <c r="J82" s="75">
        <f t="shared" si="8"/>
        <v>53</v>
      </c>
      <c r="K82" s="75">
        <f t="shared" si="9"/>
        <v>3.1268436578171093</v>
      </c>
      <c r="L82" s="75">
        <f>VLOOKUP($A82,'Data Vlaue (Cr)'!$C:$FB,67)</f>
        <v>1107</v>
      </c>
      <c r="M82" s="75">
        <f>VLOOKUP($A82,'Data Vlaue (Cr)'!$C:$FB,68)</f>
        <v>214</v>
      </c>
      <c r="N82" s="75">
        <f t="shared" si="10"/>
        <v>893</v>
      </c>
      <c r="O82" s="75">
        <f t="shared" si="11"/>
        <v>80.668473351400181</v>
      </c>
      <c r="P82" s="75">
        <f>VLOOKUP($A82,'Data Vlaue (Cr)'!$C:$FB,119)</f>
        <v>0.76</v>
      </c>
      <c r="Q82" s="75">
        <f>VLOOKUP($A82,'Data Vlaue (Cr)'!$C:$FB,122)*100</f>
        <v>-5</v>
      </c>
      <c r="R82" s="75">
        <f>VLOOKUP($A82,'Data Vlaue (Cr)'!$C:$FB,125)</f>
        <v>0.36</v>
      </c>
      <c r="S82" s="75">
        <f>VLOOKUP($A82,'Data Vlaue (Cr)'!$C:$FB,128)*100</f>
        <v>-35.709999999999994</v>
      </c>
    </row>
    <row r="83" spans="1:19" x14ac:dyDescent="0.25">
      <c r="A83" s="96" t="str">
        <f>'Data Vlaue (Cr)'!C74</f>
        <v>GODREJPROP</v>
      </c>
      <c r="B83" s="75">
        <f>VLOOKUP($A83,'Data Vlaue (Cr)'!$C:$FB,2)</f>
        <v>275</v>
      </c>
      <c r="C83" s="75">
        <f>VLOOKUP($A83,'Data Vlaue (Cr)'!$C:$FB,8)</f>
        <v>1758.8</v>
      </c>
      <c r="D83" s="75">
        <f>VLOOKUP($A83,'Data Vlaue (Cr)'!$C:$FB,4)</f>
        <v>1764</v>
      </c>
      <c r="E83" s="75">
        <f>VLOOKUP($A83,'Data Vlaue (Cr)'!$C:$FB,5)</f>
        <v>1748.6</v>
      </c>
      <c r="F83" s="75">
        <f t="shared" si="6"/>
        <v>5.2000000000000455</v>
      </c>
      <c r="G83" s="75">
        <f t="shared" si="7"/>
        <v>0.87301587301587824</v>
      </c>
      <c r="H83" s="75">
        <f>VLOOKUP($A83,'Data Vlaue (Cr)'!$C:$FB,99)</f>
        <v>2413</v>
      </c>
      <c r="I83" s="75">
        <f>VLOOKUP($A83,'Data Vlaue (Cr)'!$C:$FB,100)</f>
        <v>2396</v>
      </c>
      <c r="J83" s="75">
        <f t="shared" si="8"/>
        <v>17</v>
      </c>
      <c r="K83" s="75">
        <f t="shared" si="9"/>
        <v>0.70451719850808125</v>
      </c>
      <c r="L83" s="75">
        <f>VLOOKUP($A83,'Data Vlaue (Cr)'!$C:$FB,67)</f>
        <v>928</v>
      </c>
      <c r="M83" s="75">
        <f>VLOOKUP($A83,'Data Vlaue (Cr)'!$C:$FB,68)</f>
        <v>921</v>
      </c>
      <c r="N83" s="75">
        <f t="shared" si="10"/>
        <v>7</v>
      </c>
      <c r="O83" s="75">
        <f t="shared" si="11"/>
        <v>0.75431034482758619</v>
      </c>
      <c r="P83" s="75">
        <f>VLOOKUP($A83,'Data Vlaue (Cr)'!$C:$FB,119)</f>
        <v>0.94</v>
      </c>
      <c r="Q83" s="75">
        <f>VLOOKUP($A83,'Data Vlaue (Cr)'!$C:$FB,122)*100</f>
        <v>-1.05</v>
      </c>
      <c r="R83" s="75">
        <f>VLOOKUP($A83,'Data Vlaue (Cr)'!$C:$FB,125)</f>
        <v>0.82</v>
      </c>
      <c r="S83" s="75">
        <f>VLOOKUP($A83,'Data Vlaue (Cr)'!$C:$FB,128)*100</f>
        <v>9.33</v>
      </c>
    </row>
    <row r="84" spans="1:19" x14ac:dyDescent="0.25">
      <c r="A84" s="96" t="str">
        <f>'Data Vlaue (Cr)'!C75</f>
        <v>GRASIM</v>
      </c>
      <c r="B84" s="75">
        <f>VLOOKUP($A84,'Data Vlaue (Cr)'!$C:$FB,2)</f>
        <v>250</v>
      </c>
      <c r="C84" s="75">
        <f>VLOOKUP($A84,'Data Vlaue (Cr)'!$C:$FB,8)</f>
        <v>2720.5</v>
      </c>
      <c r="D84" s="75">
        <f>VLOOKUP($A84,'Data Vlaue (Cr)'!$C:$FB,4)</f>
        <v>2726.6</v>
      </c>
      <c r="E84" s="75">
        <f>VLOOKUP($A84,'Data Vlaue (Cr)'!$C:$FB,5)</f>
        <v>2723.8</v>
      </c>
      <c r="F84" s="75">
        <f t="shared" si="6"/>
        <v>6.0999999999999091</v>
      </c>
      <c r="G84" s="75">
        <f t="shared" si="7"/>
        <v>0.10269199735933864</v>
      </c>
      <c r="H84" s="75">
        <f>VLOOKUP($A84,'Data Vlaue (Cr)'!$C:$FB,99)</f>
        <v>4658</v>
      </c>
      <c r="I84" s="75">
        <f>VLOOKUP($A84,'Data Vlaue (Cr)'!$C:$FB,100)</f>
        <v>4663</v>
      </c>
      <c r="J84" s="75">
        <f t="shared" si="8"/>
        <v>-5</v>
      </c>
      <c r="K84" s="75">
        <f t="shared" si="9"/>
        <v>-0.10734220695577501</v>
      </c>
      <c r="L84" s="75">
        <f>VLOOKUP($A84,'Data Vlaue (Cr)'!$C:$FB,67)</f>
        <v>618</v>
      </c>
      <c r="M84" s="75">
        <f>VLOOKUP($A84,'Data Vlaue (Cr)'!$C:$FB,68)</f>
        <v>2309</v>
      </c>
      <c r="N84" s="75">
        <f t="shared" si="10"/>
        <v>-1691</v>
      </c>
      <c r="O84" s="75">
        <f t="shared" si="11"/>
        <v>-273.62459546925567</v>
      </c>
      <c r="P84" s="75">
        <f>VLOOKUP($A84,'Data Vlaue (Cr)'!$C:$FB,119)</f>
        <v>0.73</v>
      </c>
      <c r="Q84" s="75">
        <f>VLOOKUP($A84,'Data Vlaue (Cr)'!$C:$FB,122)*100</f>
        <v>0</v>
      </c>
      <c r="R84" s="75">
        <f>VLOOKUP($A84,'Data Vlaue (Cr)'!$C:$FB,125)</f>
        <v>0.42</v>
      </c>
      <c r="S84" s="75">
        <f>VLOOKUP($A84,'Data Vlaue (Cr)'!$C:$FB,128)*100</f>
        <v>-25</v>
      </c>
    </row>
    <row r="85" spans="1:19" x14ac:dyDescent="0.25">
      <c r="A85" s="96" t="str">
        <f>'Data Vlaue (Cr)'!C76</f>
        <v>HAL</v>
      </c>
      <c r="B85" s="75">
        <f>VLOOKUP($A85,'Data Vlaue (Cr)'!$C:$FB,2)</f>
        <v>150</v>
      </c>
      <c r="C85" s="75">
        <f>VLOOKUP($A85,'Data Vlaue (Cr)'!$C:$FB,8)</f>
        <v>4388.1000000000004</v>
      </c>
      <c r="D85" s="75">
        <f>VLOOKUP($A85,'Data Vlaue (Cr)'!$C:$FB,4)</f>
        <v>4393.3</v>
      </c>
      <c r="E85" s="75">
        <f>VLOOKUP($A85,'Data Vlaue (Cr)'!$C:$FB,5)</f>
        <v>4376.3999999999996</v>
      </c>
      <c r="F85" s="75">
        <f t="shared" si="6"/>
        <v>5.1999999999998181</v>
      </c>
      <c r="G85" s="75">
        <f t="shared" si="7"/>
        <v>0.38467666674255219</v>
      </c>
      <c r="H85" s="75">
        <f>VLOOKUP($A85,'Data Vlaue (Cr)'!$C:$FB,99)</f>
        <v>6319</v>
      </c>
      <c r="I85" s="75">
        <f>VLOOKUP($A85,'Data Vlaue (Cr)'!$C:$FB,100)</f>
        <v>6377</v>
      </c>
      <c r="J85" s="75">
        <f t="shared" si="8"/>
        <v>-58</v>
      </c>
      <c r="K85" s="75">
        <f t="shared" si="9"/>
        <v>-0.91786675106820692</v>
      </c>
      <c r="L85" s="75">
        <f>VLOOKUP($A85,'Data Vlaue (Cr)'!$C:$FB,67)</f>
        <v>3844</v>
      </c>
      <c r="M85" s="75">
        <f>VLOOKUP($A85,'Data Vlaue (Cr)'!$C:$FB,68)</f>
        <v>10683</v>
      </c>
      <c r="N85" s="75">
        <f t="shared" si="10"/>
        <v>-6839</v>
      </c>
      <c r="O85" s="75">
        <f t="shared" si="11"/>
        <v>-177.91363163371489</v>
      </c>
      <c r="P85" s="75">
        <f>VLOOKUP($A85,'Data Vlaue (Cr)'!$C:$FB,119)</f>
        <v>0.95</v>
      </c>
      <c r="Q85" s="75">
        <f>VLOOKUP($A85,'Data Vlaue (Cr)'!$C:$FB,122)*100</f>
        <v>-1.04</v>
      </c>
      <c r="R85" s="75">
        <f>VLOOKUP($A85,'Data Vlaue (Cr)'!$C:$FB,125)</f>
        <v>0.65</v>
      </c>
      <c r="S85" s="75">
        <f>VLOOKUP($A85,'Data Vlaue (Cr)'!$C:$FB,128)*100</f>
        <v>47.73</v>
      </c>
    </row>
    <row r="86" spans="1:19" x14ac:dyDescent="0.25">
      <c r="A86" s="96" t="str">
        <f>'Data Vlaue (Cr)'!C77</f>
        <v>HAVELLS</v>
      </c>
      <c r="B86" s="75">
        <f>VLOOKUP($A86,'Data Vlaue (Cr)'!$C:$FB,2)</f>
        <v>500</v>
      </c>
      <c r="C86" s="75">
        <f>VLOOKUP($A86,'Data Vlaue (Cr)'!$C:$FB,8)</f>
        <v>1306.4000000000001</v>
      </c>
      <c r="D86" s="75">
        <f>VLOOKUP($A86,'Data Vlaue (Cr)'!$C:$FB,4)</f>
        <v>1309.8</v>
      </c>
      <c r="E86" s="75">
        <f>VLOOKUP($A86,'Data Vlaue (Cr)'!$C:$FB,5)</f>
        <v>1294</v>
      </c>
      <c r="F86" s="75">
        <f t="shared" si="6"/>
        <v>3.3999999999998636</v>
      </c>
      <c r="G86" s="75">
        <f t="shared" si="7"/>
        <v>1.2062910367995081</v>
      </c>
      <c r="H86" s="75">
        <f>VLOOKUP($A86,'Data Vlaue (Cr)'!$C:$FB,99)</f>
        <v>1892</v>
      </c>
      <c r="I86" s="75">
        <f>VLOOKUP($A86,'Data Vlaue (Cr)'!$C:$FB,100)</f>
        <v>1841</v>
      </c>
      <c r="J86" s="75">
        <f t="shared" si="8"/>
        <v>51</v>
      </c>
      <c r="K86" s="75">
        <f t="shared" si="9"/>
        <v>2.6955602536997887</v>
      </c>
      <c r="L86" s="75">
        <f>VLOOKUP($A86,'Data Vlaue (Cr)'!$C:$FB,67)</f>
        <v>994</v>
      </c>
      <c r="M86" s="75">
        <f>VLOOKUP($A86,'Data Vlaue (Cr)'!$C:$FB,68)</f>
        <v>963</v>
      </c>
      <c r="N86" s="75">
        <f t="shared" si="10"/>
        <v>31</v>
      </c>
      <c r="O86" s="75">
        <f t="shared" si="11"/>
        <v>3.1187122736418509</v>
      </c>
      <c r="P86" s="75">
        <f>VLOOKUP($A86,'Data Vlaue (Cr)'!$C:$FB,119)</f>
        <v>0.74</v>
      </c>
      <c r="Q86" s="75">
        <f>VLOOKUP($A86,'Data Vlaue (Cr)'!$C:$FB,122)*100</f>
        <v>0</v>
      </c>
      <c r="R86" s="75">
        <f>VLOOKUP($A86,'Data Vlaue (Cr)'!$C:$FB,125)</f>
        <v>0.33</v>
      </c>
      <c r="S86" s="75">
        <f>VLOOKUP($A86,'Data Vlaue (Cr)'!$C:$FB,128)*100</f>
        <v>-25</v>
      </c>
    </row>
    <row r="87" spans="1:19" x14ac:dyDescent="0.25">
      <c r="A87" s="96" t="str">
        <f>'Data Vlaue (Cr)'!C78</f>
        <v>HCLTECH</v>
      </c>
      <c r="B87" s="75">
        <f>VLOOKUP($A87,'Data Vlaue (Cr)'!$C:$FB,2)</f>
        <v>350</v>
      </c>
      <c r="C87" s="75">
        <f>VLOOKUP($A87,'Data Vlaue (Cr)'!$C:$FB,8)</f>
        <v>1442.3</v>
      </c>
      <c r="D87" s="75">
        <f>VLOOKUP($A87,'Data Vlaue (Cr)'!$C:$FB,4)</f>
        <v>1415.3</v>
      </c>
      <c r="E87" s="75">
        <f>VLOOKUP($A87,'Data Vlaue (Cr)'!$C:$FB,5)</f>
        <v>1420</v>
      </c>
      <c r="F87" s="75">
        <f t="shared" si="6"/>
        <v>-27</v>
      </c>
      <c r="G87" s="75">
        <f t="shared" si="7"/>
        <v>-0.33208507030311918</v>
      </c>
      <c r="H87" s="75">
        <f>VLOOKUP($A87,'Data Vlaue (Cr)'!$C:$FB,99)</f>
        <v>7914</v>
      </c>
      <c r="I87" s="75">
        <f>VLOOKUP($A87,'Data Vlaue (Cr)'!$C:$FB,100)</f>
        <v>7628</v>
      </c>
      <c r="J87" s="75">
        <f t="shared" si="8"/>
        <v>286</v>
      </c>
      <c r="K87" s="75">
        <f t="shared" si="9"/>
        <v>3.6138488754106648</v>
      </c>
      <c r="L87" s="75">
        <f>VLOOKUP($A87,'Data Vlaue (Cr)'!$C:$FB,67)</f>
        <v>3268</v>
      </c>
      <c r="M87" s="75">
        <f>VLOOKUP($A87,'Data Vlaue (Cr)'!$C:$FB,68)</f>
        <v>4852</v>
      </c>
      <c r="N87" s="75">
        <f t="shared" si="10"/>
        <v>-1584</v>
      </c>
      <c r="O87" s="75">
        <f t="shared" si="11"/>
        <v>-48.470012239902083</v>
      </c>
      <c r="P87" s="75">
        <f>VLOOKUP($A87,'Data Vlaue (Cr)'!$C:$FB,119)</f>
        <v>0.83</v>
      </c>
      <c r="Q87" s="75">
        <f>VLOOKUP($A87,'Data Vlaue (Cr)'!$C:$FB,122)*100</f>
        <v>-3.49</v>
      </c>
      <c r="R87" s="75">
        <f>VLOOKUP($A87,'Data Vlaue (Cr)'!$C:$FB,125)</f>
        <v>0.56000000000000005</v>
      </c>
      <c r="S87" s="75">
        <f>VLOOKUP($A87,'Data Vlaue (Cr)'!$C:$FB,128)*100</f>
        <v>0</v>
      </c>
    </row>
    <row r="88" spans="1:19" x14ac:dyDescent="0.25">
      <c r="A88" s="96" t="str">
        <f>'Data Vlaue (Cr)'!C79</f>
        <v>HDFCAMC</v>
      </c>
      <c r="B88" s="75">
        <f>VLOOKUP($A88,'Data Vlaue (Cr)'!$C:$FB,2)</f>
        <v>300</v>
      </c>
      <c r="C88" s="75">
        <f>VLOOKUP($A88,'Data Vlaue (Cr)'!$C:$FB,8)</f>
        <v>2792.4</v>
      </c>
      <c r="D88" s="75">
        <f>VLOOKUP($A88,'Data Vlaue (Cr)'!$C:$FB,4)</f>
        <v>2791.6</v>
      </c>
      <c r="E88" s="75">
        <f>VLOOKUP($A88,'Data Vlaue (Cr)'!$C:$FB,5)</f>
        <v>2662.2</v>
      </c>
      <c r="F88" s="75">
        <f t="shared" si="6"/>
        <v>-0.8000000000001819</v>
      </c>
      <c r="G88" s="75">
        <f t="shared" si="7"/>
        <v>4.6353345751540367</v>
      </c>
      <c r="H88" s="75">
        <f>VLOOKUP($A88,'Data Vlaue (Cr)'!$C:$FB,99)</f>
        <v>2992</v>
      </c>
      <c r="I88" s="75">
        <f>VLOOKUP($A88,'Data Vlaue (Cr)'!$C:$FB,100)</f>
        <v>2749</v>
      </c>
      <c r="J88" s="75">
        <f t="shared" si="8"/>
        <v>243</v>
      </c>
      <c r="K88" s="75">
        <f t="shared" si="9"/>
        <v>8.1216577540106965</v>
      </c>
      <c r="L88" s="75">
        <f>VLOOKUP($A88,'Data Vlaue (Cr)'!$C:$FB,67)</f>
        <v>8969</v>
      </c>
      <c r="M88" s="75">
        <f>VLOOKUP($A88,'Data Vlaue (Cr)'!$C:$FB,68)</f>
        <v>8301</v>
      </c>
      <c r="N88" s="75">
        <f t="shared" si="10"/>
        <v>668</v>
      </c>
      <c r="O88" s="75">
        <f t="shared" si="11"/>
        <v>7.4478760173932432</v>
      </c>
      <c r="P88" s="75">
        <f>VLOOKUP($A88,'Data Vlaue (Cr)'!$C:$FB,119)</f>
        <v>0.97</v>
      </c>
      <c r="Q88" s="75">
        <f>VLOOKUP($A88,'Data Vlaue (Cr)'!$C:$FB,122)*100</f>
        <v>38.57</v>
      </c>
      <c r="R88" s="75">
        <f>VLOOKUP($A88,'Data Vlaue (Cr)'!$C:$FB,125)</f>
        <v>0.44</v>
      </c>
      <c r="S88" s="75">
        <f>VLOOKUP($A88,'Data Vlaue (Cr)'!$C:$FB,128)*100</f>
        <v>-34.33</v>
      </c>
    </row>
    <row r="89" spans="1:19" x14ac:dyDescent="0.25">
      <c r="A89" s="96" t="str">
        <f>'Data Vlaue (Cr)'!C80</f>
        <v>HDFCBANK</v>
      </c>
      <c r="B89" s="75">
        <f>VLOOKUP($A89,'Data Vlaue (Cr)'!$C:$FB,2)</f>
        <v>550</v>
      </c>
      <c r="C89" s="75">
        <f>VLOOKUP($A89,'Data Vlaue (Cr)'!$C:$FB,8)</f>
        <v>799.9</v>
      </c>
      <c r="D89" s="75">
        <f>VLOOKUP($A89,'Data Vlaue (Cr)'!$C:$FB,4)</f>
        <v>801.6</v>
      </c>
      <c r="E89" s="75">
        <f>VLOOKUP($A89,'Data Vlaue (Cr)'!$C:$FB,5)</f>
        <v>795.85</v>
      </c>
      <c r="F89" s="75">
        <f t="shared" si="6"/>
        <v>1.7000000000000455</v>
      </c>
      <c r="G89" s="75">
        <f t="shared" si="7"/>
        <v>0.71731536926147699</v>
      </c>
      <c r="H89" s="75">
        <f>VLOOKUP($A89,'Data Vlaue (Cr)'!$C:$FB,99)</f>
        <v>38810</v>
      </c>
      <c r="I89" s="75">
        <f>VLOOKUP($A89,'Data Vlaue (Cr)'!$C:$FB,100)</f>
        <v>36682</v>
      </c>
      <c r="J89" s="75">
        <f t="shared" si="8"/>
        <v>2128</v>
      </c>
      <c r="K89" s="75">
        <f t="shared" si="9"/>
        <v>5.483122906467405</v>
      </c>
      <c r="L89" s="75">
        <f>VLOOKUP($A89,'Data Vlaue (Cr)'!$C:$FB,67)</f>
        <v>15780</v>
      </c>
      <c r="M89" s="75">
        <f>VLOOKUP($A89,'Data Vlaue (Cr)'!$C:$FB,68)</f>
        <v>13854</v>
      </c>
      <c r="N89" s="75">
        <f t="shared" si="10"/>
        <v>1926</v>
      </c>
      <c r="O89" s="75">
        <f t="shared" si="11"/>
        <v>12.20532319391635</v>
      </c>
      <c r="P89" s="75">
        <f>VLOOKUP($A89,'Data Vlaue (Cr)'!$C:$FB,119)</f>
        <v>0.56999999999999995</v>
      </c>
      <c r="Q89" s="75">
        <f>VLOOKUP($A89,'Data Vlaue (Cr)'!$C:$FB,122)*100</f>
        <v>1.79</v>
      </c>
      <c r="R89" s="75">
        <f>VLOOKUP($A89,'Data Vlaue (Cr)'!$C:$FB,125)</f>
        <v>0.55000000000000004</v>
      </c>
      <c r="S89" s="75">
        <f>VLOOKUP($A89,'Data Vlaue (Cr)'!$C:$FB,128)*100</f>
        <v>-16.669999999999998</v>
      </c>
    </row>
    <row r="90" spans="1:19" x14ac:dyDescent="0.25">
      <c r="A90" s="96" t="str">
        <f>'Data Vlaue (Cr)'!C81</f>
        <v>HDFCLIFE</v>
      </c>
      <c r="B90" s="75">
        <f>VLOOKUP($A90,'Data Vlaue (Cr)'!$C:$FB,2)</f>
        <v>1100</v>
      </c>
      <c r="C90" s="75">
        <f>VLOOKUP($A90,'Data Vlaue (Cr)'!$C:$FB,8)</f>
        <v>616.45000000000005</v>
      </c>
      <c r="D90" s="75">
        <f>VLOOKUP($A90,'Data Vlaue (Cr)'!$C:$FB,4)</f>
        <v>616.29999999999995</v>
      </c>
      <c r="E90" s="75">
        <f>VLOOKUP($A90,'Data Vlaue (Cr)'!$C:$FB,5)</f>
        <v>633.1</v>
      </c>
      <c r="F90" s="75">
        <f t="shared" si="6"/>
        <v>-0.15000000000009095</v>
      </c>
      <c r="G90" s="75">
        <f t="shared" si="7"/>
        <v>-2.7259451565795989</v>
      </c>
      <c r="H90" s="75">
        <f>VLOOKUP($A90,'Data Vlaue (Cr)'!$C:$FB,99)</f>
        <v>4735</v>
      </c>
      <c r="I90" s="75">
        <f>VLOOKUP($A90,'Data Vlaue (Cr)'!$C:$FB,100)</f>
        <v>4262</v>
      </c>
      <c r="J90" s="75">
        <f t="shared" si="8"/>
        <v>473</v>
      </c>
      <c r="K90" s="75">
        <f t="shared" si="9"/>
        <v>9.989440337909187</v>
      </c>
      <c r="L90" s="75">
        <f>VLOOKUP($A90,'Data Vlaue (Cr)'!$C:$FB,67)</f>
        <v>6957</v>
      </c>
      <c r="M90" s="75">
        <f>VLOOKUP($A90,'Data Vlaue (Cr)'!$C:$FB,68)</f>
        <v>3530</v>
      </c>
      <c r="N90" s="75">
        <f t="shared" si="10"/>
        <v>3427</v>
      </c>
      <c r="O90" s="75">
        <f t="shared" si="11"/>
        <v>49.259738392985483</v>
      </c>
      <c r="P90" s="75">
        <f>VLOOKUP($A90,'Data Vlaue (Cr)'!$C:$FB,119)</f>
        <v>0.66</v>
      </c>
      <c r="Q90" s="75">
        <f>VLOOKUP($A90,'Data Vlaue (Cr)'!$C:$FB,122)*100</f>
        <v>-13.16</v>
      </c>
      <c r="R90" s="75">
        <f>VLOOKUP($A90,'Data Vlaue (Cr)'!$C:$FB,125)</f>
        <v>0.69</v>
      </c>
      <c r="S90" s="75">
        <f>VLOOKUP($A90,'Data Vlaue (Cr)'!$C:$FB,128)*100</f>
        <v>0</v>
      </c>
    </row>
    <row r="91" spans="1:19" x14ac:dyDescent="0.25">
      <c r="A91" s="96" t="str">
        <f>'Data Vlaue (Cr)'!C82</f>
        <v>HEROMOTOCO</v>
      </c>
      <c r="B91" s="75">
        <f>VLOOKUP($A91,'Data Vlaue (Cr)'!$C:$FB,2)</f>
        <v>150</v>
      </c>
      <c r="C91" s="75">
        <f>VLOOKUP($A91,'Data Vlaue (Cr)'!$C:$FB,8)</f>
        <v>5230.5</v>
      </c>
      <c r="D91" s="75">
        <f>VLOOKUP($A91,'Data Vlaue (Cr)'!$C:$FB,4)</f>
        <v>5244.5</v>
      </c>
      <c r="E91" s="75">
        <f>VLOOKUP($A91,'Data Vlaue (Cr)'!$C:$FB,5)</f>
        <v>5162.5</v>
      </c>
      <c r="F91" s="75">
        <f t="shared" si="6"/>
        <v>14</v>
      </c>
      <c r="G91" s="75">
        <f t="shared" si="7"/>
        <v>1.5635427590809419</v>
      </c>
      <c r="H91" s="75">
        <f>VLOOKUP($A91,'Data Vlaue (Cr)'!$C:$FB,99)</f>
        <v>4348</v>
      </c>
      <c r="I91" s="75">
        <f>VLOOKUP($A91,'Data Vlaue (Cr)'!$C:$FB,100)</f>
        <v>4556</v>
      </c>
      <c r="J91" s="75">
        <f t="shared" si="8"/>
        <v>-208</v>
      </c>
      <c r="K91" s="75">
        <f t="shared" si="9"/>
        <v>-4.7838086476540944</v>
      </c>
      <c r="L91" s="75">
        <f>VLOOKUP($A91,'Data Vlaue (Cr)'!$C:$FB,67)</f>
        <v>3926</v>
      </c>
      <c r="M91" s="75">
        <f>VLOOKUP($A91,'Data Vlaue (Cr)'!$C:$FB,68)</f>
        <v>4920</v>
      </c>
      <c r="N91" s="75">
        <f t="shared" si="10"/>
        <v>-994</v>
      </c>
      <c r="O91" s="75">
        <f t="shared" si="11"/>
        <v>-25.318390219052471</v>
      </c>
      <c r="P91" s="75">
        <f>VLOOKUP($A91,'Data Vlaue (Cr)'!$C:$FB,119)</f>
        <v>0.6</v>
      </c>
      <c r="Q91" s="75">
        <f>VLOOKUP($A91,'Data Vlaue (Cr)'!$C:$FB,122)*100</f>
        <v>20</v>
      </c>
      <c r="R91" s="75">
        <f>VLOOKUP($A91,'Data Vlaue (Cr)'!$C:$FB,125)</f>
        <v>0.39</v>
      </c>
      <c r="S91" s="75">
        <f>VLOOKUP($A91,'Data Vlaue (Cr)'!$C:$FB,128)*100</f>
        <v>-48</v>
      </c>
    </row>
    <row r="92" spans="1:19" x14ac:dyDescent="0.25">
      <c r="A92" s="96" t="str">
        <f>'Data Vlaue (Cr)'!C83</f>
        <v>HINDALCO</v>
      </c>
      <c r="B92" s="75">
        <f>VLOOKUP($A92,'Data Vlaue (Cr)'!$C:$FB,2)</f>
        <v>700</v>
      </c>
      <c r="C92" s="75">
        <f>VLOOKUP($A92,'Data Vlaue (Cr)'!$C:$FB,8)</f>
        <v>1039</v>
      </c>
      <c r="D92" s="75">
        <f>VLOOKUP($A92,'Data Vlaue (Cr)'!$C:$FB,4)</f>
        <v>1040.95</v>
      </c>
      <c r="E92" s="75">
        <f>VLOOKUP($A92,'Data Vlaue (Cr)'!$C:$FB,5)</f>
        <v>1039.8</v>
      </c>
      <c r="F92" s="75">
        <f t="shared" si="6"/>
        <v>1.9500000000000455</v>
      </c>
      <c r="G92" s="75">
        <f t="shared" si="7"/>
        <v>0.11047600749316402</v>
      </c>
      <c r="H92" s="75">
        <f>VLOOKUP($A92,'Data Vlaue (Cr)'!$C:$FB,99)</f>
        <v>6643</v>
      </c>
      <c r="I92" s="75">
        <f>VLOOKUP($A92,'Data Vlaue (Cr)'!$C:$FB,100)</f>
        <v>6798</v>
      </c>
      <c r="J92" s="75">
        <f t="shared" si="8"/>
        <v>-155</v>
      </c>
      <c r="K92" s="75">
        <f t="shared" si="9"/>
        <v>-2.3332831552009634</v>
      </c>
      <c r="L92" s="75">
        <f>VLOOKUP($A92,'Data Vlaue (Cr)'!$C:$FB,67)</f>
        <v>4306</v>
      </c>
      <c r="M92" s="75">
        <f>VLOOKUP($A92,'Data Vlaue (Cr)'!$C:$FB,68)</f>
        <v>9732</v>
      </c>
      <c r="N92" s="75">
        <f t="shared" si="10"/>
        <v>-5426</v>
      </c>
      <c r="O92" s="75">
        <f t="shared" si="11"/>
        <v>-126.01021830004643</v>
      </c>
      <c r="P92" s="75">
        <f>VLOOKUP($A92,'Data Vlaue (Cr)'!$C:$FB,119)</f>
        <v>0.79</v>
      </c>
      <c r="Q92" s="75">
        <f>VLOOKUP($A92,'Data Vlaue (Cr)'!$C:$FB,122)*100</f>
        <v>-8.14</v>
      </c>
      <c r="R92" s="75">
        <f>VLOOKUP($A92,'Data Vlaue (Cr)'!$C:$FB,125)</f>
        <v>0.78</v>
      </c>
      <c r="S92" s="75">
        <f>VLOOKUP($A92,'Data Vlaue (Cr)'!$C:$FB,128)*100</f>
        <v>52.94</v>
      </c>
    </row>
    <row r="93" spans="1:19" x14ac:dyDescent="0.25">
      <c r="A93" s="96" t="str">
        <f>'Data Vlaue (Cr)'!C84</f>
        <v>HINDPETRO</v>
      </c>
      <c r="B93" s="75">
        <f>VLOOKUP($A93,'Data Vlaue (Cr)'!$C:$FB,2)</f>
        <v>2025</v>
      </c>
      <c r="C93" s="75">
        <f>VLOOKUP($A93,'Data Vlaue (Cr)'!$C:$FB,8)</f>
        <v>370.85</v>
      </c>
      <c r="D93" s="75">
        <f>VLOOKUP($A93,'Data Vlaue (Cr)'!$C:$FB,4)</f>
        <v>372.35</v>
      </c>
      <c r="E93" s="75">
        <f>VLOOKUP($A93,'Data Vlaue (Cr)'!$C:$FB,5)</f>
        <v>370.25</v>
      </c>
      <c r="F93" s="75">
        <f t="shared" si="6"/>
        <v>1.5</v>
      </c>
      <c r="G93" s="75">
        <f t="shared" si="7"/>
        <v>0.5639854975157842</v>
      </c>
      <c r="H93" s="75">
        <f>VLOOKUP($A93,'Data Vlaue (Cr)'!$C:$FB,99)</f>
        <v>2901</v>
      </c>
      <c r="I93" s="75">
        <f>VLOOKUP($A93,'Data Vlaue (Cr)'!$C:$FB,100)</f>
        <v>2897</v>
      </c>
      <c r="J93" s="75">
        <f t="shared" si="8"/>
        <v>4</v>
      </c>
      <c r="K93" s="75">
        <f t="shared" si="9"/>
        <v>0.13788348845225784</v>
      </c>
      <c r="L93" s="75">
        <f>VLOOKUP($A93,'Data Vlaue (Cr)'!$C:$FB,67)</f>
        <v>1408</v>
      </c>
      <c r="M93" s="75">
        <f>VLOOKUP($A93,'Data Vlaue (Cr)'!$C:$FB,68)</f>
        <v>1185</v>
      </c>
      <c r="N93" s="75">
        <f t="shared" si="10"/>
        <v>223</v>
      </c>
      <c r="O93" s="75">
        <f t="shared" si="11"/>
        <v>15.838068181818182</v>
      </c>
      <c r="P93" s="75">
        <f>VLOOKUP($A93,'Data Vlaue (Cr)'!$C:$FB,119)</f>
        <v>0.84</v>
      </c>
      <c r="Q93" s="75">
        <f>VLOOKUP($A93,'Data Vlaue (Cr)'!$C:$FB,122)*100</f>
        <v>-8.6999999999999993</v>
      </c>
      <c r="R93" s="75">
        <f>VLOOKUP($A93,'Data Vlaue (Cr)'!$C:$FB,125)</f>
        <v>0.79</v>
      </c>
      <c r="S93" s="75">
        <f>VLOOKUP($A93,'Data Vlaue (Cr)'!$C:$FB,128)*100</f>
        <v>21.54</v>
      </c>
    </row>
    <row r="94" spans="1:19" x14ac:dyDescent="0.25">
      <c r="A94" s="96" t="str">
        <f>'Data Vlaue (Cr)'!C85</f>
        <v>HINDUNILVR</v>
      </c>
      <c r="B94" s="75">
        <f>VLOOKUP($A94,'Data Vlaue (Cr)'!$C:$FB,2)</f>
        <v>300</v>
      </c>
      <c r="C94" s="75">
        <f>VLOOKUP($A94,'Data Vlaue (Cr)'!$C:$FB,8)</f>
        <v>2240.8000000000002</v>
      </c>
      <c r="D94" s="75">
        <f>VLOOKUP($A94,'Data Vlaue (Cr)'!$C:$FB,4)</f>
        <v>2240.6999999999998</v>
      </c>
      <c r="E94" s="75">
        <f>VLOOKUP($A94,'Data Vlaue (Cr)'!$C:$FB,5)</f>
        <v>2145.1999999999998</v>
      </c>
      <c r="F94" s="75">
        <f t="shared" si="6"/>
        <v>-0.1000000000003638</v>
      </c>
      <c r="G94" s="75">
        <f t="shared" si="7"/>
        <v>4.2620609630918915</v>
      </c>
      <c r="H94" s="75">
        <f>VLOOKUP($A94,'Data Vlaue (Cr)'!$C:$FB,99)</f>
        <v>6717</v>
      </c>
      <c r="I94" s="75">
        <f>VLOOKUP($A94,'Data Vlaue (Cr)'!$C:$FB,100)</f>
        <v>6082</v>
      </c>
      <c r="J94" s="75">
        <f t="shared" si="8"/>
        <v>635</v>
      </c>
      <c r="K94" s="75">
        <f t="shared" si="9"/>
        <v>9.453625130266488</v>
      </c>
      <c r="L94" s="75">
        <f>VLOOKUP($A94,'Data Vlaue (Cr)'!$C:$FB,67)</f>
        <v>13421</v>
      </c>
      <c r="M94" s="75">
        <f>VLOOKUP($A94,'Data Vlaue (Cr)'!$C:$FB,68)</f>
        <v>2030</v>
      </c>
      <c r="N94" s="75">
        <f t="shared" si="10"/>
        <v>11391</v>
      </c>
      <c r="O94" s="75">
        <f t="shared" si="11"/>
        <v>84.874450488041134</v>
      </c>
      <c r="P94" s="75">
        <f>VLOOKUP($A94,'Data Vlaue (Cr)'!$C:$FB,119)</f>
        <v>0.7</v>
      </c>
      <c r="Q94" s="75">
        <f>VLOOKUP($A94,'Data Vlaue (Cr)'!$C:$FB,122)*100</f>
        <v>-6.67</v>
      </c>
      <c r="R94" s="75">
        <f>VLOOKUP($A94,'Data Vlaue (Cr)'!$C:$FB,125)</f>
        <v>0.42</v>
      </c>
      <c r="S94" s="75">
        <f>VLOOKUP($A94,'Data Vlaue (Cr)'!$C:$FB,128)*100</f>
        <v>-19.23</v>
      </c>
    </row>
    <row r="95" spans="1:19" x14ac:dyDescent="0.25">
      <c r="A95" s="96" t="str">
        <f>'Data Vlaue (Cr)'!C86</f>
        <v>HINDZINC</v>
      </c>
      <c r="B95" s="75">
        <f>VLOOKUP($A95,'Data Vlaue (Cr)'!$C:$FB,2)</f>
        <v>1225</v>
      </c>
      <c r="C95" s="75">
        <f>VLOOKUP($A95,'Data Vlaue (Cr)'!$C:$FB,8)</f>
        <v>592.29999999999995</v>
      </c>
      <c r="D95" s="75">
        <f>VLOOKUP($A95,'Data Vlaue (Cr)'!$C:$FB,4)</f>
        <v>593.20000000000005</v>
      </c>
      <c r="E95" s="75">
        <f>VLOOKUP($A95,'Data Vlaue (Cr)'!$C:$FB,5)</f>
        <v>594.29999999999995</v>
      </c>
      <c r="F95" s="75">
        <f t="shared" si="6"/>
        <v>0.90000000000009095</v>
      </c>
      <c r="G95" s="75">
        <f t="shared" si="7"/>
        <v>-0.18543492919755714</v>
      </c>
      <c r="H95" s="75">
        <f>VLOOKUP($A95,'Data Vlaue (Cr)'!$C:$FB,99)</f>
        <v>4402</v>
      </c>
      <c r="I95" s="75">
        <f>VLOOKUP($A95,'Data Vlaue (Cr)'!$C:$FB,100)</f>
        <v>4301</v>
      </c>
      <c r="J95" s="75">
        <f t="shared" si="8"/>
        <v>101</v>
      </c>
      <c r="K95" s="75">
        <f t="shared" si="9"/>
        <v>2.294411631076783</v>
      </c>
      <c r="L95" s="75">
        <f>VLOOKUP($A95,'Data Vlaue (Cr)'!$C:$FB,67)</f>
        <v>1859</v>
      </c>
      <c r="M95" s="75">
        <f>VLOOKUP($A95,'Data Vlaue (Cr)'!$C:$FB,68)</f>
        <v>4843</v>
      </c>
      <c r="N95" s="75">
        <f t="shared" si="10"/>
        <v>-2984</v>
      </c>
      <c r="O95" s="75">
        <f t="shared" si="11"/>
        <v>-160.51640667025282</v>
      </c>
      <c r="P95" s="75">
        <f>VLOOKUP($A95,'Data Vlaue (Cr)'!$C:$FB,119)</f>
        <v>0.8</v>
      </c>
      <c r="Q95" s="75">
        <f>VLOOKUP($A95,'Data Vlaue (Cr)'!$C:$FB,122)*100</f>
        <v>-3.61</v>
      </c>
      <c r="R95" s="75">
        <f>VLOOKUP($A95,'Data Vlaue (Cr)'!$C:$FB,125)</f>
        <v>0.6</v>
      </c>
      <c r="S95" s="75">
        <f>VLOOKUP($A95,'Data Vlaue (Cr)'!$C:$FB,128)*100</f>
        <v>36.36</v>
      </c>
    </row>
    <row r="96" spans="1:19" x14ac:dyDescent="0.25">
      <c r="A96" s="96" t="str">
        <f>'Data Vlaue (Cr)'!C87</f>
        <v>HUDCO</v>
      </c>
      <c r="B96" s="75">
        <f>VLOOKUP($A96,'Data Vlaue (Cr)'!$C:$FB,2)</f>
        <v>2775</v>
      </c>
      <c r="C96" s="75">
        <f>VLOOKUP($A96,'Data Vlaue (Cr)'!$C:$FB,8)</f>
        <v>196.91</v>
      </c>
      <c r="D96" s="75">
        <f>VLOOKUP($A96,'Data Vlaue (Cr)'!$C:$FB,4)</f>
        <v>197.6</v>
      </c>
      <c r="E96" s="75">
        <f>VLOOKUP($A96,'Data Vlaue (Cr)'!$C:$FB,5)</f>
        <v>194.54</v>
      </c>
      <c r="F96" s="75">
        <f t="shared" si="6"/>
        <v>0.68999999999999773</v>
      </c>
      <c r="G96" s="75">
        <f t="shared" si="7"/>
        <v>1.5485829959514181</v>
      </c>
      <c r="H96" s="75">
        <f>VLOOKUP($A96,'Data Vlaue (Cr)'!$C:$FB,99)</f>
        <v>963</v>
      </c>
      <c r="I96" s="75">
        <f>VLOOKUP($A96,'Data Vlaue (Cr)'!$C:$FB,100)</f>
        <v>981</v>
      </c>
      <c r="J96" s="75">
        <f t="shared" si="8"/>
        <v>-18</v>
      </c>
      <c r="K96" s="75">
        <f t="shared" si="9"/>
        <v>-1.8691588785046727</v>
      </c>
      <c r="L96" s="75">
        <f>VLOOKUP($A96,'Data Vlaue (Cr)'!$C:$FB,67)</f>
        <v>901</v>
      </c>
      <c r="M96" s="75">
        <f>VLOOKUP($A96,'Data Vlaue (Cr)'!$C:$FB,68)</f>
        <v>863</v>
      </c>
      <c r="N96" s="75">
        <f t="shared" si="10"/>
        <v>38</v>
      </c>
      <c r="O96" s="75">
        <f t="shared" si="11"/>
        <v>4.2175360710321863</v>
      </c>
      <c r="P96" s="75">
        <f>VLOOKUP($A96,'Data Vlaue (Cr)'!$C:$FB,119)</f>
        <v>0.89</v>
      </c>
      <c r="Q96" s="75">
        <f>VLOOKUP($A96,'Data Vlaue (Cr)'!$C:$FB,122)*100</f>
        <v>11.25</v>
      </c>
      <c r="R96" s="75">
        <f>VLOOKUP($A96,'Data Vlaue (Cr)'!$C:$FB,125)</f>
        <v>0.56999999999999995</v>
      </c>
      <c r="S96" s="75">
        <f>VLOOKUP($A96,'Data Vlaue (Cr)'!$C:$FB,128)*100</f>
        <v>42.5</v>
      </c>
    </row>
    <row r="97" spans="1:19" x14ac:dyDescent="0.25">
      <c r="A97" s="96" t="str">
        <f>'Data Vlaue (Cr)'!C88</f>
        <v>HYUNDAI</v>
      </c>
      <c r="B97" s="75">
        <f>VLOOKUP($A97,'Data Vlaue (Cr)'!$C:$FB,2)</f>
        <v>275</v>
      </c>
      <c r="C97" s="75">
        <f>VLOOKUP($A97,'Data Vlaue (Cr)'!$C:$FB,8)</f>
        <v>1902.8</v>
      </c>
      <c r="D97" s="75">
        <f>VLOOKUP($A97,'Data Vlaue (Cr)'!$C:$FB,4)</f>
        <v>1869.4</v>
      </c>
      <c r="E97" s="75">
        <f>VLOOKUP($A97,'Data Vlaue (Cr)'!$C:$FB,5)</f>
        <v>1854.5</v>
      </c>
      <c r="F97" s="75">
        <f t="shared" si="6"/>
        <v>-33.399999999999864</v>
      </c>
      <c r="G97" s="75">
        <f t="shared" si="7"/>
        <v>0.79704718091366689</v>
      </c>
      <c r="H97" s="75">
        <f>VLOOKUP($A97,'Data Vlaue (Cr)'!$C:$FB,99)</f>
        <v>1852</v>
      </c>
      <c r="I97" s="75">
        <f>VLOOKUP($A97,'Data Vlaue (Cr)'!$C:$FB,100)</f>
        <v>1826</v>
      </c>
      <c r="J97" s="75">
        <f t="shared" si="8"/>
        <v>26</v>
      </c>
      <c r="K97" s="75">
        <f t="shared" si="9"/>
        <v>1.4038876889848813</v>
      </c>
      <c r="L97" s="75">
        <f>VLOOKUP($A97,'Data Vlaue (Cr)'!$C:$FB,67)</f>
        <v>1338</v>
      </c>
      <c r="M97" s="75">
        <f>VLOOKUP($A97,'Data Vlaue (Cr)'!$C:$FB,68)</f>
        <v>1707</v>
      </c>
      <c r="N97" s="75">
        <f t="shared" si="10"/>
        <v>-369</v>
      </c>
      <c r="O97" s="75">
        <f t="shared" si="11"/>
        <v>-27.578475336322871</v>
      </c>
      <c r="P97" s="75">
        <f>VLOOKUP($A97,'Data Vlaue (Cr)'!$C:$FB,119)</f>
        <v>0.66</v>
      </c>
      <c r="Q97" s="75">
        <f>VLOOKUP($A97,'Data Vlaue (Cr)'!$C:$FB,122)*100</f>
        <v>29.409999999999997</v>
      </c>
      <c r="R97" s="75">
        <f>VLOOKUP($A97,'Data Vlaue (Cr)'!$C:$FB,125)</f>
        <v>0.24</v>
      </c>
      <c r="S97" s="75">
        <f>VLOOKUP($A97,'Data Vlaue (Cr)'!$C:$FB,128)*100</f>
        <v>9.09</v>
      </c>
    </row>
    <row r="98" spans="1:19" x14ac:dyDescent="0.25">
      <c r="A98" s="96" t="str">
        <f>'Data Vlaue (Cr)'!C89</f>
        <v>ICICIBANK</v>
      </c>
      <c r="B98" s="75">
        <f>VLOOKUP($A98,'Data Vlaue (Cr)'!$C:$FB,2)</f>
        <v>700</v>
      </c>
      <c r="C98" s="75">
        <f>VLOOKUP($A98,'Data Vlaue (Cr)'!$C:$FB,8)</f>
        <v>1346.8</v>
      </c>
      <c r="D98" s="75">
        <f>VLOOKUP($A98,'Data Vlaue (Cr)'!$C:$FB,4)</f>
        <v>1351.6</v>
      </c>
      <c r="E98" s="75">
        <f>VLOOKUP($A98,'Data Vlaue (Cr)'!$C:$FB,5)</f>
        <v>1348.1</v>
      </c>
      <c r="F98" s="75">
        <f t="shared" si="6"/>
        <v>4.7999999999999545</v>
      </c>
      <c r="G98" s="75">
        <f t="shared" si="7"/>
        <v>0.25895235276709083</v>
      </c>
      <c r="H98" s="75">
        <f>VLOOKUP($A98,'Data Vlaue (Cr)'!$C:$FB,99)</f>
        <v>23226</v>
      </c>
      <c r="I98" s="75">
        <f>VLOOKUP($A98,'Data Vlaue (Cr)'!$C:$FB,100)</f>
        <v>21533</v>
      </c>
      <c r="J98" s="75">
        <f t="shared" si="8"/>
        <v>1693</v>
      </c>
      <c r="K98" s="75">
        <f t="shared" si="9"/>
        <v>7.28924481184879</v>
      </c>
      <c r="L98" s="75">
        <f>VLOOKUP($A98,'Data Vlaue (Cr)'!$C:$FB,67)</f>
        <v>15776</v>
      </c>
      <c r="M98" s="75">
        <f>VLOOKUP($A98,'Data Vlaue (Cr)'!$C:$FB,68)</f>
        <v>12274</v>
      </c>
      <c r="N98" s="75">
        <f t="shared" si="10"/>
        <v>3502</v>
      </c>
      <c r="O98" s="75">
        <f t="shared" si="11"/>
        <v>22.198275862068968</v>
      </c>
      <c r="P98" s="75">
        <f>VLOOKUP($A98,'Data Vlaue (Cr)'!$C:$FB,119)</f>
        <v>0.83</v>
      </c>
      <c r="Q98" s="75">
        <f>VLOOKUP($A98,'Data Vlaue (Cr)'!$C:$FB,122)*100</f>
        <v>2.4699999999999998</v>
      </c>
      <c r="R98" s="75">
        <f>VLOOKUP($A98,'Data Vlaue (Cr)'!$C:$FB,125)</f>
        <v>0.68</v>
      </c>
      <c r="S98" s="75">
        <f>VLOOKUP($A98,'Data Vlaue (Cr)'!$C:$FB,128)*100</f>
        <v>11.48</v>
      </c>
    </row>
    <row r="99" spans="1:19" x14ac:dyDescent="0.25">
      <c r="A99" s="96" t="str">
        <f>'Data Vlaue (Cr)'!C90</f>
        <v>ICICIGI</v>
      </c>
      <c r="B99" s="75">
        <f>VLOOKUP($A99,'Data Vlaue (Cr)'!$C:$FB,2)</f>
        <v>325</v>
      </c>
      <c r="C99" s="75">
        <f>VLOOKUP($A99,'Data Vlaue (Cr)'!$C:$FB,8)</f>
        <v>1891.6</v>
      </c>
      <c r="D99" s="75">
        <f>VLOOKUP($A99,'Data Vlaue (Cr)'!$C:$FB,4)</f>
        <v>1890.9</v>
      </c>
      <c r="E99" s="75">
        <f>VLOOKUP($A99,'Data Vlaue (Cr)'!$C:$FB,5)</f>
        <v>1886.2</v>
      </c>
      <c r="F99" s="75">
        <f t="shared" si="6"/>
        <v>-0.6999999999998181</v>
      </c>
      <c r="G99" s="75">
        <f t="shared" si="7"/>
        <v>0.24855888730234521</v>
      </c>
      <c r="H99" s="75">
        <f>VLOOKUP($A99,'Data Vlaue (Cr)'!$C:$FB,99)</f>
        <v>1589</v>
      </c>
      <c r="I99" s="75">
        <f>VLOOKUP($A99,'Data Vlaue (Cr)'!$C:$FB,100)</f>
        <v>1673</v>
      </c>
      <c r="J99" s="75">
        <f t="shared" si="8"/>
        <v>-84</v>
      </c>
      <c r="K99" s="75">
        <f t="shared" si="9"/>
        <v>-5.286343612334802</v>
      </c>
      <c r="L99" s="75">
        <f>VLOOKUP($A99,'Data Vlaue (Cr)'!$C:$FB,67)</f>
        <v>924</v>
      </c>
      <c r="M99" s="75">
        <f>VLOOKUP($A99,'Data Vlaue (Cr)'!$C:$FB,68)</f>
        <v>4460</v>
      </c>
      <c r="N99" s="75">
        <f t="shared" si="10"/>
        <v>-3536</v>
      </c>
      <c r="O99" s="75">
        <f t="shared" si="11"/>
        <v>-382.68398268398272</v>
      </c>
      <c r="P99" s="75">
        <f>VLOOKUP($A99,'Data Vlaue (Cr)'!$C:$FB,119)</f>
        <v>0.88</v>
      </c>
      <c r="Q99" s="75">
        <f>VLOOKUP($A99,'Data Vlaue (Cr)'!$C:$FB,122)*100</f>
        <v>-4.3499999999999996</v>
      </c>
      <c r="R99" s="75">
        <f>VLOOKUP($A99,'Data Vlaue (Cr)'!$C:$FB,125)</f>
        <v>0.65</v>
      </c>
      <c r="S99" s="75">
        <f>VLOOKUP($A99,'Data Vlaue (Cr)'!$C:$FB,128)*100</f>
        <v>20.369999999999997</v>
      </c>
    </row>
    <row r="100" spans="1:19" x14ac:dyDescent="0.25">
      <c r="A100" s="96" t="str">
        <f>'Data Vlaue (Cr)'!C91</f>
        <v>ICICIPRULI</v>
      </c>
      <c r="B100" s="75">
        <f>VLOOKUP($A100,'Data Vlaue (Cr)'!$C:$FB,2)</f>
        <v>925</v>
      </c>
      <c r="C100" s="75">
        <f>VLOOKUP($A100,'Data Vlaue (Cr)'!$C:$FB,8)</f>
        <v>562</v>
      </c>
      <c r="D100" s="75">
        <f>VLOOKUP($A100,'Data Vlaue (Cr)'!$C:$FB,4)</f>
        <v>562.75</v>
      </c>
      <c r="E100" s="75">
        <f>VLOOKUP($A100,'Data Vlaue (Cr)'!$C:$FB,5)</f>
        <v>560</v>
      </c>
      <c r="F100" s="75">
        <f t="shared" si="6"/>
        <v>0.75</v>
      </c>
      <c r="G100" s="75">
        <f t="shared" si="7"/>
        <v>0.48867170146601513</v>
      </c>
      <c r="H100" s="75">
        <f>VLOOKUP($A100,'Data Vlaue (Cr)'!$C:$FB,99)</f>
        <v>1834</v>
      </c>
      <c r="I100" s="75">
        <f>VLOOKUP($A100,'Data Vlaue (Cr)'!$C:$FB,100)</f>
        <v>1771</v>
      </c>
      <c r="J100" s="75">
        <f t="shared" si="8"/>
        <v>63</v>
      </c>
      <c r="K100" s="75">
        <f t="shared" si="9"/>
        <v>3.4351145038167941</v>
      </c>
      <c r="L100" s="75">
        <f>VLOOKUP($A100,'Data Vlaue (Cr)'!$C:$FB,67)</f>
        <v>1025</v>
      </c>
      <c r="M100" s="75">
        <f>VLOOKUP($A100,'Data Vlaue (Cr)'!$C:$FB,68)</f>
        <v>982</v>
      </c>
      <c r="N100" s="75">
        <f t="shared" si="10"/>
        <v>43</v>
      </c>
      <c r="O100" s="75">
        <f t="shared" si="11"/>
        <v>4.1951219512195124</v>
      </c>
      <c r="P100" s="75">
        <f>VLOOKUP($A100,'Data Vlaue (Cr)'!$C:$FB,119)</f>
        <v>0.71</v>
      </c>
      <c r="Q100" s="75">
        <f>VLOOKUP($A100,'Data Vlaue (Cr)'!$C:$FB,122)*100</f>
        <v>7.580000000000001</v>
      </c>
      <c r="R100" s="75">
        <f>VLOOKUP($A100,'Data Vlaue (Cr)'!$C:$FB,125)</f>
        <v>0.55000000000000004</v>
      </c>
      <c r="S100" s="75">
        <f>VLOOKUP($A100,'Data Vlaue (Cr)'!$C:$FB,128)*100</f>
        <v>44.74</v>
      </c>
    </row>
    <row r="101" spans="1:19" x14ac:dyDescent="0.25">
      <c r="A101" s="96" t="str">
        <f>'Data Vlaue (Cr)'!C92</f>
        <v>IDEA</v>
      </c>
      <c r="B101" s="75">
        <f>VLOOKUP($A101,'Data Vlaue (Cr)'!$C:$FB,2)</f>
        <v>71475</v>
      </c>
      <c r="C101" s="75">
        <f>VLOOKUP($A101,'Data Vlaue (Cr)'!$C:$FB,8)</f>
        <v>9.61</v>
      </c>
      <c r="D101" s="75">
        <f>VLOOKUP($A101,'Data Vlaue (Cr)'!$C:$FB,4)</f>
        <v>9.61</v>
      </c>
      <c r="E101" s="75">
        <f>VLOOKUP($A101,'Data Vlaue (Cr)'!$C:$FB,5)</f>
        <v>9.5299999999999994</v>
      </c>
      <c r="F101" s="75">
        <f t="shared" si="6"/>
        <v>0</v>
      </c>
      <c r="G101" s="75">
        <f t="shared" si="7"/>
        <v>0.83246618106139514</v>
      </c>
      <c r="H101" s="75">
        <f>VLOOKUP($A101,'Data Vlaue (Cr)'!$C:$FB,99)</f>
        <v>8415</v>
      </c>
      <c r="I101" s="75">
        <f>VLOOKUP($A101,'Data Vlaue (Cr)'!$C:$FB,100)</f>
        <v>8414</v>
      </c>
      <c r="J101" s="75">
        <f t="shared" si="8"/>
        <v>1</v>
      </c>
      <c r="K101" s="75">
        <f t="shared" si="9"/>
        <v>1.1883541295306001E-2</v>
      </c>
      <c r="L101" s="75">
        <f>VLOOKUP($A101,'Data Vlaue (Cr)'!$C:$FB,67)</f>
        <v>1896</v>
      </c>
      <c r="M101" s="75">
        <f>VLOOKUP($A101,'Data Vlaue (Cr)'!$C:$FB,68)</f>
        <v>1701</v>
      </c>
      <c r="N101" s="75">
        <f t="shared" si="10"/>
        <v>195</v>
      </c>
      <c r="O101" s="75">
        <f t="shared" si="11"/>
        <v>10.284810126582279</v>
      </c>
      <c r="P101" s="75">
        <f>VLOOKUP($A101,'Data Vlaue (Cr)'!$C:$FB,119)</f>
        <v>0.52</v>
      </c>
      <c r="Q101" s="75">
        <f>VLOOKUP($A101,'Data Vlaue (Cr)'!$C:$FB,122)*100</f>
        <v>-1.8900000000000001</v>
      </c>
      <c r="R101" s="75">
        <f>VLOOKUP($A101,'Data Vlaue (Cr)'!$C:$FB,125)</f>
        <v>0.38</v>
      </c>
      <c r="S101" s="75">
        <f>VLOOKUP($A101,'Data Vlaue (Cr)'!$C:$FB,128)*100</f>
        <v>5.56</v>
      </c>
    </row>
    <row r="102" spans="1:19" x14ac:dyDescent="0.25">
      <c r="A102" s="96" t="str">
        <f>'Data Vlaue (Cr)'!C93</f>
        <v>IDFCFIRSTB</v>
      </c>
      <c r="B102" s="75">
        <f>VLOOKUP($A102,'Data Vlaue (Cr)'!$C:$FB,2)</f>
        <v>9275</v>
      </c>
      <c r="C102" s="75">
        <f>VLOOKUP($A102,'Data Vlaue (Cr)'!$C:$FB,8)</f>
        <v>68.53</v>
      </c>
      <c r="D102" s="75">
        <f>VLOOKUP($A102,'Data Vlaue (Cr)'!$C:$FB,4)</f>
        <v>68.55</v>
      </c>
      <c r="E102" s="75">
        <f>VLOOKUP($A102,'Data Vlaue (Cr)'!$C:$FB,5)</f>
        <v>67.89</v>
      </c>
      <c r="F102" s="75">
        <f t="shared" si="6"/>
        <v>1.9999999999996021E-2</v>
      </c>
      <c r="G102" s="75">
        <f t="shared" si="7"/>
        <v>0.96280087527351799</v>
      </c>
      <c r="H102" s="75">
        <f>VLOOKUP($A102,'Data Vlaue (Cr)'!$C:$FB,99)</f>
        <v>4463</v>
      </c>
      <c r="I102" s="75">
        <f>VLOOKUP($A102,'Data Vlaue (Cr)'!$C:$FB,100)</f>
        <v>4464</v>
      </c>
      <c r="J102" s="75">
        <f t="shared" si="8"/>
        <v>-1</v>
      </c>
      <c r="K102" s="75">
        <f t="shared" si="9"/>
        <v>-2.2406453058480841E-2</v>
      </c>
      <c r="L102" s="75">
        <f>VLOOKUP($A102,'Data Vlaue (Cr)'!$C:$FB,67)</f>
        <v>1478</v>
      </c>
      <c r="M102" s="75">
        <f>VLOOKUP($A102,'Data Vlaue (Cr)'!$C:$FB,68)</f>
        <v>2026</v>
      </c>
      <c r="N102" s="75">
        <f t="shared" si="10"/>
        <v>-548</v>
      </c>
      <c r="O102" s="75">
        <f t="shared" si="11"/>
        <v>-37.077131258457371</v>
      </c>
      <c r="P102" s="75">
        <f>VLOOKUP($A102,'Data Vlaue (Cr)'!$C:$FB,119)</f>
        <v>0.93</v>
      </c>
      <c r="Q102" s="75">
        <f>VLOOKUP($A102,'Data Vlaue (Cr)'!$C:$FB,122)*100</f>
        <v>0</v>
      </c>
      <c r="R102" s="75">
        <f>VLOOKUP($A102,'Data Vlaue (Cr)'!$C:$FB,125)</f>
        <v>0.88</v>
      </c>
      <c r="S102" s="75">
        <f>VLOOKUP($A102,'Data Vlaue (Cr)'!$C:$FB,128)*100</f>
        <v>8.64</v>
      </c>
    </row>
    <row r="103" spans="1:19" x14ac:dyDescent="0.25">
      <c r="A103" s="96" t="str">
        <f>'Data Vlaue (Cr)'!C94</f>
        <v>IEX</v>
      </c>
      <c r="B103" s="75">
        <f>VLOOKUP($A103,'Data Vlaue (Cr)'!$C:$FB,2)</f>
        <v>3750</v>
      </c>
      <c r="C103" s="75">
        <f>VLOOKUP($A103,'Data Vlaue (Cr)'!$C:$FB,8)</f>
        <v>135.81</v>
      </c>
      <c r="D103" s="75">
        <f>VLOOKUP($A103,'Data Vlaue (Cr)'!$C:$FB,4)</f>
        <v>135.82</v>
      </c>
      <c r="E103" s="75">
        <f>VLOOKUP($A103,'Data Vlaue (Cr)'!$C:$FB,5)</f>
        <v>134.9</v>
      </c>
      <c r="F103" s="75">
        <f t="shared" si="6"/>
        <v>9.9999999999909051E-3</v>
      </c>
      <c r="G103" s="75">
        <f t="shared" si="7"/>
        <v>0.6773671035193547</v>
      </c>
      <c r="H103" s="75">
        <f>VLOOKUP($A103,'Data Vlaue (Cr)'!$C:$FB,99)</f>
        <v>1880</v>
      </c>
      <c r="I103" s="75">
        <f>VLOOKUP($A103,'Data Vlaue (Cr)'!$C:$FB,100)</f>
        <v>1934</v>
      </c>
      <c r="J103" s="75">
        <f t="shared" si="8"/>
        <v>-54</v>
      </c>
      <c r="K103" s="75">
        <f t="shared" si="9"/>
        <v>-2.8723404255319149</v>
      </c>
      <c r="L103" s="75">
        <f>VLOOKUP($A103,'Data Vlaue (Cr)'!$C:$FB,67)</f>
        <v>892</v>
      </c>
      <c r="M103" s="75">
        <f>VLOOKUP($A103,'Data Vlaue (Cr)'!$C:$FB,68)</f>
        <v>661</v>
      </c>
      <c r="N103" s="75">
        <f t="shared" si="10"/>
        <v>231</v>
      </c>
      <c r="O103" s="75">
        <f t="shared" si="11"/>
        <v>25.89686098654709</v>
      </c>
      <c r="P103" s="75">
        <f>VLOOKUP($A103,'Data Vlaue (Cr)'!$C:$FB,119)</f>
        <v>0.93</v>
      </c>
      <c r="Q103" s="75">
        <f>VLOOKUP($A103,'Data Vlaue (Cr)'!$C:$FB,122)*100</f>
        <v>12.049999999999999</v>
      </c>
      <c r="R103" s="75">
        <f>VLOOKUP($A103,'Data Vlaue (Cr)'!$C:$FB,125)</f>
        <v>0.44</v>
      </c>
      <c r="S103" s="75">
        <f>VLOOKUP($A103,'Data Vlaue (Cr)'!$C:$FB,128)*100</f>
        <v>-24.14</v>
      </c>
    </row>
    <row r="104" spans="1:19" x14ac:dyDescent="0.25">
      <c r="A104" s="96" t="str">
        <f>'Data Vlaue (Cr)'!C95</f>
        <v>INDHOTEL</v>
      </c>
      <c r="B104" s="75">
        <f>VLOOKUP($A104,'Data Vlaue (Cr)'!$C:$FB,2)</f>
        <v>1000</v>
      </c>
      <c r="C104" s="75">
        <f>VLOOKUP($A104,'Data Vlaue (Cr)'!$C:$FB,8)</f>
        <v>659.3</v>
      </c>
      <c r="D104" s="75">
        <f>VLOOKUP($A104,'Data Vlaue (Cr)'!$C:$FB,4)</f>
        <v>659.55</v>
      </c>
      <c r="E104" s="75">
        <f>VLOOKUP($A104,'Data Vlaue (Cr)'!$C:$FB,5)</f>
        <v>653.04999999999995</v>
      </c>
      <c r="F104" s="75">
        <f t="shared" si="6"/>
        <v>0.25</v>
      </c>
      <c r="G104" s="75">
        <f t="shared" si="7"/>
        <v>0.98552043059661898</v>
      </c>
      <c r="H104" s="75">
        <f>VLOOKUP($A104,'Data Vlaue (Cr)'!$C:$FB,99)</f>
        <v>2250</v>
      </c>
      <c r="I104" s="75">
        <f>VLOOKUP($A104,'Data Vlaue (Cr)'!$C:$FB,100)</f>
        <v>2249</v>
      </c>
      <c r="J104" s="75">
        <f t="shared" si="8"/>
        <v>1</v>
      </c>
      <c r="K104" s="75">
        <f t="shared" si="9"/>
        <v>4.4444444444444446E-2</v>
      </c>
      <c r="L104" s="75">
        <f>VLOOKUP($A104,'Data Vlaue (Cr)'!$C:$FB,67)</f>
        <v>998</v>
      </c>
      <c r="M104" s="75">
        <f>VLOOKUP($A104,'Data Vlaue (Cr)'!$C:$FB,68)</f>
        <v>1143</v>
      </c>
      <c r="N104" s="75">
        <f t="shared" si="10"/>
        <v>-145</v>
      </c>
      <c r="O104" s="75">
        <f t="shared" si="11"/>
        <v>-14.529058116232466</v>
      </c>
      <c r="P104" s="75">
        <f>VLOOKUP($A104,'Data Vlaue (Cr)'!$C:$FB,119)</f>
        <v>0.97</v>
      </c>
      <c r="Q104" s="75">
        <f>VLOOKUP($A104,'Data Vlaue (Cr)'!$C:$FB,122)*100</f>
        <v>-4.9000000000000004</v>
      </c>
      <c r="R104" s="75">
        <f>VLOOKUP($A104,'Data Vlaue (Cr)'!$C:$FB,125)</f>
        <v>0.68</v>
      </c>
      <c r="S104" s="75">
        <f>VLOOKUP($A104,'Data Vlaue (Cr)'!$C:$FB,128)*100</f>
        <v>54.55</v>
      </c>
    </row>
    <row r="105" spans="1:19" x14ac:dyDescent="0.25">
      <c r="A105" s="96" t="str">
        <f>'Data Vlaue (Cr)'!C96</f>
        <v>INDIANB</v>
      </c>
      <c r="B105" s="75">
        <f>VLOOKUP($A105,'Data Vlaue (Cr)'!$C:$FB,2)</f>
        <v>1000</v>
      </c>
      <c r="C105" s="75">
        <f>VLOOKUP($A105,'Data Vlaue (Cr)'!$C:$FB,8)</f>
        <v>939.45</v>
      </c>
      <c r="D105" s="75">
        <f>VLOOKUP($A105,'Data Vlaue (Cr)'!$C:$FB,4)</f>
        <v>942.25</v>
      </c>
      <c r="E105" s="75">
        <f>VLOOKUP($A105,'Data Vlaue (Cr)'!$C:$FB,5)</f>
        <v>943.6</v>
      </c>
      <c r="F105" s="75">
        <f t="shared" si="6"/>
        <v>2.7999999999999545</v>
      </c>
      <c r="G105" s="75">
        <f t="shared" si="7"/>
        <v>-0.1432740780047782</v>
      </c>
      <c r="H105" s="75">
        <f>VLOOKUP($A105,'Data Vlaue (Cr)'!$C:$FB,99)</f>
        <v>1848</v>
      </c>
      <c r="I105" s="75">
        <f>VLOOKUP($A105,'Data Vlaue (Cr)'!$C:$FB,100)</f>
        <v>1857</v>
      </c>
      <c r="J105" s="75">
        <f t="shared" si="8"/>
        <v>-9</v>
      </c>
      <c r="K105" s="75">
        <f t="shared" si="9"/>
        <v>-0.48701298701298701</v>
      </c>
      <c r="L105" s="75">
        <f>VLOOKUP($A105,'Data Vlaue (Cr)'!$C:$FB,67)</f>
        <v>930</v>
      </c>
      <c r="M105" s="75">
        <f>VLOOKUP($A105,'Data Vlaue (Cr)'!$C:$FB,68)</f>
        <v>1499</v>
      </c>
      <c r="N105" s="75">
        <f t="shared" si="10"/>
        <v>-569</v>
      </c>
      <c r="O105" s="75">
        <f t="shared" si="11"/>
        <v>-61.182795698924728</v>
      </c>
      <c r="P105" s="75">
        <f>VLOOKUP($A105,'Data Vlaue (Cr)'!$C:$FB,119)</f>
        <v>0.53</v>
      </c>
      <c r="Q105" s="75">
        <f>VLOOKUP($A105,'Data Vlaue (Cr)'!$C:$FB,122)*100</f>
        <v>1.92</v>
      </c>
      <c r="R105" s="75">
        <f>VLOOKUP($A105,'Data Vlaue (Cr)'!$C:$FB,125)</f>
        <v>0.35</v>
      </c>
      <c r="S105" s="75">
        <f>VLOOKUP($A105,'Data Vlaue (Cr)'!$C:$FB,128)*100</f>
        <v>-12.5</v>
      </c>
    </row>
    <row r="106" spans="1:19" x14ac:dyDescent="0.25">
      <c r="A106" s="96" t="str">
        <f>'Data Vlaue (Cr)'!C97</f>
        <v>INDIAVIX</v>
      </c>
      <c r="B106" s="75">
        <f>VLOOKUP($A106,'Data Vlaue (Cr)'!$C:$FB,2)</f>
        <v>1</v>
      </c>
      <c r="C106" s="75">
        <f>VLOOKUP($A106,'Data Vlaue (Cr)'!$C:$FB,8)</f>
        <v>17.2</v>
      </c>
      <c r="D106" s="75">
        <f>VLOOKUP($A106,'Data Vlaue (Cr)'!$C:$FB,4)</f>
        <v>17.2</v>
      </c>
      <c r="E106" s="75">
        <f>VLOOKUP($A106,'Data Vlaue (Cr)'!$C:$FB,5)</f>
        <v>18.09</v>
      </c>
      <c r="F106" s="75">
        <f t="shared" si="6"/>
        <v>0</v>
      </c>
      <c r="G106" s="75">
        <f t="shared" si="7"/>
        <v>-5.1744186046511658</v>
      </c>
      <c r="H106" s="75">
        <f>VLOOKUP($A106,'Data Vlaue (Cr)'!$C:$FB,99)</f>
        <v>0</v>
      </c>
      <c r="I106" s="75">
        <f>VLOOKUP($A106,'Data Vlaue (Cr)'!$C:$FB,100)</f>
        <v>0</v>
      </c>
      <c r="J106" s="75">
        <f t="shared" si="8"/>
        <v>0</v>
      </c>
      <c r="K106" s="75" t="e">
        <f t="shared" si="9"/>
        <v>#DIV/0!</v>
      </c>
      <c r="L106" s="75">
        <f>VLOOKUP($A106,'Data Vlaue (Cr)'!$C:$FB,67)</f>
        <v>0</v>
      </c>
      <c r="M106" s="75">
        <f>VLOOKUP($A106,'Data Vlaue (Cr)'!$C:$FB,68)</f>
        <v>0</v>
      </c>
      <c r="N106" s="75">
        <f t="shared" si="10"/>
        <v>0</v>
      </c>
      <c r="O106" s="75" t="e">
        <f t="shared" si="11"/>
        <v>#DIV/0!</v>
      </c>
      <c r="P106" s="75">
        <f>VLOOKUP($A106,'Data Vlaue (Cr)'!$C:$FB,119)</f>
        <v>0</v>
      </c>
      <c r="Q106" s="75">
        <f>VLOOKUP($A106,'Data Vlaue (Cr)'!$C:$FB,122)*100</f>
        <v>0</v>
      </c>
      <c r="R106" s="75">
        <f>VLOOKUP($A106,'Data Vlaue (Cr)'!$C:$FB,125)</f>
        <v>0</v>
      </c>
      <c r="S106" s="75">
        <f>VLOOKUP($A106,'Data Vlaue (Cr)'!$C:$FB,128)*100</f>
        <v>0</v>
      </c>
    </row>
    <row r="107" spans="1:19" x14ac:dyDescent="0.25">
      <c r="A107" s="96" t="str">
        <f>'Data Vlaue (Cr)'!C98</f>
        <v>INDIGO</v>
      </c>
      <c r="B107" s="75">
        <f>VLOOKUP($A107,'Data Vlaue (Cr)'!$C:$FB,2)</f>
        <v>150</v>
      </c>
      <c r="C107" s="75">
        <f>VLOOKUP($A107,'Data Vlaue (Cr)'!$C:$FB,8)</f>
        <v>4638.3999999999996</v>
      </c>
      <c r="D107" s="75">
        <f>VLOOKUP($A107,'Data Vlaue (Cr)'!$C:$FB,4)</f>
        <v>4647.8999999999996</v>
      </c>
      <c r="E107" s="75">
        <f>VLOOKUP($A107,'Data Vlaue (Cr)'!$C:$FB,5)</f>
        <v>4624.2</v>
      </c>
      <c r="F107" s="75">
        <f t="shared" si="6"/>
        <v>9.5</v>
      </c>
      <c r="G107" s="75">
        <f t="shared" si="7"/>
        <v>0.50990770025172272</v>
      </c>
      <c r="H107" s="75">
        <f>VLOOKUP($A107,'Data Vlaue (Cr)'!$C:$FB,99)</f>
        <v>8214</v>
      </c>
      <c r="I107" s="75">
        <f>VLOOKUP($A107,'Data Vlaue (Cr)'!$C:$FB,100)</f>
        <v>8168</v>
      </c>
      <c r="J107" s="75">
        <f t="shared" si="8"/>
        <v>46</v>
      </c>
      <c r="K107" s="75">
        <f t="shared" si="9"/>
        <v>0.56001947893839787</v>
      </c>
      <c r="L107" s="75">
        <f>VLOOKUP($A107,'Data Vlaue (Cr)'!$C:$FB,67)</f>
        <v>4157</v>
      </c>
      <c r="M107" s="75">
        <f>VLOOKUP($A107,'Data Vlaue (Cr)'!$C:$FB,68)</f>
        <v>4833</v>
      </c>
      <c r="N107" s="75">
        <f t="shared" si="10"/>
        <v>-676</v>
      </c>
      <c r="O107" s="75">
        <f t="shared" si="11"/>
        <v>-16.261727207120519</v>
      </c>
      <c r="P107" s="75">
        <f>VLOOKUP($A107,'Data Vlaue (Cr)'!$C:$FB,119)</f>
        <v>0.69</v>
      </c>
      <c r="Q107" s="75">
        <f>VLOOKUP($A107,'Data Vlaue (Cr)'!$C:$FB,122)*100</f>
        <v>-1.43</v>
      </c>
      <c r="R107" s="75">
        <f>VLOOKUP($A107,'Data Vlaue (Cr)'!$C:$FB,125)</f>
        <v>0.89</v>
      </c>
      <c r="S107" s="75">
        <f>VLOOKUP($A107,'Data Vlaue (Cr)'!$C:$FB,128)*100</f>
        <v>9.879999999999999</v>
      </c>
    </row>
    <row r="108" spans="1:19" x14ac:dyDescent="0.25">
      <c r="A108" s="96" t="str">
        <f>'Data Vlaue (Cr)'!C99</f>
        <v>INDUSINDBK</v>
      </c>
      <c r="B108" s="75">
        <f>VLOOKUP($A108,'Data Vlaue (Cr)'!$C:$FB,2)</f>
        <v>700</v>
      </c>
      <c r="C108" s="75">
        <f>VLOOKUP($A108,'Data Vlaue (Cr)'!$C:$FB,8)</f>
        <v>853.9</v>
      </c>
      <c r="D108" s="75">
        <f>VLOOKUP($A108,'Data Vlaue (Cr)'!$C:$FB,4)</f>
        <v>852.35</v>
      </c>
      <c r="E108" s="75">
        <f>VLOOKUP($A108,'Data Vlaue (Cr)'!$C:$FB,5)</f>
        <v>849.55</v>
      </c>
      <c r="F108" s="75">
        <f t="shared" si="6"/>
        <v>-1.5499999999999545</v>
      </c>
      <c r="G108" s="75">
        <f t="shared" si="7"/>
        <v>0.32850354901156431</v>
      </c>
      <c r="H108" s="75">
        <f>VLOOKUP($A108,'Data Vlaue (Cr)'!$C:$FB,99)</f>
        <v>4492</v>
      </c>
      <c r="I108" s="75">
        <f>VLOOKUP($A108,'Data Vlaue (Cr)'!$C:$FB,100)</f>
        <v>4427</v>
      </c>
      <c r="J108" s="75">
        <f t="shared" si="8"/>
        <v>65</v>
      </c>
      <c r="K108" s="75">
        <f t="shared" si="9"/>
        <v>1.4470169189670525</v>
      </c>
      <c r="L108" s="75">
        <f>VLOOKUP($A108,'Data Vlaue (Cr)'!$C:$FB,67)</f>
        <v>1442</v>
      </c>
      <c r="M108" s="75">
        <f>VLOOKUP($A108,'Data Vlaue (Cr)'!$C:$FB,68)</f>
        <v>1969</v>
      </c>
      <c r="N108" s="75">
        <f t="shared" si="10"/>
        <v>-527</v>
      </c>
      <c r="O108" s="75">
        <f t="shared" si="11"/>
        <v>-36.546463245492369</v>
      </c>
      <c r="P108" s="75">
        <f>VLOOKUP($A108,'Data Vlaue (Cr)'!$C:$FB,119)</f>
        <v>0.77</v>
      </c>
      <c r="Q108" s="75">
        <f>VLOOKUP($A108,'Data Vlaue (Cr)'!$C:$FB,122)*100</f>
        <v>-8.33</v>
      </c>
      <c r="R108" s="75">
        <f>VLOOKUP($A108,'Data Vlaue (Cr)'!$C:$FB,125)</f>
        <v>0.57999999999999996</v>
      </c>
      <c r="S108" s="75">
        <f>VLOOKUP($A108,'Data Vlaue (Cr)'!$C:$FB,128)*100</f>
        <v>-21.62</v>
      </c>
    </row>
    <row r="109" spans="1:19" x14ac:dyDescent="0.25">
      <c r="A109" s="96" t="str">
        <f>'Data Vlaue (Cr)'!C100</f>
        <v>INDUSTOWER</v>
      </c>
      <c r="B109" s="75">
        <f>VLOOKUP($A109,'Data Vlaue (Cr)'!$C:$FB,2)</f>
        <v>1700</v>
      </c>
      <c r="C109" s="75">
        <f>VLOOKUP($A109,'Data Vlaue (Cr)'!$C:$FB,8)</f>
        <v>412.25</v>
      </c>
      <c r="D109" s="75">
        <f>VLOOKUP($A109,'Data Vlaue (Cr)'!$C:$FB,4)</f>
        <v>413.35</v>
      </c>
      <c r="E109" s="75">
        <f>VLOOKUP($A109,'Data Vlaue (Cr)'!$C:$FB,5)</f>
        <v>414.5</v>
      </c>
      <c r="F109" s="75">
        <f t="shared" si="6"/>
        <v>1.1000000000000227</v>
      </c>
      <c r="G109" s="75">
        <f t="shared" si="7"/>
        <v>-0.27821458812144118</v>
      </c>
      <c r="H109" s="75">
        <f>VLOOKUP($A109,'Data Vlaue (Cr)'!$C:$FB,99)</f>
        <v>4674</v>
      </c>
      <c r="I109" s="75">
        <f>VLOOKUP($A109,'Data Vlaue (Cr)'!$C:$FB,100)</f>
        <v>4458</v>
      </c>
      <c r="J109" s="75">
        <f t="shared" si="8"/>
        <v>216</v>
      </c>
      <c r="K109" s="75">
        <f t="shared" si="9"/>
        <v>4.6213093709884472</v>
      </c>
      <c r="L109" s="75">
        <f>VLOOKUP($A109,'Data Vlaue (Cr)'!$C:$FB,67)</f>
        <v>3038</v>
      </c>
      <c r="M109" s="75">
        <f>VLOOKUP($A109,'Data Vlaue (Cr)'!$C:$FB,68)</f>
        <v>2353</v>
      </c>
      <c r="N109" s="75">
        <f t="shared" si="10"/>
        <v>685</v>
      </c>
      <c r="O109" s="75">
        <f t="shared" si="11"/>
        <v>22.547728768926927</v>
      </c>
      <c r="P109" s="75">
        <f>VLOOKUP($A109,'Data Vlaue (Cr)'!$C:$FB,119)</f>
        <v>0.57999999999999996</v>
      </c>
      <c r="Q109" s="75">
        <f>VLOOKUP($A109,'Data Vlaue (Cr)'!$C:$FB,122)*100</f>
        <v>5.45</v>
      </c>
      <c r="R109" s="75">
        <f>VLOOKUP($A109,'Data Vlaue (Cr)'!$C:$FB,125)</f>
        <v>0.52</v>
      </c>
      <c r="S109" s="75">
        <f>VLOOKUP($A109,'Data Vlaue (Cr)'!$C:$FB,128)*100</f>
        <v>15.559999999999999</v>
      </c>
    </row>
    <row r="110" spans="1:19" x14ac:dyDescent="0.25">
      <c r="A110" s="96" t="str">
        <f>'Data Vlaue (Cr)'!C101</f>
        <v>INFY</v>
      </c>
      <c r="B110" s="75">
        <f>VLOOKUP($A110,'Data Vlaue (Cr)'!$C:$FB,2)</f>
        <v>400</v>
      </c>
      <c r="C110" s="75">
        <f>VLOOKUP($A110,'Data Vlaue (Cr)'!$C:$FB,8)</f>
        <v>1318.7</v>
      </c>
      <c r="D110" s="75">
        <f>VLOOKUP($A110,'Data Vlaue (Cr)'!$C:$FB,4)</f>
        <v>1321</v>
      </c>
      <c r="E110" s="75">
        <f>VLOOKUP($A110,'Data Vlaue (Cr)'!$C:$FB,5)</f>
        <v>1320.7</v>
      </c>
      <c r="F110" s="75">
        <f t="shared" si="6"/>
        <v>2.2999999999999545</v>
      </c>
      <c r="G110" s="75">
        <f t="shared" si="7"/>
        <v>2.2710068130200947E-2</v>
      </c>
      <c r="H110" s="75">
        <f>VLOOKUP($A110,'Data Vlaue (Cr)'!$C:$FB,99)</f>
        <v>16959</v>
      </c>
      <c r="I110" s="75">
        <f>VLOOKUP($A110,'Data Vlaue (Cr)'!$C:$FB,100)</f>
        <v>17024</v>
      </c>
      <c r="J110" s="75">
        <f t="shared" si="8"/>
        <v>-65</v>
      </c>
      <c r="K110" s="75">
        <f t="shared" si="9"/>
        <v>-0.383277315879474</v>
      </c>
      <c r="L110" s="75">
        <f>VLOOKUP($A110,'Data Vlaue (Cr)'!$C:$FB,67)</f>
        <v>5612</v>
      </c>
      <c r="M110" s="75">
        <f>VLOOKUP($A110,'Data Vlaue (Cr)'!$C:$FB,68)</f>
        <v>9096</v>
      </c>
      <c r="N110" s="75">
        <f t="shared" si="10"/>
        <v>-3484</v>
      </c>
      <c r="O110" s="75">
        <f t="shared" si="11"/>
        <v>-62.081254454739842</v>
      </c>
      <c r="P110" s="75">
        <f>VLOOKUP($A110,'Data Vlaue (Cr)'!$C:$FB,119)</f>
        <v>0.71</v>
      </c>
      <c r="Q110" s="75">
        <f>VLOOKUP($A110,'Data Vlaue (Cr)'!$C:$FB,122)*100</f>
        <v>-2.74</v>
      </c>
      <c r="R110" s="75">
        <f>VLOOKUP($A110,'Data Vlaue (Cr)'!$C:$FB,125)</f>
        <v>0.73</v>
      </c>
      <c r="S110" s="75">
        <f>VLOOKUP($A110,'Data Vlaue (Cr)'!$C:$FB,128)*100</f>
        <v>37.74</v>
      </c>
    </row>
    <row r="111" spans="1:19" x14ac:dyDescent="0.25">
      <c r="A111" s="96" t="str">
        <f>'Data Vlaue (Cr)'!C102</f>
        <v>INOXWIND</v>
      </c>
      <c r="B111" s="75">
        <f>VLOOKUP($A111,'Data Vlaue (Cr)'!$C:$FB,2)</f>
        <v>3575</v>
      </c>
      <c r="C111" s="75">
        <f>VLOOKUP($A111,'Data Vlaue (Cr)'!$C:$FB,8)</f>
        <v>97.9</v>
      </c>
      <c r="D111" s="75">
        <f>VLOOKUP($A111,'Data Vlaue (Cr)'!$C:$FB,4)</f>
        <v>97.82</v>
      </c>
      <c r="E111" s="75">
        <f>VLOOKUP($A111,'Data Vlaue (Cr)'!$C:$FB,5)</f>
        <v>95.73</v>
      </c>
      <c r="F111" s="75">
        <f t="shared" si="6"/>
        <v>-8.0000000000012506E-2</v>
      </c>
      <c r="G111" s="75">
        <f t="shared" si="7"/>
        <v>2.1365773870374047</v>
      </c>
      <c r="H111" s="75">
        <f>VLOOKUP($A111,'Data Vlaue (Cr)'!$C:$FB,99)</f>
        <v>1478</v>
      </c>
      <c r="I111" s="75">
        <f>VLOOKUP($A111,'Data Vlaue (Cr)'!$C:$FB,100)</f>
        <v>1449</v>
      </c>
      <c r="J111" s="75">
        <f t="shared" si="8"/>
        <v>29</v>
      </c>
      <c r="K111" s="75">
        <f t="shared" si="9"/>
        <v>1.9621109607577809</v>
      </c>
      <c r="L111" s="75">
        <f>VLOOKUP($A111,'Data Vlaue (Cr)'!$C:$FB,67)</f>
        <v>1092</v>
      </c>
      <c r="M111" s="75">
        <f>VLOOKUP($A111,'Data Vlaue (Cr)'!$C:$FB,68)</f>
        <v>726</v>
      </c>
      <c r="N111" s="75">
        <f t="shared" si="10"/>
        <v>366</v>
      </c>
      <c r="O111" s="75">
        <f t="shared" si="11"/>
        <v>33.516483516483511</v>
      </c>
      <c r="P111" s="75">
        <f>VLOOKUP($A111,'Data Vlaue (Cr)'!$C:$FB,119)</f>
        <v>0.82</v>
      </c>
      <c r="Q111" s="75">
        <f>VLOOKUP($A111,'Data Vlaue (Cr)'!$C:$FB,122)*100</f>
        <v>-16.329999999999998</v>
      </c>
      <c r="R111" s="75">
        <f>VLOOKUP($A111,'Data Vlaue (Cr)'!$C:$FB,125)</f>
        <v>0.35</v>
      </c>
      <c r="S111" s="75">
        <f>VLOOKUP($A111,'Data Vlaue (Cr)'!$C:$FB,128)*100</f>
        <v>-30</v>
      </c>
    </row>
    <row r="112" spans="1:19" x14ac:dyDescent="0.25">
      <c r="A112" s="96" t="str">
        <f>'Data Vlaue (Cr)'!C103</f>
        <v>IOC</v>
      </c>
      <c r="B112" s="75">
        <f>VLOOKUP($A112,'Data Vlaue (Cr)'!$C:$FB,2)</f>
        <v>4875</v>
      </c>
      <c r="C112" s="75">
        <f>VLOOKUP($A112,'Data Vlaue (Cr)'!$C:$FB,8)</f>
        <v>145.88</v>
      </c>
      <c r="D112" s="75">
        <f>VLOOKUP($A112,'Data Vlaue (Cr)'!$C:$FB,4)</f>
        <v>146.21</v>
      </c>
      <c r="E112" s="75">
        <f>VLOOKUP($A112,'Data Vlaue (Cr)'!$C:$FB,5)</f>
        <v>144.26</v>
      </c>
      <c r="F112" s="75">
        <f t="shared" si="6"/>
        <v>0.33000000000001251</v>
      </c>
      <c r="G112" s="75">
        <f t="shared" si="7"/>
        <v>1.3336981054647541</v>
      </c>
      <c r="H112" s="75">
        <f>VLOOKUP($A112,'Data Vlaue (Cr)'!$C:$FB,99)</f>
        <v>3136</v>
      </c>
      <c r="I112" s="75">
        <f>VLOOKUP($A112,'Data Vlaue (Cr)'!$C:$FB,100)</f>
        <v>3149</v>
      </c>
      <c r="J112" s="75">
        <f t="shared" si="8"/>
        <v>-13</v>
      </c>
      <c r="K112" s="75">
        <f t="shared" si="9"/>
        <v>-0.41454081632653061</v>
      </c>
      <c r="L112" s="75">
        <f>VLOOKUP($A112,'Data Vlaue (Cr)'!$C:$FB,67)</f>
        <v>1019</v>
      </c>
      <c r="M112" s="75">
        <f>VLOOKUP($A112,'Data Vlaue (Cr)'!$C:$FB,68)</f>
        <v>1072</v>
      </c>
      <c r="N112" s="75">
        <f t="shared" si="10"/>
        <v>-53</v>
      </c>
      <c r="O112" s="75">
        <f t="shared" si="11"/>
        <v>-5.2011776251226696</v>
      </c>
      <c r="P112" s="75">
        <f>VLOOKUP($A112,'Data Vlaue (Cr)'!$C:$FB,119)</f>
        <v>0.73</v>
      </c>
      <c r="Q112" s="75">
        <f>VLOOKUP($A112,'Data Vlaue (Cr)'!$C:$FB,122)*100</f>
        <v>1.39</v>
      </c>
      <c r="R112" s="75">
        <f>VLOOKUP($A112,'Data Vlaue (Cr)'!$C:$FB,125)</f>
        <v>0.6</v>
      </c>
      <c r="S112" s="75">
        <f>VLOOKUP($A112,'Data Vlaue (Cr)'!$C:$FB,128)*100</f>
        <v>-21.05</v>
      </c>
    </row>
    <row r="113" spans="1:19" x14ac:dyDescent="0.25">
      <c r="A113" s="96" t="str">
        <f>'Data Vlaue (Cr)'!C104</f>
        <v>IREDA</v>
      </c>
      <c r="B113" s="75">
        <f>VLOOKUP($A113,'Data Vlaue (Cr)'!$C:$FB,2)</f>
        <v>3450</v>
      </c>
      <c r="C113" s="75">
        <f>VLOOKUP($A113,'Data Vlaue (Cr)'!$C:$FB,8)</f>
        <v>133.01</v>
      </c>
      <c r="D113" s="75">
        <f>VLOOKUP($A113,'Data Vlaue (Cr)'!$C:$FB,4)</f>
        <v>133.36000000000001</v>
      </c>
      <c r="E113" s="75">
        <f>VLOOKUP($A113,'Data Vlaue (Cr)'!$C:$FB,5)</f>
        <v>129.68</v>
      </c>
      <c r="F113" s="75">
        <f t="shared" si="6"/>
        <v>0.35000000000002274</v>
      </c>
      <c r="G113" s="75">
        <f t="shared" si="7"/>
        <v>2.7594481103779289</v>
      </c>
      <c r="H113" s="75">
        <f>VLOOKUP($A113,'Data Vlaue (Cr)'!$C:$FB,99)</f>
        <v>1369</v>
      </c>
      <c r="I113" s="75">
        <f>VLOOKUP($A113,'Data Vlaue (Cr)'!$C:$FB,100)</f>
        <v>1303</v>
      </c>
      <c r="J113" s="75">
        <f t="shared" si="8"/>
        <v>66</v>
      </c>
      <c r="K113" s="75">
        <f t="shared" si="9"/>
        <v>4.8210372534696857</v>
      </c>
      <c r="L113" s="75">
        <f>VLOOKUP($A113,'Data Vlaue (Cr)'!$C:$FB,67)</f>
        <v>1240</v>
      </c>
      <c r="M113" s="75">
        <f>VLOOKUP($A113,'Data Vlaue (Cr)'!$C:$FB,68)</f>
        <v>1032</v>
      </c>
      <c r="N113" s="75">
        <f t="shared" si="10"/>
        <v>208</v>
      </c>
      <c r="O113" s="75">
        <f t="shared" si="11"/>
        <v>16.7741935483871</v>
      </c>
      <c r="P113" s="75">
        <f>VLOOKUP($A113,'Data Vlaue (Cr)'!$C:$FB,119)</f>
        <v>0.79</v>
      </c>
      <c r="Q113" s="75">
        <f>VLOOKUP($A113,'Data Vlaue (Cr)'!$C:$FB,122)*100</f>
        <v>-2.4699999999999998</v>
      </c>
      <c r="R113" s="75">
        <f>VLOOKUP($A113,'Data Vlaue (Cr)'!$C:$FB,125)</f>
        <v>0.32</v>
      </c>
      <c r="S113" s="75">
        <f>VLOOKUP($A113,'Data Vlaue (Cr)'!$C:$FB,128)*100</f>
        <v>-15.790000000000001</v>
      </c>
    </row>
    <row r="114" spans="1:19" x14ac:dyDescent="0.25">
      <c r="A114" s="96" t="str">
        <f>'Data Vlaue (Cr)'!C105</f>
        <v>IRFC</v>
      </c>
      <c r="B114" s="75">
        <f>VLOOKUP($A114,'Data Vlaue (Cr)'!$C:$FB,2)</f>
        <v>4250</v>
      </c>
      <c r="C114" s="75">
        <f>VLOOKUP($A114,'Data Vlaue (Cr)'!$C:$FB,8)</f>
        <v>104.84</v>
      </c>
      <c r="D114" s="75">
        <f>VLOOKUP($A114,'Data Vlaue (Cr)'!$C:$FB,4)</f>
        <v>104.84</v>
      </c>
      <c r="E114" s="75">
        <f>VLOOKUP($A114,'Data Vlaue (Cr)'!$C:$FB,5)</f>
        <v>103.62</v>
      </c>
      <c r="F114" s="75">
        <f t="shared" si="6"/>
        <v>0</v>
      </c>
      <c r="G114" s="75">
        <f t="shared" si="7"/>
        <v>1.1636779855017159</v>
      </c>
      <c r="H114" s="75">
        <f>VLOOKUP($A114,'Data Vlaue (Cr)'!$C:$FB,99)</f>
        <v>1383</v>
      </c>
      <c r="I114" s="75">
        <f>VLOOKUP($A114,'Data Vlaue (Cr)'!$C:$FB,100)</f>
        <v>1339</v>
      </c>
      <c r="J114" s="75">
        <f t="shared" si="8"/>
        <v>44</v>
      </c>
      <c r="K114" s="75">
        <f t="shared" si="9"/>
        <v>3.1814895155459149</v>
      </c>
      <c r="L114" s="75">
        <f>VLOOKUP($A114,'Data Vlaue (Cr)'!$C:$FB,67)</f>
        <v>1266</v>
      </c>
      <c r="M114" s="75">
        <f>VLOOKUP($A114,'Data Vlaue (Cr)'!$C:$FB,68)</f>
        <v>1082</v>
      </c>
      <c r="N114" s="75">
        <f t="shared" si="10"/>
        <v>184</v>
      </c>
      <c r="O114" s="75">
        <f t="shared" si="11"/>
        <v>14.533965244865717</v>
      </c>
      <c r="P114" s="75">
        <f>VLOOKUP($A114,'Data Vlaue (Cr)'!$C:$FB,119)</f>
        <v>0.72</v>
      </c>
      <c r="Q114" s="75">
        <f>VLOOKUP($A114,'Data Vlaue (Cr)'!$C:$FB,122)*100</f>
        <v>-4</v>
      </c>
      <c r="R114" s="75">
        <f>VLOOKUP($A114,'Data Vlaue (Cr)'!$C:$FB,125)</f>
        <v>0.39</v>
      </c>
      <c r="S114" s="75">
        <f>VLOOKUP($A114,'Data Vlaue (Cr)'!$C:$FB,128)*100</f>
        <v>8.33</v>
      </c>
    </row>
    <row r="115" spans="1:19" x14ac:dyDescent="0.25">
      <c r="A115" s="96" t="str">
        <f>'Data Vlaue (Cr)'!C106</f>
        <v>ITC</v>
      </c>
      <c r="B115" s="75">
        <f>VLOOKUP($A115,'Data Vlaue (Cr)'!$C:$FB,2)</f>
        <v>1600</v>
      </c>
      <c r="C115" s="75">
        <f>VLOOKUP($A115,'Data Vlaue (Cr)'!$C:$FB,8)</f>
        <v>306.8</v>
      </c>
      <c r="D115" s="75">
        <f>VLOOKUP($A115,'Data Vlaue (Cr)'!$C:$FB,4)</f>
        <v>307.5</v>
      </c>
      <c r="E115" s="75">
        <f>VLOOKUP($A115,'Data Vlaue (Cr)'!$C:$FB,5)</f>
        <v>303.75</v>
      </c>
      <c r="F115" s="75">
        <f t="shared" si="6"/>
        <v>0.69999999999998863</v>
      </c>
      <c r="G115" s="75">
        <f t="shared" si="7"/>
        <v>1.2195121951219512</v>
      </c>
      <c r="H115" s="75">
        <f>VLOOKUP($A115,'Data Vlaue (Cr)'!$C:$FB,99)</f>
        <v>10354</v>
      </c>
      <c r="I115" s="75">
        <f>VLOOKUP($A115,'Data Vlaue (Cr)'!$C:$FB,100)</f>
        <v>9637</v>
      </c>
      <c r="J115" s="75">
        <f t="shared" si="8"/>
        <v>717</v>
      </c>
      <c r="K115" s="75">
        <f t="shared" si="9"/>
        <v>6.9248599575043466</v>
      </c>
      <c r="L115" s="75">
        <f>VLOOKUP($A115,'Data Vlaue (Cr)'!$C:$FB,67)</f>
        <v>13560</v>
      </c>
      <c r="M115" s="75">
        <f>VLOOKUP($A115,'Data Vlaue (Cr)'!$C:$FB,68)</f>
        <v>3945</v>
      </c>
      <c r="N115" s="75">
        <f t="shared" si="10"/>
        <v>9615</v>
      </c>
      <c r="O115" s="75">
        <f t="shared" si="11"/>
        <v>70.907079646017706</v>
      </c>
      <c r="P115" s="75">
        <f>VLOOKUP($A115,'Data Vlaue (Cr)'!$C:$FB,119)</f>
        <v>0.5</v>
      </c>
      <c r="Q115" s="75">
        <f>VLOOKUP($A115,'Data Vlaue (Cr)'!$C:$FB,122)*100</f>
        <v>-5.66</v>
      </c>
      <c r="R115" s="75">
        <f>VLOOKUP($A115,'Data Vlaue (Cr)'!$C:$FB,125)</f>
        <v>0.43</v>
      </c>
      <c r="S115" s="75">
        <f>VLOOKUP($A115,'Data Vlaue (Cr)'!$C:$FB,128)*100</f>
        <v>-8.51</v>
      </c>
    </row>
    <row r="116" spans="1:19" x14ac:dyDescent="0.25">
      <c r="A116" s="96" t="str">
        <f>'Data Vlaue (Cr)'!C107</f>
        <v>JINDALSTEL</v>
      </c>
      <c r="B116" s="75">
        <f>VLOOKUP($A116,'Data Vlaue (Cr)'!$C:$FB,2)</f>
        <v>625</v>
      </c>
      <c r="C116" s="75">
        <f>VLOOKUP($A116,'Data Vlaue (Cr)'!$C:$FB,8)</f>
        <v>1270</v>
      </c>
      <c r="D116" s="75">
        <f>VLOOKUP($A116,'Data Vlaue (Cr)'!$C:$FB,4)</f>
        <v>1271.4000000000001</v>
      </c>
      <c r="E116" s="75">
        <f>VLOOKUP($A116,'Data Vlaue (Cr)'!$C:$FB,5)</f>
        <v>1230.9000000000001</v>
      </c>
      <c r="F116" s="75">
        <f t="shared" si="6"/>
        <v>1.4000000000000909</v>
      </c>
      <c r="G116" s="75">
        <f t="shared" si="7"/>
        <v>3.1854648419065592</v>
      </c>
      <c r="H116" s="75">
        <f>VLOOKUP($A116,'Data Vlaue (Cr)'!$C:$FB,99)</f>
        <v>2612</v>
      </c>
      <c r="I116" s="75">
        <f>VLOOKUP($A116,'Data Vlaue (Cr)'!$C:$FB,100)</f>
        <v>2495</v>
      </c>
      <c r="J116" s="75">
        <f t="shared" si="8"/>
        <v>117</v>
      </c>
      <c r="K116" s="75">
        <f t="shared" si="9"/>
        <v>4.4793261868300158</v>
      </c>
      <c r="L116" s="75">
        <f>VLOOKUP($A116,'Data Vlaue (Cr)'!$C:$FB,67)</f>
        <v>3167</v>
      </c>
      <c r="M116" s="75">
        <f>VLOOKUP($A116,'Data Vlaue (Cr)'!$C:$FB,68)</f>
        <v>1007</v>
      </c>
      <c r="N116" s="75">
        <f t="shared" si="10"/>
        <v>2160</v>
      </c>
      <c r="O116" s="75">
        <f t="shared" si="11"/>
        <v>68.203347016103564</v>
      </c>
      <c r="P116" s="75">
        <f>VLOOKUP($A116,'Data Vlaue (Cr)'!$C:$FB,119)</f>
        <v>1.0900000000000001</v>
      </c>
      <c r="Q116" s="75">
        <f>VLOOKUP($A116,'Data Vlaue (Cr)'!$C:$FB,122)*100</f>
        <v>11.219999999999999</v>
      </c>
      <c r="R116" s="75">
        <f>VLOOKUP($A116,'Data Vlaue (Cr)'!$C:$FB,125)</f>
        <v>0.61</v>
      </c>
      <c r="S116" s="75">
        <f>VLOOKUP($A116,'Data Vlaue (Cr)'!$C:$FB,128)*100</f>
        <v>12.959999999999999</v>
      </c>
    </row>
    <row r="117" spans="1:19" x14ac:dyDescent="0.25">
      <c r="A117" s="96" t="str">
        <f>'Data Vlaue (Cr)'!C108</f>
        <v>JIOFIN</v>
      </c>
      <c r="B117" s="75">
        <f>VLOOKUP($A117,'Data Vlaue (Cr)'!$C:$FB,2)</f>
        <v>2350</v>
      </c>
      <c r="C117" s="75">
        <f>VLOOKUP($A117,'Data Vlaue (Cr)'!$C:$FB,8)</f>
        <v>243.86</v>
      </c>
      <c r="D117" s="75">
        <f>VLOOKUP($A117,'Data Vlaue (Cr)'!$C:$FB,4)</f>
        <v>244.6</v>
      </c>
      <c r="E117" s="75">
        <f>VLOOKUP($A117,'Data Vlaue (Cr)'!$C:$FB,5)</f>
        <v>241.8</v>
      </c>
      <c r="F117" s="75">
        <f t="shared" si="6"/>
        <v>0.73999999999998067</v>
      </c>
      <c r="G117" s="75">
        <f t="shared" si="7"/>
        <v>1.1447260834014648</v>
      </c>
      <c r="H117" s="75">
        <f>VLOOKUP($A117,'Data Vlaue (Cr)'!$C:$FB,99)</f>
        <v>6982</v>
      </c>
      <c r="I117" s="75">
        <f>VLOOKUP($A117,'Data Vlaue (Cr)'!$C:$FB,100)</f>
        <v>5915</v>
      </c>
      <c r="J117" s="75">
        <f t="shared" si="8"/>
        <v>1067</v>
      </c>
      <c r="K117" s="75">
        <f t="shared" si="9"/>
        <v>15.282154110570037</v>
      </c>
      <c r="L117" s="75">
        <f>VLOOKUP($A117,'Data Vlaue (Cr)'!$C:$FB,67)</f>
        <v>5203</v>
      </c>
      <c r="M117" s="75">
        <f>VLOOKUP($A117,'Data Vlaue (Cr)'!$C:$FB,68)</f>
        <v>2345</v>
      </c>
      <c r="N117" s="75">
        <f t="shared" si="10"/>
        <v>2858</v>
      </c>
      <c r="O117" s="75">
        <f t="shared" si="11"/>
        <v>54.929848164520465</v>
      </c>
      <c r="P117" s="75">
        <f>VLOOKUP($A117,'Data Vlaue (Cr)'!$C:$FB,119)</f>
        <v>0.67</v>
      </c>
      <c r="Q117" s="75">
        <f>VLOOKUP($A117,'Data Vlaue (Cr)'!$C:$FB,122)*100</f>
        <v>-8.2199999999999989</v>
      </c>
      <c r="R117" s="75">
        <f>VLOOKUP($A117,'Data Vlaue (Cr)'!$C:$FB,125)</f>
        <v>0.34</v>
      </c>
      <c r="S117" s="75">
        <f>VLOOKUP($A117,'Data Vlaue (Cr)'!$C:$FB,128)*100</f>
        <v>-26.090000000000003</v>
      </c>
    </row>
    <row r="118" spans="1:19" x14ac:dyDescent="0.25">
      <c r="A118" s="96" t="str">
        <f>'Data Vlaue (Cr)'!C109</f>
        <v>JSWENERGY</v>
      </c>
      <c r="B118" s="75">
        <f>VLOOKUP($A118,'Data Vlaue (Cr)'!$C:$FB,2)</f>
        <v>1000</v>
      </c>
      <c r="C118" s="75">
        <f>VLOOKUP($A118,'Data Vlaue (Cr)'!$C:$FB,8)</f>
        <v>538.04999999999995</v>
      </c>
      <c r="D118" s="75">
        <f>VLOOKUP($A118,'Data Vlaue (Cr)'!$C:$FB,4)</f>
        <v>538.1</v>
      </c>
      <c r="E118" s="75">
        <f>VLOOKUP($A118,'Data Vlaue (Cr)'!$C:$FB,5)</f>
        <v>535.95000000000005</v>
      </c>
      <c r="F118" s="75">
        <f t="shared" si="6"/>
        <v>5.0000000000068212E-2</v>
      </c>
      <c r="G118" s="75">
        <f t="shared" si="7"/>
        <v>0.39955398624790511</v>
      </c>
      <c r="H118" s="75">
        <f>VLOOKUP($A118,'Data Vlaue (Cr)'!$C:$FB,99)</f>
        <v>2074</v>
      </c>
      <c r="I118" s="75">
        <f>VLOOKUP($A118,'Data Vlaue (Cr)'!$C:$FB,100)</f>
        <v>2096</v>
      </c>
      <c r="J118" s="75">
        <f t="shared" si="8"/>
        <v>-22</v>
      </c>
      <c r="K118" s="75">
        <f t="shared" si="9"/>
        <v>-1.0607521697203472</v>
      </c>
      <c r="L118" s="75">
        <f>VLOOKUP($A118,'Data Vlaue (Cr)'!$C:$FB,67)</f>
        <v>864</v>
      </c>
      <c r="M118" s="75">
        <f>VLOOKUP($A118,'Data Vlaue (Cr)'!$C:$FB,68)</f>
        <v>1326</v>
      </c>
      <c r="N118" s="75">
        <f t="shared" si="10"/>
        <v>-462</v>
      </c>
      <c r="O118" s="75">
        <f t="shared" si="11"/>
        <v>-53.472222222222221</v>
      </c>
      <c r="P118" s="75">
        <f>VLOOKUP($A118,'Data Vlaue (Cr)'!$C:$FB,119)</f>
        <v>0.69</v>
      </c>
      <c r="Q118" s="75">
        <f>VLOOKUP($A118,'Data Vlaue (Cr)'!$C:$FB,122)*100</f>
        <v>-12.659999999999998</v>
      </c>
      <c r="R118" s="75">
        <f>VLOOKUP($A118,'Data Vlaue (Cr)'!$C:$FB,125)</f>
        <v>0.53</v>
      </c>
      <c r="S118" s="75">
        <f>VLOOKUP($A118,'Data Vlaue (Cr)'!$C:$FB,128)*100</f>
        <v>-8.6199999999999992</v>
      </c>
    </row>
    <row r="119" spans="1:19" x14ac:dyDescent="0.25">
      <c r="A119" s="96" t="str">
        <f>'Data Vlaue (Cr)'!C110</f>
        <v>JSWSTEEL</v>
      </c>
      <c r="B119" s="75">
        <f>VLOOKUP($A119,'Data Vlaue (Cr)'!$C:$FB,2)</f>
        <v>675</v>
      </c>
      <c r="C119" s="75">
        <f>VLOOKUP($A119,'Data Vlaue (Cr)'!$C:$FB,8)</f>
        <v>1240.3</v>
      </c>
      <c r="D119" s="75">
        <f>VLOOKUP($A119,'Data Vlaue (Cr)'!$C:$FB,4)</f>
        <v>1240.2</v>
      </c>
      <c r="E119" s="75">
        <f>VLOOKUP($A119,'Data Vlaue (Cr)'!$C:$FB,5)</f>
        <v>1217.3</v>
      </c>
      <c r="F119" s="75">
        <f t="shared" si="6"/>
        <v>-9.9999999999909051E-2</v>
      </c>
      <c r="G119" s="75">
        <f t="shared" si="7"/>
        <v>1.8464763747782689</v>
      </c>
      <c r="H119" s="75">
        <f>VLOOKUP($A119,'Data Vlaue (Cr)'!$C:$FB,99)</f>
        <v>7602</v>
      </c>
      <c r="I119" s="75">
        <f>VLOOKUP($A119,'Data Vlaue (Cr)'!$C:$FB,100)</f>
        <v>7730</v>
      </c>
      <c r="J119" s="75">
        <f t="shared" si="8"/>
        <v>-128</v>
      </c>
      <c r="K119" s="75">
        <f t="shared" si="9"/>
        <v>-1.6837674296237832</v>
      </c>
      <c r="L119" s="75">
        <f>VLOOKUP($A119,'Data Vlaue (Cr)'!$C:$FB,67)</f>
        <v>2665</v>
      </c>
      <c r="M119" s="75">
        <f>VLOOKUP($A119,'Data Vlaue (Cr)'!$C:$FB,68)</f>
        <v>2033</v>
      </c>
      <c r="N119" s="75">
        <f t="shared" si="10"/>
        <v>632</v>
      </c>
      <c r="O119" s="75">
        <f t="shared" si="11"/>
        <v>23.714821763602252</v>
      </c>
      <c r="P119" s="75">
        <f>VLOOKUP($A119,'Data Vlaue (Cr)'!$C:$FB,119)</f>
        <v>0.96</v>
      </c>
      <c r="Q119" s="75">
        <f>VLOOKUP($A119,'Data Vlaue (Cr)'!$C:$FB,122)*100</f>
        <v>17.07</v>
      </c>
      <c r="R119" s="75">
        <f>VLOOKUP($A119,'Data Vlaue (Cr)'!$C:$FB,125)</f>
        <v>0.5</v>
      </c>
      <c r="S119" s="75">
        <f>VLOOKUP($A119,'Data Vlaue (Cr)'!$C:$FB,128)*100</f>
        <v>6.38</v>
      </c>
    </row>
    <row r="120" spans="1:19" x14ac:dyDescent="0.25">
      <c r="A120" s="96" t="str">
        <f>'Data Vlaue (Cr)'!C111</f>
        <v>JUBLFOOD</v>
      </c>
      <c r="B120" s="75">
        <f>VLOOKUP($A120,'Data Vlaue (Cr)'!$C:$FB,2)</f>
        <v>1250</v>
      </c>
      <c r="C120" s="75">
        <f>VLOOKUP($A120,'Data Vlaue (Cr)'!$C:$FB,8)</f>
        <v>458.95</v>
      </c>
      <c r="D120" s="75">
        <f>VLOOKUP($A120,'Data Vlaue (Cr)'!$C:$FB,4)</f>
        <v>458.8</v>
      </c>
      <c r="E120" s="75">
        <f>VLOOKUP($A120,'Data Vlaue (Cr)'!$C:$FB,5)</f>
        <v>458.95</v>
      </c>
      <c r="F120" s="75">
        <f t="shared" si="6"/>
        <v>-0.14999999999997726</v>
      </c>
      <c r="G120" s="75">
        <f t="shared" si="7"/>
        <v>-3.269398430688257E-2</v>
      </c>
      <c r="H120" s="75">
        <f>VLOOKUP($A120,'Data Vlaue (Cr)'!$C:$FB,99)</f>
        <v>3495</v>
      </c>
      <c r="I120" s="75">
        <f>VLOOKUP($A120,'Data Vlaue (Cr)'!$C:$FB,100)</f>
        <v>3351</v>
      </c>
      <c r="J120" s="75">
        <f t="shared" si="8"/>
        <v>144</v>
      </c>
      <c r="K120" s="75">
        <f t="shared" si="9"/>
        <v>4.1201716738197423</v>
      </c>
      <c r="L120" s="75">
        <f>VLOOKUP($A120,'Data Vlaue (Cr)'!$C:$FB,67)</f>
        <v>1818</v>
      </c>
      <c r="M120" s="75">
        <f>VLOOKUP($A120,'Data Vlaue (Cr)'!$C:$FB,68)</f>
        <v>1396</v>
      </c>
      <c r="N120" s="75">
        <f t="shared" si="10"/>
        <v>422</v>
      </c>
      <c r="O120" s="75">
        <f t="shared" si="11"/>
        <v>23.212321232123212</v>
      </c>
      <c r="P120" s="75">
        <f>VLOOKUP($A120,'Data Vlaue (Cr)'!$C:$FB,119)</f>
        <v>0.64</v>
      </c>
      <c r="Q120" s="75">
        <f>VLOOKUP($A120,'Data Vlaue (Cr)'!$C:$FB,122)*100</f>
        <v>-3.0300000000000002</v>
      </c>
      <c r="R120" s="75">
        <f>VLOOKUP($A120,'Data Vlaue (Cr)'!$C:$FB,125)</f>
        <v>0.39</v>
      </c>
      <c r="S120" s="75">
        <f>VLOOKUP($A120,'Data Vlaue (Cr)'!$C:$FB,128)*100</f>
        <v>0</v>
      </c>
    </row>
    <row r="121" spans="1:19" x14ac:dyDescent="0.25">
      <c r="A121" s="96" t="str">
        <f>'Data Vlaue (Cr)'!C112</f>
        <v>KALYANKJIL</v>
      </c>
      <c r="B121" s="75">
        <f>VLOOKUP($A121,'Data Vlaue (Cr)'!$C:$FB,2)</f>
        <v>1175</v>
      </c>
      <c r="C121" s="75">
        <f>VLOOKUP($A121,'Data Vlaue (Cr)'!$C:$FB,8)</f>
        <v>426.85</v>
      </c>
      <c r="D121" s="75">
        <f>VLOOKUP($A121,'Data Vlaue (Cr)'!$C:$FB,4)</f>
        <v>427.95</v>
      </c>
      <c r="E121" s="75">
        <f>VLOOKUP($A121,'Data Vlaue (Cr)'!$C:$FB,5)</f>
        <v>441.8</v>
      </c>
      <c r="F121" s="75">
        <f t="shared" si="6"/>
        <v>1.0999999999999659</v>
      </c>
      <c r="G121" s="75">
        <f t="shared" si="7"/>
        <v>-3.2363593877789518</v>
      </c>
      <c r="H121" s="75">
        <f>VLOOKUP($A121,'Data Vlaue (Cr)'!$C:$FB,99)</f>
        <v>2041</v>
      </c>
      <c r="I121" s="75">
        <f>VLOOKUP($A121,'Data Vlaue (Cr)'!$C:$FB,100)</f>
        <v>1600</v>
      </c>
      <c r="J121" s="75">
        <f t="shared" si="8"/>
        <v>441</v>
      </c>
      <c r="K121" s="75">
        <f t="shared" si="9"/>
        <v>21.607055365017146</v>
      </c>
      <c r="L121" s="75">
        <f>VLOOKUP($A121,'Data Vlaue (Cr)'!$C:$FB,67)</f>
        <v>6335</v>
      </c>
      <c r="M121" s="75">
        <f>VLOOKUP($A121,'Data Vlaue (Cr)'!$C:$FB,68)</f>
        <v>880</v>
      </c>
      <c r="N121" s="75">
        <f t="shared" si="10"/>
        <v>5455</v>
      </c>
      <c r="O121" s="75">
        <f t="shared" si="11"/>
        <v>86.108918705603784</v>
      </c>
      <c r="P121" s="75">
        <f>VLOOKUP($A121,'Data Vlaue (Cr)'!$C:$FB,119)</f>
        <v>0.53</v>
      </c>
      <c r="Q121" s="75">
        <f>VLOOKUP($A121,'Data Vlaue (Cr)'!$C:$FB,122)*100</f>
        <v>-33.75</v>
      </c>
      <c r="R121" s="75">
        <f>VLOOKUP($A121,'Data Vlaue (Cr)'!$C:$FB,125)</f>
        <v>0.73</v>
      </c>
      <c r="S121" s="75">
        <f>VLOOKUP($A121,'Data Vlaue (Cr)'!$C:$FB,128)*100</f>
        <v>-3.95</v>
      </c>
    </row>
    <row r="122" spans="1:19" x14ac:dyDescent="0.25">
      <c r="A122" s="96" t="str">
        <f>'Data Vlaue (Cr)'!C113</f>
        <v>KAYNES</v>
      </c>
      <c r="B122" s="75">
        <f>VLOOKUP($A122,'Data Vlaue (Cr)'!$C:$FB,2)</f>
        <v>100</v>
      </c>
      <c r="C122" s="75">
        <f>VLOOKUP($A122,'Data Vlaue (Cr)'!$C:$FB,8)</f>
        <v>4214.3999999999996</v>
      </c>
      <c r="D122" s="75">
        <f>VLOOKUP($A122,'Data Vlaue (Cr)'!$C:$FB,4)</f>
        <v>4208.7</v>
      </c>
      <c r="E122" s="75">
        <f>VLOOKUP($A122,'Data Vlaue (Cr)'!$C:$FB,5)</f>
        <v>4211.6000000000004</v>
      </c>
      <c r="F122" s="75">
        <f t="shared" si="6"/>
        <v>-5.6999999999998181</v>
      </c>
      <c r="G122" s="75">
        <f t="shared" si="7"/>
        <v>-6.8904887494963901E-2</v>
      </c>
      <c r="H122" s="75">
        <f>VLOOKUP($A122,'Data Vlaue (Cr)'!$C:$FB,99)</f>
        <v>2585</v>
      </c>
      <c r="I122" s="75">
        <f>VLOOKUP($A122,'Data Vlaue (Cr)'!$C:$FB,100)</f>
        <v>2540</v>
      </c>
      <c r="J122" s="75">
        <f t="shared" si="8"/>
        <v>45</v>
      </c>
      <c r="K122" s="75">
        <f t="shared" si="9"/>
        <v>1.7408123791102514</v>
      </c>
      <c r="L122" s="75">
        <f>VLOOKUP($A122,'Data Vlaue (Cr)'!$C:$FB,67)</f>
        <v>2011</v>
      </c>
      <c r="M122" s="75">
        <f>VLOOKUP($A122,'Data Vlaue (Cr)'!$C:$FB,68)</f>
        <v>5212</v>
      </c>
      <c r="N122" s="75">
        <f t="shared" si="10"/>
        <v>-3201</v>
      </c>
      <c r="O122" s="75">
        <f t="shared" si="11"/>
        <v>-159.1745400298359</v>
      </c>
      <c r="P122" s="75">
        <f>VLOOKUP($A122,'Data Vlaue (Cr)'!$C:$FB,119)</f>
        <v>0.8</v>
      </c>
      <c r="Q122" s="75">
        <f>VLOOKUP($A122,'Data Vlaue (Cr)'!$C:$FB,122)*100</f>
        <v>-4.7600000000000007</v>
      </c>
      <c r="R122" s="75">
        <f>VLOOKUP($A122,'Data Vlaue (Cr)'!$C:$FB,125)</f>
        <v>0.65</v>
      </c>
      <c r="S122" s="75">
        <f>VLOOKUP($A122,'Data Vlaue (Cr)'!$C:$FB,128)*100</f>
        <v>44.440000000000005</v>
      </c>
    </row>
    <row r="123" spans="1:19" x14ac:dyDescent="0.25">
      <c r="A123" s="96" t="str">
        <f>'Data Vlaue (Cr)'!C114</f>
        <v>KEI</v>
      </c>
      <c r="B123" s="75">
        <f>VLOOKUP($A123,'Data Vlaue (Cr)'!$C:$FB,2)</f>
        <v>175</v>
      </c>
      <c r="C123" s="75">
        <f>VLOOKUP($A123,'Data Vlaue (Cr)'!$C:$FB,8)</f>
        <v>4839.3</v>
      </c>
      <c r="D123" s="75">
        <f>VLOOKUP($A123,'Data Vlaue (Cr)'!$C:$FB,4)</f>
        <v>4823.5</v>
      </c>
      <c r="E123" s="75">
        <f>VLOOKUP($A123,'Data Vlaue (Cr)'!$C:$FB,5)</f>
        <v>4648.8999999999996</v>
      </c>
      <c r="F123" s="75">
        <f t="shared" si="6"/>
        <v>-15.800000000000182</v>
      </c>
      <c r="G123" s="75">
        <f t="shared" si="7"/>
        <v>3.6197781693790891</v>
      </c>
      <c r="H123" s="75">
        <f>VLOOKUP($A123,'Data Vlaue (Cr)'!$C:$FB,99)</f>
        <v>1693</v>
      </c>
      <c r="I123" s="75">
        <f>VLOOKUP($A123,'Data Vlaue (Cr)'!$C:$FB,100)</f>
        <v>1642</v>
      </c>
      <c r="J123" s="75">
        <f t="shared" si="8"/>
        <v>51</v>
      </c>
      <c r="K123" s="75">
        <f t="shared" si="9"/>
        <v>3.0124040165386887</v>
      </c>
      <c r="L123" s="75">
        <f>VLOOKUP($A123,'Data Vlaue (Cr)'!$C:$FB,67)</f>
        <v>2659</v>
      </c>
      <c r="M123" s="75">
        <f>VLOOKUP($A123,'Data Vlaue (Cr)'!$C:$FB,68)</f>
        <v>1181</v>
      </c>
      <c r="N123" s="75">
        <f t="shared" si="10"/>
        <v>1478</v>
      </c>
      <c r="O123" s="75">
        <f t="shared" si="11"/>
        <v>55.584806318164723</v>
      </c>
      <c r="P123" s="75">
        <f>VLOOKUP($A123,'Data Vlaue (Cr)'!$C:$FB,119)</f>
        <v>0.7</v>
      </c>
      <c r="Q123" s="75">
        <f>VLOOKUP($A123,'Data Vlaue (Cr)'!$C:$FB,122)*100</f>
        <v>-2.78</v>
      </c>
      <c r="R123" s="75">
        <f>VLOOKUP($A123,'Data Vlaue (Cr)'!$C:$FB,125)</f>
        <v>0.28000000000000003</v>
      </c>
      <c r="S123" s="75">
        <f>VLOOKUP($A123,'Data Vlaue (Cr)'!$C:$FB,128)*100</f>
        <v>33.33</v>
      </c>
    </row>
    <row r="124" spans="1:19" x14ac:dyDescent="0.25">
      <c r="A124" s="96" t="str">
        <f>'Data Vlaue (Cr)'!C115</f>
        <v>KFINTECH</v>
      </c>
      <c r="B124" s="75">
        <f>VLOOKUP($A124,'Data Vlaue (Cr)'!$C:$FB,2)</f>
        <v>500</v>
      </c>
      <c r="C124" s="75">
        <f>VLOOKUP($A124,'Data Vlaue (Cr)'!$C:$FB,8)</f>
        <v>976</v>
      </c>
      <c r="D124" s="75">
        <f>VLOOKUP($A124,'Data Vlaue (Cr)'!$C:$FB,4)</f>
        <v>977.6</v>
      </c>
      <c r="E124" s="75">
        <f>VLOOKUP($A124,'Data Vlaue (Cr)'!$C:$FB,5)</f>
        <v>953.35</v>
      </c>
      <c r="F124" s="75">
        <f t="shared" si="6"/>
        <v>1.6000000000000227</v>
      </c>
      <c r="G124" s="75">
        <f t="shared" si="7"/>
        <v>2.4805646481178396</v>
      </c>
      <c r="H124" s="75">
        <f>VLOOKUP($A124,'Data Vlaue (Cr)'!$C:$FB,99)</f>
        <v>723</v>
      </c>
      <c r="I124" s="75">
        <f>VLOOKUP($A124,'Data Vlaue (Cr)'!$C:$FB,100)</f>
        <v>616</v>
      </c>
      <c r="J124" s="75">
        <f t="shared" si="8"/>
        <v>107</v>
      </c>
      <c r="K124" s="75">
        <f t="shared" si="9"/>
        <v>14.799446749654219</v>
      </c>
      <c r="L124" s="75">
        <f>VLOOKUP($A124,'Data Vlaue (Cr)'!$C:$FB,67)</f>
        <v>951</v>
      </c>
      <c r="M124" s="75">
        <f>VLOOKUP($A124,'Data Vlaue (Cr)'!$C:$FB,68)</f>
        <v>1034</v>
      </c>
      <c r="N124" s="75">
        <f t="shared" si="10"/>
        <v>-83</v>
      </c>
      <c r="O124" s="75">
        <f t="shared" si="11"/>
        <v>-8.7276550998948466</v>
      </c>
      <c r="P124" s="75">
        <f>VLOOKUP($A124,'Data Vlaue (Cr)'!$C:$FB,119)</f>
        <v>0.5</v>
      </c>
      <c r="Q124" s="75">
        <f>VLOOKUP($A124,'Data Vlaue (Cr)'!$C:$FB,122)*100</f>
        <v>-1.96</v>
      </c>
      <c r="R124" s="75">
        <f>VLOOKUP($A124,'Data Vlaue (Cr)'!$C:$FB,125)</f>
        <v>0.26</v>
      </c>
      <c r="S124" s="75">
        <f>VLOOKUP($A124,'Data Vlaue (Cr)'!$C:$FB,128)*100</f>
        <v>30</v>
      </c>
    </row>
    <row r="125" spans="1:19" x14ac:dyDescent="0.25">
      <c r="A125" s="96" t="str">
        <f>'Data Vlaue (Cr)'!C116</f>
        <v>KOTAKBANK</v>
      </c>
      <c r="B125" s="75">
        <f>VLOOKUP($A125,'Data Vlaue (Cr)'!$C:$FB,2)</f>
        <v>2000</v>
      </c>
      <c r="C125" s="75">
        <f>VLOOKUP($A125,'Data Vlaue (Cr)'!$C:$FB,8)</f>
        <v>383.6</v>
      </c>
      <c r="D125" s="75">
        <f>VLOOKUP($A125,'Data Vlaue (Cr)'!$C:$FB,4)</f>
        <v>383.6</v>
      </c>
      <c r="E125" s="75">
        <f>VLOOKUP($A125,'Data Vlaue (Cr)'!$C:$FB,5)</f>
        <v>379.1</v>
      </c>
      <c r="F125" s="75">
        <f t="shared" si="6"/>
        <v>0</v>
      </c>
      <c r="G125" s="75">
        <f t="shared" si="7"/>
        <v>1.1730969760166841</v>
      </c>
      <c r="H125" s="75">
        <f>VLOOKUP($A125,'Data Vlaue (Cr)'!$C:$FB,99)</f>
        <v>10590</v>
      </c>
      <c r="I125" s="75">
        <f>VLOOKUP($A125,'Data Vlaue (Cr)'!$C:$FB,100)</f>
        <v>10747</v>
      </c>
      <c r="J125" s="75">
        <f t="shared" si="8"/>
        <v>-157</v>
      </c>
      <c r="K125" s="75">
        <f t="shared" si="9"/>
        <v>-1.4825306893295562</v>
      </c>
      <c r="L125" s="75">
        <f>VLOOKUP($A125,'Data Vlaue (Cr)'!$C:$FB,67)</f>
        <v>2646</v>
      </c>
      <c r="M125" s="75">
        <f>VLOOKUP($A125,'Data Vlaue (Cr)'!$C:$FB,68)</f>
        <v>3056</v>
      </c>
      <c r="N125" s="75">
        <f t="shared" si="10"/>
        <v>-410</v>
      </c>
      <c r="O125" s="75">
        <f t="shared" si="11"/>
        <v>-15.495086923658352</v>
      </c>
      <c r="P125" s="75">
        <f>VLOOKUP($A125,'Data Vlaue (Cr)'!$C:$FB,119)</f>
        <v>0.9</v>
      </c>
      <c r="Q125" s="75">
        <f>VLOOKUP($A125,'Data Vlaue (Cr)'!$C:$FB,122)*100</f>
        <v>7.1400000000000006</v>
      </c>
      <c r="R125" s="75">
        <f>VLOOKUP($A125,'Data Vlaue (Cr)'!$C:$FB,125)</f>
        <v>0.61</v>
      </c>
      <c r="S125" s="75">
        <f>VLOOKUP($A125,'Data Vlaue (Cr)'!$C:$FB,128)*100</f>
        <v>15.09</v>
      </c>
    </row>
    <row r="126" spans="1:19" x14ac:dyDescent="0.25">
      <c r="A126" s="96" t="str">
        <f>'Data Vlaue (Cr)'!C117</f>
        <v>KPITTECH</v>
      </c>
      <c r="B126" s="75">
        <f>VLOOKUP($A126,'Data Vlaue (Cr)'!$C:$FB,2)</f>
        <v>425</v>
      </c>
      <c r="C126" s="75">
        <f>VLOOKUP($A126,'Data Vlaue (Cr)'!$C:$FB,8)</f>
        <v>747.8</v>
      </c>
      <c r="D126" s="75">
        <f>VLOOKUP($A126,'Data Vlaue (Cr)'!$C:$FB,4)</f>
        <v>747.85</v>
      </c>
      <c r="E126" s="75">
        <f>VLOOKUP($A126,'Data Vlaue (Cr)'!$C:$FB,5)</f>
        <v>748.3</v>
      </c>
      <c r="F126" s="75">
        <f t="shared" si="6"/>
        <v>5.0000000000068212E-2</v>
      </c>
      <c r="G126" s="75">
        <f t="shared" si="7"/>
        <v>-6.0172494484178878E-2</v>
      </c>
      <c r="H126" s="75">
        <f>VLOOKUP($A126,'Data Vlaue (Cr)'!$C:$FB,99)</f>
        <v>963</v>
      </c>
      <c r="I126" s="75">
        <f>VLOOKUP($A126,'Data Vlaue (Cr)'!$C:$FB,100)</f>
        <v>934</v>
      </c>
      <c r="J126" s="75">
        <f t="shared" si="8"/>
        <v>29</v>
      </c>
      <c r="K126" s="75">
        <f t="shared" si="9"/>
        <v>3.0114226375908619</v>
      </c>
      <c r="L126" s="75">
        <f>VLOOKUP($A126,'Data Vlaue (Cr)'!$C:$FB,67)</f>
        <v>580</v>
      </c>
      <c r="M126" s="75">
        <f>VLOOKUP($A126,'Data Vlaue (Cr)'!$C:$FB,68)</f>
        <v>1063</v>
      </c>
      <c r="N126" s="75">
        <f t="shared" si="10"/>
        <v>-483</v>
      </c>
      <c r="O126" s="75">
        <f t="shared" si="11"/>
        <v>-83.275862068965523</v>
      </c>
      <c r="P126" s="75">
        <f>VLOOKUP($A126,'Data Vlaue (Cr)'!$C:$FB,119)</f>
        <v>0.64</v>
      </c>
      <c r="Q126" s="75">
        <f>VLOOKUP($A126,'Data Vlaue (Cr)'!$C:$FB,122)*100</f>
        <v>0</v>
      </c>
      <c r="R126" s="75">
        <f>VLOOKUP($A126,'Data Vlaue (Cr)'!$C:$FB,125)</f>
        <v>0.42</v>
      </c>
      <c r="S126" s="75">
        <f>VLOOKUP($A126,'Data Vlaue (Cr)'!$C:$FB,128)*100</f>
        <v>23.53</v>
      </c>
    </row>
    <row r="127" spans="1:19" x14ac:dyDescent="0.25">
      <c r="A127" s="96" t="str">
        <f>'Data Vlaue (Cr)'!C118</f>
        <v>LAURUSLABS</v>
      </c>
      <c r="B127" s="75">
        <f>VLOOKUP($A127,'Data Vlaue (Cr)'!$C:$FB,2)</f>
        <v>850</v>
      </c>
      <c r="C127" s="75">
        <f>VLOOKUP($A127,'Data Vlaue (Cr)'!$C:$FB,8)</f>
        <v>1135.75</v>
      </c>
      <c r="D127" s="75">
        <f>VLOOKUP($A127,'Data Vlaue (Cr)'!$C:$FB,4)</f>
        <v>1137.7</v>
      </c>
      <c r="E127" s="75">
        <f>VLOOKUP($A127,'Data Vlaue (Cr)'!$C:$FB,5)</f>
        <v>1131</v>
      </c>
      <c r="F127" s="75">
        <f t="shared" si="6"/>
        <v>1.9500000000000455</v>
      </c>
      <c r="G127" s="75">
        <f t="shared" si="7"/>
        <v>0.58890744484486635</v>
      </c>
      <c r="H127" s="75">
        <f>VLOOKUP($A127,'Data Vlaue (Cr)'!$C:$FB,99)</f>
        <v>3183</v>
      </c>
      <c r="I127" s="75">
        <f>VLOOKUP($A127,'Data Vlaue (Cr)'!$C:$FB,100)</f>
        <v>3162</v>
      </c>
      <c r="J127" s="75">
        <f t="shared" si="8"/>
        <v>21</v>
      </c>
      <c r="K127" s="75">
        <f t="shared" si="9"/>
        <v>0.65975494816211122</v>
      </c>
      <c r="L127" s="75">
        <f>VLOOKUP($A127,'Data Vlaue (Cr)'!$C:$FB,67)</f>
        <v>1388</v>
      </c>
      <c r="M127" s="75">
        <f>VLOOKUP($A127,'Data Vlaue (Cr)'!$C:$FB,68)</f>
        <v>1202</v>
      </c>
      <c r="N127" s="75">
        <f t="shared" si="10"/>
        <v>186</v>
      </c>
      <c r="O127" s="75">
        <f t="shared" si="11"/>
        <v>13.400576368876079</v>
      </c>
      <c r="P127" s="75">
        <f>VLOOKUP($A127,'Data Vlaue (Cr)'!$C:$FB,119)</f>
        <v>0.88</v>
      </c>
      <c r="Q127" s="75">
        <f>VLOOKUP($A127,'Data Vlaue (Cr)'!$C:$FB,122)*100</f>
        <v>0</v>
      </c>
      <c r="R127" s="75">
        <f>VLOOKUP($A127,'Data Vlaue (Cr)'!$C:$FB,125)</f>
        <v>0.55000000000000004</v>
      </c>
      <c r="S127" s="75">
        <f>VLOOKUP($A127,'Data Vlaue (Cr)'!$C:$FB,128)*100</f>
        <v>-6.78</v>
      </c>
    </row>
    <row r="128" spans="1:19" x14ac:dyDescent="0.25">
      <c r="A128" s="96" t="str">
        <f>'Data Vlaue (Cr)'!C119</f>
        <v>LICHSGFIN</v>
      </c>
      <c r="B128" s="75">
        <f>VLOOKUP($A128,'Data Vlaue (Cr)'!$C:$FB,2)</f>
        <v>1000</v>
      </c>
      <c r="C128" s="75">
        <f>VLOOKUP($A128,'Data Vlaue (Cr)'!$C:$FB,8)</f>
        <v>540</v>
      </c>
      <c r="D128" s="75">
        <f>VLOOKUP($A128,'Data Vlaue (Cr)'!$C:$FB,4)</f>
        <v>539.75</v>
      </c>
      <c r="E128" s="75">
        <f>VLOOKUP($A128,'Data Vlaue (Cr)'!$C:$FB,5)</f>
        <v>534.79999999999995</v>
      </c>
      <c r="F128" s="75">
        <f t="shared" si="6"/>
        <v>-0.25</v>
      </c>
      <c r="G128" s="75">
        <f t="shared" si="7"/>
        <v>0.91709124594720626</v>
      </c>
      <c r="H128" s="75">
        <f>VLOOKUP($A128,'Data Vlaue (Cr)'!$C:$FB,99)</f>
        <v>2360</v>
      </c>
      <c r="I128" s="75">
        <f>VLOOKUP($A128,'Data Vlaue (Cr)'!$C:$FB,100)</f>
        <v>2368</v>
      </c>
      <c r="J128" s="75">
        <f t="shared" si="8"/>
        <v>-8</v>
      </c>
      <c r="K128" s="75">
        <f t="shared" si="9"/>
        <v>-0.33898305084745761</v>
      </c>
      <c r="L128" s="75">
        <f>VLOOKUP($A128,'Data Vlaue (Cr)'!$C:$FB,67)</f>
        <v>516</v>
      </c>
      <c r="M128" s="75">
        <f>VLOOKUP($A128,'Data Vlaue (Cr)'!$C:$FB,68)</f>
        <v>706</v>
      </c>
      <c r="N128" s="75">
        <f t="shared" si="10"/>
        <v>-190</v>
      </c>
      <c r="O128" s="75">
        <f t="shared" si="11"/>
        <v>-36.821705426356587</v>
      </c>
      <c r="P128" s="75">
        <f>VLOOKUP($A128,'Data Vlaue (Cr)'!$C:$FB,119)</f>
        <v>0.97</v>
      </c>
      <c r="Q128" s="75">
        <f>VLOOKUP($A128,'Data Vlaue (Cr)'!$C:$FB,122)*100</f>
        <v>3.19</v>
      </c>
      <c r="R128" s="75">
        <f>VLOOKUP($A128,'Data Vlaue (Cr)'!$C:$FB,125)</f>
        <v>0.34</v>
      </c>
      <c r="S128" s="75">
        <f>VLOOKUP($A128,'Data Vlaue (Cr)'!$C:$FB,128)*100</f>
        <v>-5.56</v>
      </c>
    </row>
    <row r="129" spans="1:19" x14ac:dyDescent="0.25">
      <c r="A129" s="96" t="str">
        <f>'Data Vlaue (Cr)'!C120</f>
        <v>LICI</v>
      </c>
      <c r="B129" s="75">
        <f>VLOOKUP($A129,'Data Vlaue (Cr)'!$C:$FB,2)</f>
        <v>700</v>
      </c>
      <c r="C129" s="75">
        <f>VLOOKUP($A129,'Data Vlaue (Cr)'!$C:$FB,8)</f>
        <v>842.2</v>
      </c>
      <c r="D129" s="75">
        <f>VLOOKUP($A129,'Data Vlaue (Cr)'!$C:$FB,4)</f>
        <v>844.15</v>
      </c>
      <c r="E129" s="75">
        <f>VLOOKUP($A129,'Data Vlaue (Cr)'!$C:$FB,5)</f>
        <v>839.8</v>
      </c>
      <c r="F129" s="75">
        <f t="shared" si="6"/>
        <v>1.9499999999999318</v>
      </c>
      <c r="G129" s="75">
        <f t="shared" si="7"/>
        <v>0.51531125984718629</v>
      </c>
      <c r="H129" s="75">
        <f>VLOOKUP($A129,'Data Vlaue (Cr)'!$C:$FB,99)</f>
        <v>1858</v>
      </c>
      <c r="I129" s="75">
        <f>VLOOKUP($A129,'Data Vlaue (Cr)'!$C:$FB,100)</f>
        <v>1727</v>
      </c>
      <c r="J129" s="75">
        <f t="shared" si="8"/>
        <v>131</v>
      </c>
      <c r="K129" s="75">
        <f t="shared" si="9"/>
        <v>7.050592034445641</v>
      </c>
      <c r="L129" s="75">
        <f>VLOOKUP($A129,'Data Vlaue (Cr)'!$C:$FB,67)</f>
        <v>805</v>
      </c>
      <c r="M129" s="75">
        <f>VLOOKUP($A129,'Data Vlaue (Cr)'!$C:$FB,68)</f>
        <v>1014</v>
      </c>
      <c r="N129" s="75">
        <f t="shared" si="10"/>
        <v>-209</v>
      </c>
      <c r="O129" s="75">
        <f t="shared" si="11"/>
        <v>-25.962732919254663</v>
      </c>
      <c r="P129" s="75">
        <f>VLOOKUP($A129,'Data Vlaue (Cr)'!$C:$FB,119)</f>
        <v>0.59</v>
      </c>
      <c r="Q129" s="75">
        <f>VLOOKUP($A129,'Data Vlaue (Cr)'!$C:$FB,122)*100</f>
        <v>-6.35</v>
      </c>
      <c r="R129" s="75">
        <f>VLOOKUP($A129,'Data Vlaue (Cr)'!$C:$FB,125)</f>
        <v>0.47</v>
      </c>
      <c r="S129" s="75">
        <f>VLOOKUP($A129,'Data Vlaue (Cr)'!$C:$FB,128)*100</f>
        <v>27.029999999999998</v>
      </c>
    </row>
    <row r="130" spans="1:19" x14ac:dyDescent="0.25">
      <c r="A130" s="96" t="str">
        <f>'Data Vlaue (Cr)'!C121</f>
        <v>LODHA</v>
      </c>
      <c r="B130" s="75">
        <f>VLOOKUP($A130,'Data Vlaue (Cr)'!$C:$FB,2)</f>
        <v>450</v>
      </c>
      <c r="C130" s="75">
        <f>VLOOKUP($A130,'Data Vlaue (Cr)'!$C:$FB,8)</f>
        <v>872.55</v>
      </c>
      <c r="D130" s="75">
        <f>VLOOKUP($A130,'Data Vlaue (Cr)'!$C:$FB,4)</f>
        <v>872.85</v>
      </c>
      <c r="E130" s="75">
        <f>VLOOKUP($A130,'Data Vlaue (Cr)'!$C:$FB,5)</f>
        <v>875.65</v>
      </c>
      <c r="F130" s="75">
        <f t="shared" si="6"/>
        <v>0.30000000000006821</v>
      </c>
      <c r="G130" s="75">
        <f t="shared" si="7"/>
        <v>-0.32078822248954053</v>
      </c>
      <c r="H130" s="75">
        <f>VLOOKUP($A130,'Data Vlaue (Cr)'!$C:$FB,99)</f>
        <v>2668</v>
      </c>
      <c r="I130" s="75">
        <f>VLOOKUP($A130,'Data Vlaue (Cr)'!$C:$FB,100)</f>
        <v>2755</v>
      </c>
      <c r="J130" s="75">
        <f t="shared" si="8"/>
        <v>-87</v>
      </c>
      <c r="K130" s="75">
        <f t="shared" si="9"/>
        <v>-3.2608695652173911</v>
      </c>
      <c r="L130" s="75">
        <f>VLOOKUP($A130,'Data Vlaue (Cr)'!$C:$FB,67)</f>
        <v>1313</v>
      </c>
      <c r="M130" s="75">
        <f>VLOOKUP($A130,'Data Vlaue (Cr)'!$C:$FB,68)</f>
        <v>1538</v>
      </c>
      <c r="N130" s="75">
        <f t="shared" si="10"/>
        <v>-225</v>
      </c>
      <c r="O130" s="75">
        <f t="shared" si="11"/>
        <v>-17.136329017517134</v>
      </c>
      <c r="P130" s="75">
        <f>VLOOKUP($A130,'Data Vlaue (Cr)'!$C:$FB,119)</f>
        <v>0.84</v>
      </c>
      <c r="Q130" s="75">
        <f>VLOOKUP($A130,'Data Vlaue (Cr)'!$C:$FB,122)*100</f>
        <v>-9.68</v>
      </c>
      <c r="R130" s="75">
        <f>VLOOKUP($A130,'Data Vlaue (Cr)'!$C:$FB,125)</f>
        <v>0.82</v>
      </c>
      <c r="S130" s="75">
        <f>VLOOKUP($A130,'Data Vlaue (Cr)'!$C:$FB,128)*100</f>
        <v>5.13</v>
      </c>
    </row>
    <row r="131" spans="1:19" x14ac:dyDescent="0.25">
      <c r="A131" s="96" t="str">
        <f>'Data Vlaue (Cr)'!C122</f>
        <v>LT</v>
      </c>
      <c r="B131" s="75">
        <f>VLOOKUP($A131,'Data Vlaue (Cr)'!$C:$FB,2)</f>
        <v>175</v>
      </c>
      <c r="C131" s="75">
        <f>VLOOKUP($A131,'Data Vlaue (Cr)'!$C:$FB,8)</f>
        <v>4096.1000000000004</v>
      </c>
      <c r="D131" s="75">
        <f>VLOOKUP($A131,'Data Vlaue (Cr)'!$C:$FB,4)</f>
        <v>4106.8999999999996</v>
      </c>
      <c r="E131" s="75">
        <f>VLOOKUP($A131,'Data Vlaue (Cr)'!$C:$FB,5)</f>
        <v>4118</v>
      </c>
      <c r="F131" s="75">
        <f t="shared" si="6"/>
        <v>10.799999999999272</v>
      </c>
      <c r="G131" s="75">
        <f t="shared" si="7"/>
        <v>-0.27027685115294664</v>
      </c>
      <c r="H131" s="75">
        <f>VLOOKUP($A131,'Data Vlaue (Cr)'!$C:$FB,99)</f>
        <v>13271</v>
      </c>
      <c r="I131" s="75">
        <f>VLOOKUP($A131,'Data Vlaue (Cr)'!$C:$FB,100)</f>
        <v>13201</v>
      </c>
      <c r="J131" s="75">
        <f t="shared" si="8"/>
        <v>70</v>
      </c>
      <c r="K131" s="75">
        <f t="shared" si="9"/>
        <v>0.52746590309697838</v>
      </c>
      <c r="L131" s="75">
        <f>VLOOKUP($A131,'Data Vlaue (Cr)'!$C:$FB,67)</f>
        <v>5620</v>
      </c>
      <c r="M131" s="75">
        <f>VLOOKUP($A131,'Data Vlaue (Cr)'!$C:$FB,68)</f>
        <v>8219</v>
      </c>
      <c r="N131" s="75">
        <f t="shared" si="10"/>
        <v>-2599</v>
      </c>
      <c r="O131" s="75">
        <f t="shared" si="11"/>
        <v>-46.245551601423493</v>
      </c>
      <c r="P131" s="75">
        <f>VLOOKUP($A131,'Data Vlaue (Cr)'!$C:$FB,119)</f>
        <v>0.89</v>
      </c>
      <c r="Q131" s="75">
        <f>VLOOKUP($A131,'Data Vlaue (Cr)'!$C:$FB,122)*100</f>
        <v>2.2999999999999998</v>
      </c>
      <c r="R131" s="75">
        <f>VLOOKUP($A131,'Data Vlaue (Cr)'!$C:$FB,125)</f>
        <v>0.9</v>
      </c>
      <c r="S131" s="75">
        <f>VLOOKUP($A131,'Data Vlaue (Cr)'!$C:$FB,128)*100</f>
        <v>52.54</v>
      </c>
    </row>
    <row r="132" spans="1:19" x14ac:dyDescent="0.25">
      <c r="A132" s="96" t="str">
        <f>'Data Vlaue (Cr)'!C123</f>
        <v>LTF</v>
      </c>
      <c r="B132" s="75">
        <f>VLOOKUP($A132,'Data Vlaue (Cr)'!$C:$FB,2)</f>
        <v>2250</v>
      </c>
      <c r="C132" s="75">
        <f>VLOOKUP($A132,'Data Vlaue (Cr)'!$C:$FB,8)</f>
        <v>287.14</v>
      </c>
      <c r="D132" s="75">
        <f>VLOOKUP($A132,'Data Vlaue (Cr)'!$C:$FB,4)</f>
        <v>287.35000000000002</v>
      </c>
      <c r="E132" s="75">
        <f>VLOOKUP($A132,'Data Vlaue (Cr)'!$C:$FB,5)</f>
        <v>280.79000000000002</v>
      </c>
      <c r="F132" s="75">
        <f t="shared" si="6"/>
        <v>0.21000000000003638</v>
      </c>
      <c r="G132" s="75">
        <f t="shared" si="7"/>
        <v>2.2829302244649385</v>
      </c>
      <c r="H132" s="75">
        <f>VLOOKUP($A132,'Data Vlaue (Cr)'!$C:$FB,99)</f>
        <v>2535</v>
      </c>
      <c r="I132" s="75">
        <f>VLOOKUP($A132,'Data Vlaue (Cr)'!$C:$FB,100)</f>
        <v>2574</v>
      </c>
      <c r="J132" s="75">
        <f t="shared" si="8"/>
        <v>-39</v>
      </c>
      <c r="K132" s="75">
        <f t="shared" si="9"/>
        <v>-1.5384615384615385</v>
      </c>
      <c r="L132" s="75">
        <f>VLOOKUP($A132,'Data Vlaue (Cr)'!$C:$FB,67)</f>
        <v>1297</v>
      </c>
      <c r="M132" s="75">
        <f>VLOOKUP($A132,'Data Vlaue (Cr)'!$C:$FB,68)</f>
        <v>982</v>
      </c>
      <c r="N132" s="75">
        <f t="shared" si="10"/>
        <v>315</v>
      </c>
      <c r="O132" s="75">
        <f t="shared" si="11"/>
        <v>24.286815728604473</v>
      </c>
      <c r="P132" s="75">
        <f>VLOOKUP($A132,'Data Vlaue (Cr)'!$C:$FB,119)</f>
        <v>0.87</v>
      </c>
      <c r="Q132" s="75">
        <f>VLOOKUP($A132,'Data Vlaue (Cr)'!$C:$FB,122)*100</f>
        <v>11.540000000000001</v>
      </c>
      <c r="R132" s="75">
        <f>VLOOKUP($A132,'Data Vlaue (Cr)'!$C:$FB,125)</f>
        <v>0.61</v>
      </c>
      <c r="S132" s="75">
        <f>VLOOKUP($A132,'Data Vlaue (Cr)'!$C:$FB,128)*100</f>
        <v>79.41</v>
      </c>
    </row>
    <row r="133" spans="1:19" x14ac:dyDescent="0.25">
      <c r="A133" s="96" t="str">
        <f>'Data Vlaue (Cr)'!C124</f>
        <v>LTM</v>
      </c>
      <c r="B133" s="75">
        <f>VLOOKUP($A133,'Data Vlaue (Cr)'!$C:$FB,2)</f>
        <v>150</v>
      </c>
      <c r="C133" s="75">
        <f>VLOOKUP($A133,'Data Vlaue (Cr)'!$C:$FB,8)</f>
        <v>4753.6000000000004</v>
      </c>
      <c r="D133" s="75">
        <f>VLOOKUP($A133,'Data Vlaue (Cr)'!$C:$FB,4)</f>
        <v>4691.8</v>
      </c>
      <c r="E133" s="75">
        <f>VLOOKUP($A133,'Data Vlaue (Cr)'!$C:$FB,5)</f>
        <v>4633</v>
      </c>
      <c r="F133" s="75">
        <f t="shared" si="6"/>
        <v>-61.800000000000182</v>
      </c>
      <c r="G133" s="75">
        <f t="shared" si="7"/>
        <v>1.2532503516773985</v>
      </c>
      <c r="H133" s="75">
        <f>VLOOKUP($A133,'Data Vlaue (Cr)'!$C:$FB,99)</f>
        <v>3269</v>
      </c>
      <c r="I133" s="75">
        <f>VLOOKUP($A133,'Data Vlaue (Cr)'!$C:$FB,100)</f>
        <v>3258</v>
      </c>
      <c r="J133" s="75">
        <f t="shared" si="8"/>
        <v>11</v>
      </c>
      <c r="K133" s="75">
        <f t="shared" si="9"/>
        <v>0.33649434077699603</v>
      </c>
      <c r="L133" s="75">
        <f>VLOOKUP($A133,'Data Vlaue (Cr)'!$C:$FB,67)</f>
        <v>1264</v>
      </c>
      <c r="M133" s="75">
        <f>VLOOKUP($A133,'Data Vlaue (Cr)'!$C:$FB,68)</f>
        <v>2108</v>
      </c>
      <c r="N133" s="75">
        <f t="shared" si="10"/>
        <v>-844</v>
      </c>
      <c r="O133" s="75">
        <f t="shared" si="11"/>
        <v>-66.77215189873418</v>
      </c>
      <c r="P133" s="75">
        <f>VLOOKUP($A133,'Data Vlaue (Cr)'!$C:$FB,119)</f>
        <v>0.87</v>
      </c>
      <c r="Q133" s="75">
        <f>VLOOKUP($A133,'Data Vlaue (Cr)'!$C:$FB,122)*100</f>
        <v>12.989999999999998</v>
      </c>
      <c r="R133" s="75">
        <f>VLOOKUP($A133,'Data Vlaue (Cr)'!$C:$FB,125)</f>
        <v>0.5</v>
      </c>
      <c r="S133" s="75">
        <f>VLOOKUP($A133,'Data Vlaue (Cr)'!$C:$FB,128)*100</f>
        <v>78.569999999999993</v>
      </c>
    </row>
    <row r="134" spans="1:19" x14ac:dyDescent="0.25">
      <c r="A134" s="96" t="str">
        <f>'Data Vlaue (Cr)'!C125</f>
        <v>LUPIN</v>
      </c>
      <c r="B134" s="75">
        <f>VLOOKUP($A134,'Data Vlaue (Cr)'!$C:$FB,2)</f>
        <v>425</v>
      </c>
      <c r="C134" s="75">
        <f>VLOOKUP($A134,'Data Vlaue (Cr)'!$C:$FB,8)</f>
        <v>2326.1</v>
      </c>
      <c r="D134" s="75">
        <f>VLOOKUP($A134,'Data Vlaue (Cr)'!$C:$FB,4)</f>
        <v>2328.4</v>
      </c>
      <c r="E134" s="75">
        <f>VLOOKUP($A134,'Data Vlaue (Cr)'!$C:$FB,5)</f>
        <v>2326.1999999999998</v>
      </c>
      <c r="F134" s="75">
        <f t="shared" si="6"/>
        <v>2.3000000000001819</v>
      </c>
      <c r="G134" s="75">
        <f t="shared" si="7"/>
        <v>9.4485483593895928E-2</v>
      </c>
      <c r="H134" s="75">
        <f>VLOOKUP($A134,'Data Vlaue (Cr)'!$C:$FB,99)</f>
        <v>2532</v>
      </c>
      <c r="I134" s="75">
        <f>VLOOKUP($A134,'Data Vlaue (Cr)'!$C:$FB,100)</f>
        <v>2484</v>
      </c>
      <c r="J134" s="75">
        <f t="shared" si="8"/>
        <v>48</v>
      </c>
      <c r="K134" s="75">
        <f t="shared" si="9"/>
        <v>1.8957345971563981</v>
      </c>
      <c r="L134" s="75">
        <f>VLOOKUP($A134,'Data Vlaue (Cr)'!$C:$FB,67)</f>
        <v>1573</v>
      </c>
      <c r="M134" s="75">
        <f>VLOOKUP($A134,'Data Vlaue (Cr)'!$C:$FB,68)</f>
        <v>1623</v>
      </c>
      <c r="N134" s="75">
        <f t="shared" si="10"/>
        <v>-50</v>
      </c>
      <c r="O134" s="75">
        <f t="shared" si="11"/>
        <v>-3.1786395422759059</v>
      </c>
      <c r="P134" s="75">
        <f>VLOOKUP($A134,'Data Vlaue (Cr)'!$C:$FB,119)</f>
        <v>0.64</v>
      </c>
      <c r="Q134" s="75">
        <f>VLOOKUP($A134,'Data Vlaue (Cr)'!$C:$FB,122)*100</f>
        <v>-5.88</v>
      </c>
      <c r="R134" s="75">
        <f>VLOOKUP($A134,'Data Vlaue (Cr)'!$C:$FB,125)</f>
        <v>0.47</v>
      </c>
      <c r="S134" s="75">
        <f>VLOOKUP($A134,'Data Vlaue (Cr)'!$C:$FB,128)*100</f>
        <v>2.17</v>
      </c>
    </row>
    <row r="135" spans="1:19" x14ac:dyDescent="0.25">
      <c r="A135" s="96" t="str">
        <f>'Data Vlaue (Cr)'!C126</f>
        <v>M&amp;M</v>
      </c>
      <c r="B135" s="75">
        <f>VLOOKUP($A135,'Data Vlaue (Cr)'!$C:$FB,2)</f>
        <v>200</v>
      </c>
      <c r="C135" s="75">
        <f>VLOOKUP($A135,'Data Vlaue (Cr)'!$C:$FB,8)</f>
        <v>3200.2</v>
      </c>
      <c r="D135" s="75">
        <f>VLOOKUP($A135,'Data Vlaue (Cr)'!$C:$FB,4)</f>
        <v>3207.2</v>
      </c>
      <c r="E135" s="75">
        <f>VLOOKUP($A135,'Data Vlaue (Cr)'!$C:$FB,5)</f>
        <v>3229.3</v>
      </c>
      <c r="F135" s="75">
        <f t="shared" si="6"/>
        <v>7</v>
      </c>
      <c r="G135" s="75">
        <f t="shared" si="7"/>
        <v>-0.68907458219008377</v>
      </c>
      <c r="H135" s="75">
        <f>VLOOKUP($A135,'Data Vlaue (Cr)'!$C:$FB,99)</f>
        <v>9265</v>
      </c>
      <c r="I135" s="75">
        <f>VLOOKUP($A135,'Data Vlaue (Cr)'!$C:$FB,100)</f>
        <v>8976</v>
      </c>
      <c r="J135" s="75">
        <f t="shared" si="8"/>
        <v>289</v>
      </c>
      <c r="K135" s="75">
        <f t="shared" si="9"/>
        <v>3.1192660550458715</v>
      </c>
      <c r="L135" s="75">
        <f>VLOOKUP($A135,'Data Vlaue (Cr)'!$C:$FB,67)</f>
        <v>3803</v>
      </c>
      <c r="M135" s="75">
        <f>VLOOKUP($A135,'Data Vlaue (Cr)'!$C:$FB,68)</f>
        <v>3899</v>
      </c>
      <c r="N135" s="75">
        <f t="shared" si="10"/>
        <v>-96</v>
      </c>
      <c r="O135" s="75">
        <f t="shared" si="11"/>
        <v>-2.5243229029713383</v>
      </c>
      <c r="P135" s="75">
        <f>VLOOKUP($A135,'Data Vlaue (Cr)'!$C:$FB,119)</f>
        <v>0.65</v>
      </c>
      <c r="Q135" s="75">
        <f>VLOOKUP($A135,'Data Vlaue (Cr)'!$C:$FB,122)*100</f>
        <v>-5.8000000000000007</v>
      </c>
      <c r="R135" s="75">
        <f>VLOOKUP($A135,'Data Vlaue (Cr)'!$C:$FB,125)</f>
        <v>0.55000000000000004</v>
      </c>
      <c r="S135" s="75">
        <f>VLOOKUP($A135,'Data Vlaue (Cr)'!$C:$FB,128)*100</f>
        <v>-8.33</v>
      </c>
    </row>
    <row r="136" spans="1:19" x14ac:dyDescent="0.25">
      <c r="A136" s="96" t="str">
        <f>'Data Vlaue (Cr)'!C127</f>
        <v>MANAPPURAM</v>
      </c>
      <c r="B136" s="75">
        <f>VLOOKUP($A136,'Data Vlaue (Cr)'!$C:$FB,2)</f>
        <v>3000</v>
      </c>
      <c r="C136" s="75">
        <f>VLOOKUP($A136,'Data Vlaue (Cr)'!$C:$FB,8)</f>
        <v>268.89999999999998</v>
      </c>
      <c r="D136" s="75">
        <f>VLOOKUP($A136,'Data Vlaue (Cr)'!$C:$FB,4)</f>
        <v>270.05</v>
      </c>
      <c r="E136" s="75">
        <f>VLOOKUP($A136,'Data Vlaue (Cr)'!$C:$FB,5)</f>
        <v>269.05</v>
      </c>
      <c r="F136" s="75">
        <f t="shared" si="6"/>
        <v>1.1500000000000341</v>
      </c>
      <c r="G136" s="75">
        <f t="shared" si="7"/>
        <v>0.37030179596371038</v>
      </c>
      <c r="H136" s="75">
        <f>VLOOKUP($A136,'Data Vlaue (Cr)'!$C:$FB,99)</f>
        <v>2221</v>
      </c>
      <c r="I136" s="75">
        <f>VLOOKUP($A136,'Data Vlaue (Cr)'!$C:$FB,100)</f>
        <v>2172</v>
      </c>
      <c r="J136" s="75">
        <f t="shared" si="8"/>
        <v>49</v>
      </c>
      <c r="K136" s="75">
        <f t="shared" si="9"/>
        <v>2.2062134173795585</v>
      </c>
      <c r="L136" s="75">
        <f>VLOOKUP($A136,'Data Vlaue (Cr)'!$C:$FB,67)</f>
        <v>732</v>
      </c>
      <c r="M136" s="75">
        <f>VLOOKUP($A136,'Data Vlaue (Cr)'!$C:$FB,68)</f>
        <v>629</v>
      </c>
      <c r="N136" s="75">
        <f t="shared" si="10"/>
        <v>103</v>
      </c>
      <c r="O136" s="75">
        <f t="shared" si="11"/>
        <v>14.071038251366119</v>
      </c>
      <c r="P136" s="75">
        <f>VLOOKUP($A136,'Data Vlaue (Cr)'!$C:$FB,119)</f>
        <v>0.65</v>
      </c>
      <c r="Q136" s="75">
        <f>VLOOKUP($A136,'Data Vlaue (Cr)'!$C:$FB,122)*100</f>
        <v>4.84</v>
      </c>
      <c r="R136" s="75">
        <f>VLOOKUP($A136,'Data Vlaue (Cr)'!$C:$FB,125)</f>
        <v>0.68</v>
      </c>
      <c r="S136" s="75">
        <f>VLOOKUP($A136,'Data Vlaue (Cr)'!$C:$FB,128)*100</f>
        <v>13.33</v>
      </c>
    </row>
    <row r="137" spans="1:19" x14ac:dyDescent="0.25">
      <c r="A137" s="96" t="str">
        <f>'Data Vlaue (Cr)'!C128</f>
        <v>MANKIND</v>
      </c>
      <c r="B137" s="75">
        <f>VLOOKUP($A137,'Data Vlaue (Cr)'!$C:$FB,2)</f>
        <v>225</v>
      </c>
      <c r="C137" s="75">
        <f>VLOOKUP($A137,'Data Vlaue (Cr)'!$C:$FB,8)</f>
        <v>2125</v>
      </c>
      <c r="D137" s="75">
        <f>VLOOKUP($A137,'Data Vlaue (Cr)'!$C:$FB,4)</f>
        <v>2129.4</v>
      </c>
      <c r="E137" s="75">
        <f>VLOOKUP($A137,'Data Vlaue (Cr)'!$C:$FB,5)</f>
        <v>2101.6999999999998</v>
      </c>
      <c r="F137" s="75">
        <f t="shared" si="6"/>
        <v>4.4000000000000909</v>
      </c>
      <c r="G137" s="75">
        <f t="shared" si="7"/>
        <v>1.3008359162205445</v>
      </c>
      <c r="H137" s="75">
        <f>VLOOKUP($A137,'Data Vlaue (Cr)'!$C:$FB,99)</f>
        <v>846</v>
      </c>
      <c r="I137" s="75">
        <f>VLOOKUP($A137,'Data Vlaue (Cr)'!$C:$FB,100)</f>
        <v>835</v>
      </c>
      <c r="J137" s="75">
        <f t="shared" si="8"/>
        <v>11</v>
      </c>
      <c r="K137" s="75">
        <f t="shared" si="9"/>
        <v>1.3002364066193852</v>
      </c>
      <c r="L137" s="75">
        <f>VLOOKUP($A137,'Data Vlaue (Cr)'!$C:$FB,67)</f>
        <v>226</v>
      </c>
      <c r="M137" s="75">
        <f>VLOOKUP($A137,'Data Vlaue (Cr)'!$C:$FB,68)</f>
        <v>306</v>
      </c>
      <c r="N137" s="75">
        <f t="shared" si="10"/>
        <v>-80</v>
      </c>
      <c r="O137" s="75">
        <f t="shared" si="11"/>
        <v>-35.398230088495573</v>
      </c>
      <c r="P137" s="75">
        <f>VLOOKUP($A137,'Data Vlaue (Cr)'!$C:$FB,119)</f>
        <v>0.33</v>
      </c>
      <c r="Q137" s="75">
        <f>VLOOKUP($A137,'Data Vlaue (Cr)'!$C:$FB,122)*100</f>
        <v>-5.71</v>
      </c>
      <c r="R137" s="75">
        <f>VLOOKUP($A137,'Data Vlaue (Cr)'!$C:$FB,125)</f>
        <v>0.15</v>
      </c>
      <c r="S137" s="75">
        <f>VLOOKUP($A137,'Data Vlaue (Cr)'!$C:$FB,128)*100</f>
        <v>-55.879999999999995</v>
      </c>
    </row>
    <row r="138" spans="1:19" x14ac:dyDescent="0.25">
      <c r="A138" s="96" t="str">
        <f>'Data Vlaue (Cr)'!C129</f>
        <v>MARICO</v>
      </c>
      <c r="B138" s="75">
        <f>VLOOKUP($A138,'Data Vlaue (Cr)'!$C:$FB,2)</f>
        <v>1200</v>
      </c>
      <c r="C138" s="75">
        <f>VLOOKUP($A138,'Data Vlaue (Cr)'!$C:$FB,8)</f>
        <v>757.3</v>
      </c>
      <c r="D138" s="75">
        <f>VLOOKUP($A138,'Data Vlaue (Cr)'!$C:$FB,4)</f>
        <v>758.45</v>
      </c>
      <c r="E138" s="75">
        <f>VLOOKUP($A138,'Data Vlaue (Cr)'!$C:$FB,5)</f>
        <v>746.4</v>
      </c>
      <c r="F138" s="75">
        <f t="shared" si="6"/>
        <v>1.1500000000000909</v>
      </c>
      <c r="G138" s="75">
        <f t="shared" si="7"/>
        <v>1.5887665633858616</v>
      </c>
      <c r="H138" s="75">
        <f>VLOOKUP($A138,'Data Vlaue (Cr)'!$C:$FB,99)</f>
        <v>2541</v>
      </c>
      <c r="I138" s="75">
        <f>VLOOKUP($A138,'Data Vlaue (Cr)'!$C:$FB,100)</f>
        <v>2548</v>
      </c>
      <c r="J138" s="75">
        <f t="shared" si="8"/>
        <v>-7</v>
      </c>
      <c r="K138" s="75">
        <f t="shared" si="9"/>
        <v>-0.27548209366391185</v>
      </c>
      <c r="L138" s="75">
        <f>VLOOKUP($A138,'Data Vlaue (Cr)'!$C:$FB,67)</f>
        <v>1580</v>
      </c>
      <c r="M138" s="75">
        <f>VLOOKUP($A138,'Data Vlaue (Cr)'!$C:$FB,68)</f>
        <v>938</v>
      </c>
      <c r="N138" s="75">
        <f t="shared" si="10"/>
        <v>642</v>
      </c>
      <c r="O138" s="75">
        <f t="shared" si="11"/>
        <v>40.632911392405063</v>
      </c>
      <c r="P138" s="75">
        <f>VLOOKUP($A138,'Data Vlaue (Cr)'!$C:$FB,119)</f>
        <v>0.86</v>
      </c>
      <c r="Q138" s="75">
        <f>VLOOKUP($A138,'Data Vlaue (Cr)'!$C:$FB,122)*100</f>
        <v>-2.27</v>
      </c>
      <c r="R138" s="75">
        <f>VLOOKUP($A138,'Data Vlaue (Cr)'!$C:$FB,125)</f>
        <v>0.27</v>
      </c>
      <c r="S138" s="75">
        <f>VLOOKUP($A138,'Data Vlaue (Cr)'!$C:$FB,128)*100</f>
        <v>-40</v>
      </c>
    </row>
    <row r="139" spans="1:19" x14ac:dyDescent="0.25">
      <c r="A139" s="96" t="str">
        <f>'Data Vlaue (Cr)'!C130</f>
        <v>MARUTI</v>
      </c>
      <c r="B139" s="75">
        <f>VLOOKUP($A139,'Data Vlaue (Cr)'!$C:$FB,2)</f>
        <v>50</v>
      </c>
      <c r="C139" s="75">
        <f>VLOOKUP($A139,'Data Vlaue (Cr)'!$C:$FB,8)</f>
        <v>13453</v>
      </c>
      <c r="D139" s="75">
        <f>VLOOKUP($A139,'Data Vlaue (Cr)'!$C:$FB,4)</f>
        <v>13490</v>
      </c>
      <c r="E139" s="75">
        <f>VLOOKUP($A139,'Data Vlaue (Cr)'!$C:$FB,5)</f>
        <v>13352</v>
      </c>
      <c r="F139" s="75">
        <f t="shared" si="6"/>
        <v>37</v>
      </c>
      <c r="G139" s="75">
        <f t="shared" si="7"/>
        <v>1.022979985174203</v>
      </c>
      <c r="H139" s="75">
        <f>VLOOKUP($A139,'Data Vlaue (Cr)'!$C:$FB,99)</f>
        <v>9231</v>
      </c>
      <c r="I139" s="75">
        <f>VLOOKUP($A139,'Data Vlaue (Cr)'!$C:$FB,100)</f>
        <v>9078</v>
      </c>
      <c r="J139" s="75">
        <f t="shared" si="8"/>
        <v>153</v>
      </c>
      <c r="K139" s="75">
        <f t="shared" si="9"/>
        <v>1.6574585635359116</v>
      </c>
      <c r="L139" s="75">
        <f>VLOOKUP($A139,'Data Vlaue (Cr)'!$C:$FB,67)</f>
        <v>12734</v>
      </c>
      <c r="M139" s="75">
        <f>VLOOKUP($A139,'Data Vlaue (Cr)'!$C:$FB,68)</f>
        <v>4783</v>
      </c>
      <c r="N139" s="75">
        <f t="shared" si="10"/>
        <v>7951</v>
      </c>
      <c r="O139" s="75">
        <f t="shared" si="11"/>
        <v>62.439139312077906</v>
      </c>
      <c r="P139" s="75">
        <f>VLOOKUP($A139,'Data Vlaue (Cr)'!$C:$FB,119)</f>
        <v>0.59</v>
      </c>
      <c r="Q139" s="75">
        <f>VLOOKUP($A139,'Data Vlaue (Cr)'!$C:$FB,122)*100</f>
        <v>5.36</v>
      </c>
      <c r="R139" s="75">
        <f>VLOOKUP($A139,'Data Vlaue (Cr)'!$C:$FB,125)</f>
        <v>0.42</v>
      </c>
      <c r="S139" s="75">
        <f>VLOOKUP($A139,'Data Vlaue (Cr)'!$C:$FB,128)*100</f>
        <v>-10.639999999999999</v>
      </c>
    </row>
    <row r="140" spans="1:19" x14ac:dyDescent="0.25">
      <c r="A140" s="96" t="str">
        <f>'Data Vlaue (Cr)'!C131</f>
        <v>MAXHEALTH</v>
      </c>
      <c r="B140" s="75">
        <f>VLOOKUP($A140,'Data Vlaue (Cr)'!$C:$FB,2)</f>
        <v>525</v>
      </c>
      <c r="C140" s="75">
        <f>VLOOKUP($A140,'Data Vlaue (Cr)'!$C:$FB,8)</f>
        <v>1007.65</v>
      </c>
      <c r="D140" s="75">
        <f>VLOOKUP($A140,'Data Vlaue (Cr)'!$C:$FB,4)</f>
        <v>1007.45</v>
      </c>
      <c r="E140" s="75">
        <f>VLOOKUP($A140,'Data Vlaue (Cr)'!$C:$FB,5)</f>
        <v>991</v>
      </c>
      <c r="F140" s="75">
        <f t="shared" ref="F140:F176" si="12">D140-C140</f>
        <v>-0.19999999999993179</v>
      </c>
      <c r="G140" s="75">
        <f t="shared" ref="G140:G176" si="13">(D140-E140)/D140*100</f>
        <v>1.6328353764454857</v>
      </c>
      <c r="H140" s="75">
        <f>VLOOKUP($A140,'Data Vlaue (Cr)'!$C:$FB,99)</f>
        <v>2152</v>
      </c>
      <c r="I140" s="75">
        <f>VLOOKUP($A140,'Data Vlaue (Cr)'!$C:$FB,100)</f>
        <v>2099</v>
      </c>
      <c r="J140" s="75">
        <f t="shared" ref="J140:J176" si="14">H140-I140</f>
        <v>53</v>
      </c>
      <c r="K140" s="75">
        <f t="shared" ref="K140:K176" si="15">J140/H140*100</f>
        <v>2.462825278810409</v>
      </c>
      <c r="L140" s="75">
        <f>VLOOKUP($A140,'Data Vlaue (Cr)'!$C:$FB,67)</f>
        <v>1119</v>
      </c>
      <c r="M140" s="75">
        <f>VLOOKUP($A140,'Data Vlaue (Cr)'!$C:$FB,68)</f>
        <v>1722</v>
      </c>
      <c r="N140" s="75">
        <f t="shared" ref="N140:N176" si="16">L140-M140</f>
        <v>-603</v>
      </c>
      <c r="O140" s="75">
        <f t="shared" ref="O140:O176" si="17">N140/L140*100</f>
        <v>-53.887399463806972</v>
      </c>
      <c r="P140" s="75">
        <f>VLOOKUP($A140,'Data Vlaue (Cr)'!$C:$FB,119)</f>
        <v>0.56000000000000005</v>
      </c>
      <c r="Q140" s="75">
        <f>VLOOKUP($A140,'Data Vlaue (Cr)'!$C:$FB,122)*100</f>
        <v>-13.850000000000001</v>
      </c>
      <c r="R140" s="75">
        <f>VLOOKUP($A140,'Data Vlaue (Cr)'!$C:$FB,125)</f>
        <v>0.35</v>
      </c>
      <c r="S140" s="75">
        <f>VLOOKUP($A140,'Data Vlaue (Cr)'!$C:$FB,128)*100</f>
        <v>-10.26</v>
      </c>
    </row>
    <row r="141" spans="1:19" x14ac:dyDescent="0.25">
      <c r="A141" s="96" t="str">
        <f>'Data Vlaue (Cr)'!C132</f>
        <v>MAZDOCK</v>
      </c>
      <c r="B141" s="75">
        <f>VLOOKUP($A141,'Data Vlaue (Cr)'!$C:$FB,2)</f>
        <v>200</v>
      </c>
      <c r="C141" s="75">
        <f>VLOOKUP($A141,'Data Vlaue (Cr)'!$C:$FB,8)</f>
        <v>2616.4</v>
      </c>
      <c r="D141" s="75">
        <f>VLOOKUP($A141,'Data Vlaue (Cr)'!$C:$FB,4)</f>
        <v>2624.7</v>
      </c>
      <c r="E141" s="75">
        <f>VLOOKUP($A141,'Data Vlaue (Cr)'!$C:$FB,5)</f>
        <v>2572.6</v>
      </c>
      <c r="F141" s="75">
        <f t="shared" si="12"/>
        <v>8.2999999999997272</v>
      </c>
      <c r="G141" s="75">
        <f t="shared" si="13"/>
        <v>1.9849887606202581</v>
      </c>
      <c r="H141" s="75">
        <f>VLOOKUP($A141,'Data Vlaue (Cr)'!$C:$FB,99)</f>
        <v>2890</v>
      </c>
      <c r="I141" s="75">
        <f>VLOOKUP($A141,'Data Vlaue (Cr)'!$C:$FB,100)</f>
        <v>2657</v>
      </c>
      <c r="J141" s="75">
        <f t="shared" si="14"/>
        <v>233</v>
      </c>
      <c r="K141" s="75">
        <f t="shared" si="15"/>
        <v>8.062283737024222</v>
      </c>
      <c r="L141" s="75">
        <f>VLOOKUP($A141,'Data Vlaue (Cr)'!$C:$FB,67)</f>
        <v>4690</v>
      </c>
      <c r="M141" s="75">
        <f>VLOOKUP($A141,'Data Vlaue (Cr)'!$C:$FB,68)</f>
        <v>2358</v>
      </c>
      <c r="N141" s="75">
        <f t="shared" si="16"/>
        <v>2332</v>
      </c>
      <c r="O141" s="75">
        <f t="shared" si="17"/>
        <v>49.722814498933907</v>
      </c>
      <c r="P141" s="75">
        <f>VLOOKUP($A141,'Data Vlaue (Cr)'!$C:$FB,119)</f>
        <v>0.73</v>
      </c>
      <c r="Q141" s="75">
        <f>VLOOKUP($A141,'Data Vlaue (Cr)'!$C:$FB,122)*100</f>
        <v>-6.41</v>
      </c>
      <c r="R141" s="75">
        <f>VLOOKUP($A141,'Data Vlaue (Cr)'!$C:$FB,125)</f>
        <v>0.32</v>
      </c>
      <c r="S141" s="75">
        <f>VLOOKUP($A141,'Data Vlaue (Cr)'!$C:$FB,128)*100</f>
        <v>-31.91</v>
      </c>
    </row>
    <row r="142" spans="1:19" x14ac:dyDescent="0.25">
      <c r="A142" s="96" t="str">
        <f>'Data Vlaue (Cr)'!C133</f>
        <v>MCX</v>
      </c>
      <c r="B142" s="75">
        <f>VLOOKUP($A142,'Data Vlaue (Cr)'!$C:$FB,2)</f>
        <v>625</v>
      </c>
      <c r="C142" s="75">
        <f>VLOOKUP($A142,'Data Vlaue (Cr)'!$C:$FB,8)</f>
        <v>2856.1</v>
      </c>
      <c r="D142" s="75">
        <f>VLOOKUP($A142,'Data Vlaue (Cr)'!$C:$FB,4)</f>
        <v>2861.9</v>
      </c>
      <c r="E142" s="75">
        <f>VLOOKUP($A142,'Data Vlaue (Cr)'!$C:$FB,5)</f>
        <v>2872.7</v>
      </c>
      <c r="F142" s="75">
        <f t="shared" si="12"/>
        <v>5.8000000000001819</v>
      </c>
      <c r="G142" s="75">
        <f t="shared" si="13"/>
        <v>-0.37737167615918543</v>
      </c>
      <c r="H142" s="75">
        <f>VLOOKUP($A142,'Data Vlaue (Cr)'!$C:$FB,99)</f>
        <v>8544</v>
      </c>
      <c r="I142" s="75">
        <f>VLOOKUP($A142,'Data Vlaue (Cr)'!$C:$FB,100)</f>
        <v>8437</v>
      </c>
      <c r="J142" s="75">
        <f t="shared" si="14"/>
        <v>107</v>
      </c>
      <c r="K142" s="75">
        <f t="shared" si="15"/>
        <v>1.2523408239700373</v>
      </c>
      <c r="L142" s="75">
        <f>VLOOKUP($A142,'Data Vlaue (Cr)'!$C:$FB,67)</f>
        <v>12493</v>
      </c>
      <c r="M142" s="75">
        <f>VLOOKUP($A142,'Data Vlaue (Cr)'!$C:$FB,68)</f>
        <v>7616</v>
      </c>
      <c r="N142" s="75">
        <f t="shared" si="16"/>
        <v>4877</v>
      </c>
      <c r="O142" s="75">
        <f t="shared" si="17"/>
        <v>39.03786120227327</v>
      </c>
      <c r="P142" s="75">
        <f>VLOOKUP($A142,'Data Vlaue (Cr)'!$C:$FB,119)</f>
        <v>0.91</v>
      </c>
      <c r="Q142" s="75">
        <f>VLOOKUP($A142,'Data Vlaue (Cr)'!$C:$FB,122)*100</f>
        <v>-4.21</v>
      </c>
      <c r="R142" s="75">
        <f>VLOOKUP($A142,'Data Vlaue (Cr)'!$C:$FB,125)</f>
        <v>0.73</v>
      </c>
      <c r="S142" s="75">
        <f>VLOOKUP($A142,'Data Vlaue (Cr)'!$C:$FB,128)*100</f>
        <v>28.07</v>
      </c>
    </row>
    <row r="143" spans="1:19" x14ac:dyDescent="0.25">
      <c r="A143" s="96" t="str">
        <f>'Data Vlaue (Cr)'!C134</f>
        <v>MFSL</v>
      </c>
      <c r="B143" s="75">
        <f>VLOOKUP($A143,'Data Vlaue (Cr)'!$C:$FB,2)</f>
        <v>400</v>
      </c>
      <c r="C143" s="75">
        <f>VLOOKUP($A143,'Data Vlaue (Cr)'!$C:$FB,8)</f>
        <v>1683.2</v>
      </c>
      <c r="D143" s="75">
        <f>VLOOKUP($A143,'Data Vlaue (Cr)'!$C:$FB,4)</f>
        <v>1681.8</v>
      </c>
      <c r="E143" s="75">
        <f>VLOOKUP($A143,'Data Vlaue (Cr)'!$C:$FB,5)</f>
        <v>1694.6</v>
      </c>
      <c r="F143" s="75">
        <f t="shared" si="12"/>
        <v>-1.4000000000000909</v>
      </c>
      <c r="G143" s="75">
        <f t="shared" si="13"/>
        <v>-0.76108930907360894</v>
      </c>
      <c r="H143" s="75">
        <f>VLOOKUP($A143,'Data Vlaue (Cr)'!$C:$FB,99)</f>
        <v>1880</v>
      </c>
      <c r="I143" s="75">
        <f>VLOOKUP($A143,'Data Vlaue (Cr)'!$C:$FB,100)</f>
        <v>1918</v>
      </c>
      <c r="J143" s="75">
        <f t="shared" si="14"/>
        <v>-38</v>
      </c>
      <c r="K143" s="75"/>
      <c r="L143" s="75">
        <f>VLOOKUP($A143,'Data Vlaue (Cr)'!$C:$FB,67)</f>
        <v>289</v>
      </c>
      <c r="M143" s="75">
        <f>VLOOKUP($A143,'Data Vlaue (Cr)'!$C:$FB,68)</f>
        <v>263</v>
      </c>
      <c r="N143" s="75">
        <f t="shared" si="16"/>
        <v>26</v>
      </c>
      <c r="O143" s="75">
        <f t="shared" si="17"/>
        <v>8.9965397923875443</v>
      </c>
      <c r="P143" s="75">
        <f>VLOOKUP($A143,'Data Vlaue (Cr)'!$C:$FB,119)</f>
        <v>0.61</v>
      </c>
      <c r="Q143" s="75">
        <f>VLOOKUP($A143,'Data Vlaue (Cr)'!$C:$FB,122)*100</f>
        <v>-4.6899999999999995</v>
      </c>
      <c r="R143" s="75">
        <f>VLOOKUP($A143,'Data Vlaue (Cr)'!$C:$FB,125)</f>
        <v>0.81</v>
      </c>
      <c r="S143" s="75">
        <f>VLOOKUP($A143,'Data Vlaue (Cr)'!$C:$FB,128)*100</f>
        <v>42.11</v>
      </c>
    </row>
    <row r="144" spans="1:19" x14ac:dyDescent="0.25">
      <c r="A144" s="96" t="str">
        <f>'Data Vlaue (Cr)'!C135</f>
        <v>MIDCPNIFTY</v>
      </c>
      <c r="B144" s="75">
        <f>VLOOKUP($A144,'Data Vlaue (Cr)'!$C:$FB,2)</f>
        <v>120</v>
      </c>
      <c r="C144" s="75">
        <f>VLOOKUP($A144,'Data Vlaue (Cr)'!$C:$FB,8)</f>
        <v>13838.85</v>
      </c>
      <c r="D144" s="75">
        <f>VLOOKUP($A144,'Data Vlaue (Cr)'!$C:$FB,4)</f>
        <v>13849.2</v>
      </c>
      <c r="E144" s="75">
        <f>VLOOKUP($A144,'Data Vlaue (Cr)'!$C:$FB,5)</f>
        <v>13681.15</v>
      </c>
      <c r="F144" s="75">
        <f t="shared" si="12"/>
        <v>10.350000000000364</v>
      </c>
      <c r="G144" s="75">
        <f t="shared" si="13"/>
        <v>1.2134274903965652</v>
      </c>
      <c r="H144" s="75">
        <f>VLOOKUP($A144,'Data Vlaue (Cr)'!$C:$FB,99)</f>
        <v>21736</v>
      </c>
      <c r="I144" s="75">
        <f>VLOOKUP($A144,'Data Vlaue (Cr)'!$C:$FB,100)</f>
        <v>18917</v>
      </c>
      <c r="J144" s="75">
        <f t="shared" si="14"/>
        <v>2819</v>
      </c>
      <c r="K144" s="75">
        <f t="shared" si="15"/>
        <v>12.969267574530733</v>
      </c>
      <c r="L144" s="75">
        <f>VLOOKUP($A144,'Data Vlaue (Cr)'!$C:$FB,67)</f>
        <v>46570</v>
      </c>
      <c r="M144" s="75">
        <f>VLOOKUP($A144,'Data Vlaue (Cr)'!$C:$FB,68)</f>
        <v>32103</v>
      </c>
      <c r="N144" s="75">
        <f t="shared" si="16"/>
        <v>14467</v>
      </c>
      <c r="O144" s="75">
        <f t="shared" si="17"/>
        <v>31.065063345501397</v>
      </c>
      <c r="P144" s="75">
        <f>VLOOKUP($A144,'Data Vlaue (Cr)'!$C:$FB,119)</f>
        <v>1.21</v>
      </c>
      <c r="Q144" s="75">
        <f>VLOOKUP($A144,'Data Vlaue (Cr)'!$C:$FB,122)*100</f>
        <v>-4.72</v>
      </c>
      <c r="R144" s="75">
        <f>VLOOKUP($A144,'Data Vlaue (Cr)'!$C:$FB,125)</f>
        <v>1.32</v>
      </c>
      <c r="S144" s="75">
        <f>VLOOKUP($A144,'Data Vlaue (Cr)'!$C:$FB,128)*100</f>
        <v>25.71</v>
      </c>
    </row>
    <row r="145" spans="1:19" x14ac:dyDescent="0.25">
      <c r="A145" s="96" t="str">
        <f>'Data Vlaue (Cr)'!C136</f>
        <v>MOTHERSON</v>
      </c>
      <c r="B145" s="75">
        <f>VLOOKUP($A145,'Data Vlaue (Cr)'!$C:$FB,2)</f>
        <v>6150</v>
      </c>
      <c r="C145" s="75">
        <f>VLOOKUP($A145,'Data Vlaue (Cr)'!$C:$FB,8)</f>
        <v>125.03</v>
      </c>
      <c r="D145" s="75">
        <f>VLOOKUP($A145,'Data Vlaue (Cr)'!$C:$FB,4)</f>
        <v>125.05</v>
      </c>
      <c r="E145" s="75">
        <f>VLOOKUP($A145,'Data Vlaue (Cr)'!$C:$FB,5)</f>
        <v>123.06</v>
      </c>
      <c r="F145" s="75">
        <f t="shared" si="12"/>
        <v>1.9999999999996021E-2</v>
      </c>
      <c r="G145" s="75">
        <f t="shared" si="13"/>
        <v>1.5913634546181488</v>
      </c>
      <c r="H145" s="75">
        <f>VLOOKUP($A145,'Data Vlaue (Cr)'!$C:$FB,99)</f>
        <v>2556</v>
      </c>
      <c r="I145" s="75">
        <f>VLOOKUP($A145,'Data Vlaue (Cr)'!$C:$FB,100)</f>
        <v>2617</v>
      </c>
      <c r="J145" s="75">
        <f t="shared" si="14"/>
        <v>-61</v>
      </c>
      <c r="K145" s="75">
        <f t="shared" si="15"/>
        <v>-2.3865414710485133</v>
      </c>
      <c r="L145" s="75">
        <f>VLOOKUP($A145,'Data Vlaue (Cr)'!$C:$FB,67)</f>
        <v>1121</v>
      </c>
      <c r="M145" s="75">
        <f>VLOOKUP($A145,'Data Vlaue (Cr)'!$C:$FB,68)</f>
        <v>703</v>
      </c>
      <c r="N145" s="75">
        <f t="shared" si="16"/>
        <v>418</v>
      </c>
      <c r="O145" s="75">
        <f t="shared" si="17"/>
        <v>37.288135593220339</v>
      </c>
      <c r="P145" s="75">
        <f>VLOOKUP($A145,'Data Vlaue (Cr)'!$C:$FB,119)</f>
        <v>0.89</v>
      </c>
      <c r="Q145" s="75">
        <f>VLOOKUP($A145,'Data Vlaue (Cr)'!$C:$FB,122)*100</f>
        <v>-10.100000000000001</v>
      </c>
      <c r="R145" s="75">
        <f>VLOOKUP($A145,'Data Vlaue (Cr)'!$C:$FB,125)</f>
        <v>1.01</v>
      </c>
      <c r="S145" s="75">
        <f>VLOOKUP($A145,'Data Vlaue (Cr)'!$C:$FB,128)*100</f>
        <v>26.25</v>
      </c>
    </row>
    <row r="146" spans="1:19" x14ac:dyDescent="0.25">
      <c r="A146" s="96" t="str">
        <f>'Data Vlaue (Cr)'!C137</f>
        <v>MOTILALOFS</v>
      </c>
      <c r="B146" s="75">
        <f>VLOOKUP($A146,'Data Vlaue (Cr)'!$C:$FB,2)</f>
        <v>775</v>
      </c>
      <c r="C146" s="75">
        <f>VLOOKUP($A146,'Data Vlaue (Cr)'!$C:$FB,8)</f>
        <v>815.45</v>
      </c>
      <c r="D146" s="75">
        <f>VLOOKUP($A146,'Data Vlaue (Cr)'!$C:$FB,4)</f>
        <v>817.75</v>
      </c>
      <c r="E146" s="75">
        <f>VLOOKUP($A146,'Data Vlaue (Cr)'!$C:$FB,5)</f>
        <v>784.95</v>
      </c>
      <c r="F146" s="75">
        <f t="shared" si="12"/>
        <v>2.2999999999999545</v>
      </c>
      <c r="G146" s="75">
        <f t="shared" si="13"/>
        <v>4.0110058086212108</v>
      </c>
      <c r="H146" s="75">
        <f>VLOOKUP($A146,'Data Vlaue (Cr)'!$C:$FB,99)</f>
        <v>464</v>
      </c>
      <c r="I146" s="75">
        <f>VLOOKUP($A146,'Data Vlaue (Cr)'!$C:$FB,100)</f>
        <v>352</v>
      </c>
      <c r="J146" s="75">
        <f t="shared" si="14"/>
        <v>112</v>
      </c>
      <c r="K146" s="75">
        <f t="shared" si="15"/>
        <v>24.137931034482758</v>
      </c>
      <c r="L146" s="75">
        <f>VLOOKUP($A146,'Data Vlaue (Cr)'!$C:$FB,67)</f>
        <v>911</v>
      </c>
      <c r="M146" s="75">
        <f>VLOOKUP($A146,'Data Vlaue (Cr)'!$C:$FB,68)</f>
        <v>366</v>
      </c>
      <c r="N146" s="75">
        <f t="shared" si="16"/>
        <v>545</v>
      </c>
      <c r="O146" s="75">
        <f t="shared" si="17"/>
        <v>59.824368825466522</v>
      </c>
      <c r="P146" s="75">
        <f>VLOOKUP($A146,'Data Vlaue (Cr)'!$C:$FB,119)</f>
        <v>0.78</v>
      </c>
      <c r="Q146" s="75">
        <f>VLOOKUP($A146,'Data Vlaue (Cr)'!$C:$FB,122)*100</f>
        <v>-9.3000000000000007</v>
      </c>
      <c r="R146" s="75">
        <f>VLOOKUP($A146,'Data Vlaue (Cr)'!$C:$FB,125)</f>
        <v>0.23</v>
      </c>
      <c r="S146" s="75">
        <f>VLOOKUP($A146,'Data Vlaue (Cr)'!$C:$FB,128)*100</f>
        <v>-87.960000000000008</v>
      </c>
    </row>
    <row r="147" spans="1:19" x14ac:dyDescent="0.25">
      <c r="A147" s="96" t="str">
        <f>'Data Vlaue (Cr)'!C138</f>
        <v>MPHASIS</v>
      </c>
      <c r="B147" s="75">
        <f>VLOOKUP($A147,'Data Vlaue (Cr)'!$C:$FB,2)</f>
        <v>275</v>
      </c>
      <c r="C147" s="75">
        <f>VLOOKUP($A147,'Data Vlaue (Cr)'!$C:$FB,8)</f>
        <v>2462.1999999999998</v>
      </c>
      <c r="D147" s="75">
        <f>VLOOKUP($A147,'Data Vlaue (Cr)'!$C:$FB,4)</f>
        <v>2470</v>
      </c>
      <c r="E147" s="75">
        <f>VLOOKUP($A147,'Data Vlaue (Cr)'!$C:$FB,5)</f>
        <v>2448.5</v>
      </c>
      <c r="F147" s="75">
        <f t="shared" si="12"/>
        <v>7.8000000000001819</v>
      </c>
      <c r="G147" s="75">
        <f t="shared" si="13"/>
        <v>0.87044534412955465</v>
      </c>
      <c r="H147" s="75">
        <f>VLOOKUP($A147,'Data Vlaue (Cr)'!$C:$FB,99)</f>
        <v>1687</v>
      </c>
      <c r="I147" s="75">
        <f>VLOOKUP($A147,'Data Vlaue (Cr)'!$C:$FB,100)</f>
        <v>1742</v>
      </c>
      <c r="J147" s="75">
        <f t="shared" si="14"/>
        <v>-55</v>
      </c>
      <c r="K147" s="75">
        <f t="shared" si="15"/>
        <v>-3.2602252519264971</v>
      </c>
      <c r="L147" s="75">
        <f>VLOOKUP($A147,'Data Vlaue (Cr)'!$C:$FB,67)</f>
        <v>581</v>
      </c>
      <c r="M147" s="75">
        <f>VLOOKUP($A147,'Data Vlaue (Cr)'!$C:$FB,68)</f>
        <v>953</v>
      </c>
      <c r="N147" s="75">
        <f t="shared" si="16"/>
        <v>-372</v>
      </c>
      <c r="O147" s="75">
        <f t="shared" si="17"/>
        <v>-64.027538726333916</v>
      </c>
      <c r="P147" s="75">
        <f>VLOOKUP($A147,'Data Vlaue (Cr)'!$C:$FB,119)</f>
        <v>0.78</v>
      </c>
      <c r="Q147" s="75">
        <f>VLOOKUP($A147,'Data Vlaue (Cr)'!$C:$FB,122)*100</f>
        <v>0</v>
      </c>
      <c r="R147" s="75">
        <f>VLOOKUP($A147,'Data Vlaue (Cr)'!$C:$FB,125)</f>
        <v>0.76</v>
      </c>
      <c r="S147" s="75">
        <f>VLOOKUP($A147,'Data Vlaue (Cr)'!$C:$FB,128)*100</f>
        <v>130.29999999999998</v>
      </c>
    </row>
    <row r="148" spans="1:19" x14ac:dyDescent="0.25">
      <c r="A148" s="96" t="str">
        <f>'Data Vlaue (Cr)'!C139</f>
        <v>MUTHOOTFIN</v>
      </c>
      <c r="B148" s="75">
        <f>VLOOKUP($A148,'Data Vlaue (Cr)'!$C:$FB,2)</f>
        <v>275</v>
      </c>
      <c r="C148" s="75">
        <f>VLOOKUP($A148,'Data Vlaue (Cr)'!$C:$FB,8)</f>
        <v>3571.3</v>
      </c>
      <c r="D148" s="75">
        <f>VLOOKUP($A148,'Data Vlaue (Cr)'!$C:$FB,4)</f>
        <v>3572</v>
      </c>
      <c r="E148" s="75">
        <f>VLOOKUP($A148,'Data Vlaue (Cr)'!$C:$FB,5)</f>
        <v>3549.6</v>
      </c>
      <c r="F148" s="75">
        <f t="shared" si="12"/>
        <v>0.6999999999998181</v>
      </c>
      <c r="G148" s="75">
        <f t="shared" si="13"/>
        <v>0.62709966405375395</v>
      </c>
      <c r="H148" s="75">
        <f>VLOOKUP($A148,'Data Vlaue (Cr)'!$C:$FB,99)</f>
        <v>2752</v>
      </c>
      <c r="I148" s="75">
        <f>VLOOKUP($A148,'Data Vlaue (Cr)'!$C:$FB,100)</f>
        <v>2678</v>
      </c>
      <c r="J148" s="75">
        <f t="shared" si="14"/>
        <v>74</v>
      </c>
      <c r="K148" s="75">
        <f t="shared" si="15"/>
        <v>2.6889534883720931</v>
      </c>
      <c r="L148" s="75">
        <f>VLOOKUP($A148,'Data Vlaue (Cr)'!$C:$FB,67)</f>
        <v>2998</v>
      </c>
      <c r="M148" s="75">
        <f>VLOOKUP($A148,'Data Vlaue (Cr)'!$C:$FB,68)</f>
        <v>1664</v>
      </c>
      <c r="N148" s="75">
        <f t="shared" si="16"/>
        <v>1334</v>
      </c>
      <c r="O148" s="75">
        <f t="shared" si="17"/>
        <v>44.496330887258175</v>
      </c>
      <c r="P148" s="75">
        <f>VLOOKUP($A148,'Data Vlaue (Cr)'!$C:$FB,119)</f>
        <v>0.61</v>
      </c>
      <c r="Q148" s="75">
        <f>VLOOKUP($A148,'Data Vlaue (Cr)'!$C:$FB,122)*100</f>
        <v>-8.9599999999999991</v>
      </c>
      <c r="R148" s="75">
        <f>VLOOKUP($A148,'Data Vlaue (Cr)'!$C:$FB,125)</f>
        <v>0.51</v>
      </c>
      <c r="S148" s="75">
        <f>VLOOKUP($A148,'Data Vlaue (Cr)'!$C:$FB,128)*100</f>
        <v>4.08</v>
      </c>
    </row>
    <row r="149" spans="1:19" x14ac:dyDescent="0.25">
      <c r="A149" s="96" t="str">
        <f>'Data Vlaue (Cr)'!C140</f>
        <v>NAM-INDIA</v>
      </c>
      <c r="B149" s="75">
        <f>VLOOKUP($A149,'Data Vlaue (Cr)'!$C:$FB,2)</f>
        <v>625</v>
      </c>
      <c r="C149" s="75">
        <f>VLOOKUP($A149,'Data Vlaue (Cr)'!$C:$FB,8)</f>
        <v>1015.05</v>
      </c>
      <c r="D149" s="75">
        <f>VLOOKUP($A149,'Data Vlaue (Cr)'!$C:$FB,4)</f>
        <v>1000.05</v>
      </c>
      <c r="E149" s="75">
        <f>VLOOKUP($A149,'Data Vlaue (Cr)'!$C:$FB,5)</f>
        <v>963.9</v>
      </c>
      <c r="F149" s="75">
        <f t="shared" si="12"/>
        <v>-15</v>
      </c>
      <c r="G149" s="75">
        <f t="shared" si="13"/>
        <v>3.6148192590370463</v>
      </c>
      <c r="H149" s="75">
        <f>VLOOKUP($A149,'Data Vlaue (Cr)'!$C:$FB,99)</f>
        <v>444</v>
      </c>
      <c r="I149" s="75">
        <f>VLOOKUP($A149,'Data Vlaue (Cr)'!$C:$FB,100)</f>
        <v>375</v>
      </c>
      <c r="J149" s="75">
        <f t="shared" si="14"/>
        <v>69</v>
      </c>
      <c r="K149" s="75">
        <f t="shared" si="15"/>
        <v>15.54054054054054</v>
      </c>
      <c r="L149" s="75">
        <f>VLOOKUP($A149,'Data Vlaue (Cr)'!$C:$FB,67)</f>
        <v>485</v>
      </c>
      <c r="M149" s="75">
        <f>VLOOKUP($A149,'Data Vlaue (Cr)'!$C:$FB,68)</f>
        <v>490</v>
      </c>
      <c r="N149" s="75">
        <f t="shared" si="16"/>
        <v>-5</v>
      </c>
      <c r="O149" s="75">
        <f t="shared" si="17"/>
        <v>-1.0309278350515463</v>
      </c>
      <c r="P149" s="75">
        <f>VLOOKUP($A149,'Data Vlaue (Cr)'!$C:$FB,119)</f>
        <v>0.73</v>
      </c>
      <c r="Q149" s="75">
        <f>VLOOKUP($A149,'Data Vlaue (Cr)'!$C:$FB,122)*100</f>
        <v>25.86</v>
      </c>
      <c r="R149" s="75">
        <f>VLOOKUP($A149,'Data Vlaue (Cr)'!$C:$FB,125)</f>
        <v>0.26</v>
      </c>
      <c r="S149" s="75">
        <f>VLOOKUP($A149,'Data Vlaue (Cr)'!$C:$FB,128)*100</f>
        <v>-79.36999999999999</v>
      </c>
    </row>
    <row r="150" spans="1:19" x14ac:dyDescent="0.25">
      <c r="A150" s="96" t="str">
        <f>'Data Vlaue (Cr)'!C141</f>
        <v>NATIONALUM</v>
      </c>
      <c r="B150" s="75">
        <f>VLOOKUP($A150,'Data Vlaue (Cr)'!$C:$FB,2)</f>
        <v>3750</v>
      </c>
      <c r="C150" s="75">
        <f>VLOOKUP($A150,'Data Vlaue (Cr)'!$C:$FB,8)</f>
        <v>438.75</v>
      </c>
      <c r="D150" s="75">
        <f>VLOOKUP($A150,'Data Vlaue (Cr)'!$C:$FB,4)</f>
        <v>438.65</v>
      </c>
      <c r="E150" s="75">
        <f>VLOOKUP($A150,'Data Vlaue (Cr)'!$C:$FB,5)</f>
        <v>434</v>
      </c>
      <c r="F150" s="75">
        <f t="shared" si="12"/>
        <v>-0.10000000000002274</v>
      </c>
      <c r="G150" s="75">
        <f t="shared" si="13"/>
        <v>1.0600706713780867</v>
      </c>
      <c r="H150" s="75">
        <f>VLOOKUP($A150,'Data Vlaue (Cr)'!$C:$FB,99)</f>
        <v>5363</v>
      </c>
      <c r="I150" s="75">
        <f>VLOOKUP($A150,'Data Vlaue (Cr)'!$C:$FB,100)</f>
        <v>5400</v>
      </c>
      <c r="J150" s="75">
        <f t="shared" si="14"/>
        <v>-37</v>
      </c>
      <c r="K150" s="75">
        <f t="shared" si="15"/>
        <v>-0.68991236248368448</v>
      </c>
      <c r="L150" s="75">
        <f>VLOOKUP($A150,'Data Vlaue (Cr)'!$C:$FB,67)</f>
        <v>4902</v>
      </c>
      <c r="M150" s="75">
        <f>VLOOKUP($A150,'Data Vlaue (Cr)'!$C:$FB,68)</f>
        <v>6597</v>
      </c>
      <c r="N150" s="75">
        <f t="shared" si="16"/>
        <v>-1695</v>
      </c>
      <c r="O150" s="75">
        <f t="shared" si="17"/>
        <v>-34.57772337821298</v>
      </c>
      <c r="P150" s="75">
        <f>VLOOKUP($A150,'Data Vlaue (Cr)'!$C:$FB,119)</f>
        <v>1</v>
      </c>
      <c r="Q150" s="75">
        <f>VLOOKUP($A150,'Data Vlaue (Cr)'!$C:$FB,122)*100</f>
        <v>7.53</v>
      </c>
      <c r="R150" s="75">
        <f>VLOOKUP($A150,'Data Vlaue (Cr)'!$C:$FB,125)</f>
        <v>0.55000000000000004</v>
      </c>
      <c r="S150" s="75">
        <f>VLOOKUP($A150,'Data Vlaue (Cr)'!$C:$FB,128)*100</f>
        <v>37.5</v>
      </c>
    </row>
    <row r="151" spans="1:19" x14ac:dyDescent="0.25">
      <c r="A151" s="96" t="str">
        <f>'Data Vlaue (Cr)'!C142</f>
        <v>NAUKRI</v>
      </c>
      <c r="B151" s="75">
        <f>VLOOKUP($A151,'Data Vlaue (Cr)'!$C:$FB,2)</f>
        <v>375</v>
      </c>
      <c r="C151" s="75">
        <f>VLOOKUP($A151,'Data Vlaue (Cr)'!$C:$FB,8)</f>
        <v>1054.55</v>
      </c>
      <c r="D151" s="75">
        <f>VLOOKUP($A151,'Data Vlaue (Cr)'!$C:$FB,4)</f>
        <v>1055.5</v>
      </c>
      <c r="E151" s="75">
        <f>VLOOKUP($A151,'Data Vlaue (Cr)'!$C:$FB,5)</f>
        <v>1051.0999999999999</v>
      </c>
      <c r="F151" s="75">
        <f t="shared" si="12"/>
        <v>0.95000000000004547</v>
      </c>
      <c r="G151" s="75">
        <f t="shared" si="13"/>
        <v>0.4168640454760863</v>
      </c>
      <c r="H151" s="75">
        <f>VLOOKUP($A151,'Data Vlaue (Cr)'!$C:$FB,99)</f>
        <v>1522</v>
      </c>
      <c r="I151" s="75">
        <f>VLOOKUP($A151,'Data Vlaue (Cr)'!$C:$FB,100)</f>
        <v>1512</v>
      </c>
      <c r="J151" s="75">
        <f t="shared" si="14"/>
        <v>10</v>
      </c>
      <c r="K151" s="75">
        <f t="shared" si="15"/>
        <v>0.65703022339027595</v>
      </c>
      <c r="L151" s="75">
        <f>VLOOKUP($A151,'Data Vlaue (Cr)'!$C:$FB,67)</f>
        <v>484</v>
      </c>
      <c r="M151" s="75">
        <f>VLOOKUP($A151,'Data Vlaue (Cr)'!$C:$FB,68)</f>
        <v>685</v>
      </c>
      <c r="N151" s="75">
        <f t="shared" si="16"/>
        <v>-201</v>
      </c>
      <c r="O151" s="75">
        <f t="shared" si="17"/>
        <v>-41.528925619834709</v>
      </c>
      <c r="P151" s="75">
        <f>VLOOKUP($A151,'Data Vlaue (Cr)'!$C:$FB,119)</f>
        <v>0.43</v>
      </c>
      <c r="Q151" s="75">
        <f>VLOOKUP($A151,'Data Vlaue (Cr)'!$C:$FB,122)*100</f>
        <v>-4.4400000000000004</v>
      </c>
      <c r="R151" s="75">
        <f>VLOOKUP($A151,'Data Vlaue (Cr)'!$C:$FB,125)</f>
        <v>0.43</v>
      </c>
      <c r="S151" s="75">
        <f>VLOOKUP($A151,'Data Vlaue (Cr)'!$C:$FB,128)*100</f>
        <v>34.369999999999997</v>
      </c>
    </row>
    <row r="152" spans="1:19" x14ac:dyDescent="0.25">
      <c r="A152" s="96" t="str">
        <f>'Data Vlaue (Cr)'!C143</f>
        <v>NBCC</v>
      </c>
      <c r="B152" s="75">
        <f>VLOOKUP($A152,'Data Vlaue (Cr)'!$C:$FB,2)</f>
        <v>6500</v>
      </c>
      <c r="C152" s="75">
        <f>VLOOKUP($A152,'Data Vlaue (Cr)'!$C:$FB,8)</f>
        <v>94.32</v>
      </c>
      <c r="D152" s="75">
        <f>VLOOKUP($A152,'Data Vlaue (Cr)'!$C:$FB,4)</f>
        <v>94.45</v>
      </c>
      <c r="E152" s="75">
        <f>VLOOKUP($A152,'Data Vlaue (Cr)'!$C:$FB,5)</f>
        <v>93.3</v>
      </c>
      <c r="F152" s="75">
        <f t="shared" si="12"/>
        <v>0.13000000000000966</v>
      </c>
      <c r="G152" s="75">
        <f t="shared" si="13"/>
        <v>1.2175754367390215</v>
      </c>
      <c r="H152" s="75">
        <f>VLOOKUP($A152,'Data Vlaue (Cr)'!$C:$FB,99)</f>
        <v>1064</v>
      </c>
      <c r="I152" s="75">
        <f>VLOOKUP($A152,'Data Vlaue (Cr)'!$C:$FB,100)</f>
        <v>1021</v>
      </c>
      <c r="J152" s="75">
        <f t="shared" si="14"/>
        <v>43</v>
      </c>
      <c r="K152" s="75">
        <f t="shared" si="15"/>
        <v>4.0413533834586461</v>
      </c>
      <c r="L152" s="75">
        <f>VLOOKUP($A152,'Data Vlaue (Cr)'!$C:$FB,67)</f>
        <v>447</v>
      </c>
      <c r="M152" s="75">
        <f>VLOOKUP($A152,'Data Vlaue (Cr)'!$C:$FB,68)</f>
        <v>318</v>
      </c>
      <c r="N152" s="75">
        <f t="shared" si="16"/>
        <v>129</v>
      </c>
      <c r="O152" s="75">
        <f t="shared" si="17"/>
        <v>28.859060402684566</v>
      </c>
      <c r="P152" s="75">
        <f>VLOOKUP($A152,'Data Vlaue (Cr)'!$C:$FB,119)</f>
        <v>0.67</v>
      </c>
      <c r="Q152" s="75">
        <f>VLOOKUP($A152,'Data Vlaue (Cr)'!$C:$FB,122)*100</f>
        <v>-11.84</v>
      </c>
      <c r="R152" s="75">
        <f>VLOOKUP($A152,'Data Vlaue (Cr)'!$C:$FB,125)</f>
        <v>0.42</v>
      </c>
      <c r="S152" s="75">
        <f>VLOOKUP($A152,'Data Vlaue (Cr)'!$C:$FB,128)*100</f>
        <v>-8.6999999999999993</v>
      </c>
    </row>
    <row r="153" spans="1:19" x14ac:dyDescent="0.25">
      <c r="A153" s="96" t="str">
        <f>'Data Vlaue (Cr)'!C144</f>
        <v>NESTLEIND</v>
      </c>
      <c r="B153" s="75">
        <f>VLOOKUP($A153,'Data Vlaue (Cr)'!$C:$FB,2)</f>
        <v>500</v>
      </c>
      <c r="C153" s="75">
        <f>VLOOKUP($A153,'Data Vlaue (Cr)'!$C:$FB,8)</f>
        <v>1285.5999999999999</v>
      </c>
      <c r="D153" s="75">
        <f>VLOOKUP($A153,'Data Vlaue (Cr)'!$C:$FB,4)</f>
        <v>1286</v>
      </c>
      <c r="E153" s="75">
        <f>VLOOKUP($A153,'Data Vlaue (Cr)'!$C:$FB,5)</f>
        <v>1257.8</v>
      </c>
      <c r="F153" s="75">
        <f t="shared" si="12"/>
        <v>0.40000000000009095</v>
      </c>
      <c r="G153" s="75">
        <f t="shared" si="13"/>
        <v>2.1928460342146225</v>
      </c>
      <c r="H153" s="75">
        <f>VLOOKUP($A153,'Data Vlaue (Cr)'!$C:$FB,99)</f>
        <v>3276</v>
      </c>
      <c r="I153" s="75">
        <f>VLOOKUP($A153,'Data Vlaue (Cr)'!$C:$FB,100)</f>
        <v>3099</v>
      </c>
      <c r="J153" s="75">
        <f t="shared" si="14"/>
        <v>177</v>
      </c>
      <c r="K153" s="75">
        <f t="shared" si="15"/>
        <v>5.4029304029304033</v>
      </c>
      <c r="L153" s="75">
        <f>VLOOKUP($A153,'Data Vlaue (Cr)'!$C:$FB,67)</f>
        <v>1875</v>
      </c>
      <c r="M153" s="75">
        <f>VLOOKUP($A153,'Data Vlaue (Cr)'!$C:$FB,68)</f>
        <v>1266</v>
      </c>
      <c r="N153" s="75">
        <f t="shared" si="16"/>
        <v>609</v>
      </c>
      <c r="O153" s="75">
        <f t="shared" si="17"/>
        <v>32.479999999999997</v>
      </c>
      <c r="P153" s="75">
        <f>VLOOKUP($A153,'Data Vlaue (Cr)'!$C:$FB,119)</f>
        <v>0.56000000000000005</v>
      </c>
      <c r="Q153" s="75">
        <f>VLOOKUP($A153,'Data Vlaue (Cr)'!$C:$FB,122)*100</f>
        <v>-20</v>
      </c>
      <c r="R153" s="75">
        <f>VLOOKUP($A153,'Data Vlaue (Cr)'!$C:$FB,125)</f>
        <v>0.26</v>
      </c>
      <c r="S153" s="75">
        <f>VLOOKUP($A153,'Data Vlaue (Cr)'!$C:$FB,128)*100</f>
        <v>-35</v>
      </c>
    </row>
    <row r="154" spans="1:19" x14ac:dyDescent="0.25">
      <c r="A154" s="96" t="str">
        <f>'Data Vlaue (Cr)'!C145</f>
        <v>NHPC</v>
      </c>
      <c r="B154" s="75">
        <f>VLOOKUP($A154,'Data Vlaue (Cr)'!$C:$FB,2)</f>
        <v>6400</v>
      </c>
      <c r="C154" s="75">
        <f>VLOOKUP($A154,'Data Vlaue (Cr)'!$C:$FB,8)</f>
        <v>83.56</v>
      </c>
      <c r="D154" s="75">
        <f>VLOOKUP($A154,'Data Vlaue (Cr)'!$C:$FB,4)</f>
        <v>82.41</v>
      </c>
      <c r="E154" s="75">
        <f>VLOOKUP($A154,'Data Vlaue (Cr)'!$C:$FB,5)</f>
        <v>81.44</v>
      </c>
      <c r="F154" s="75">
        <f t="shared" si="12"/>
        <v>-1.1500000000000057</v>
      </c>
      <c r="G154" s="75">
        <f t="shared" si="13"/>
        <v>1.177041621162479</v>
      </c>
      <c r="H154" s="75">
        <f>VLOOKUP($A154,'Data Vlaue (Cr)'!$C:$FB,99)</f>
        <v>1264</v>
      </c>
      <c r="I154" s="75">
        <f>VLOOKUP($A154,'Data Vlaue (Cr)'!$C:$FB,100)</f>
        <v>1210</v>
      </c>
      <c r="J154" s="75">
        <f t="shared" si="14"/>
        <v>54</v>
      </c>
      <c r="K154" s="75">
        <f t="shared" si="15"/>
        <v>4.2721518987341769</v>
      </c>
      <c r="L154" s="75">
        <f>VLOOKUP($A154,'Data Vlaue (Cr)'!$C:$FB,67)</f>
        <v>1070</v>
      </c>
      <c r="M154" s="75">
        <f>VLOOKUP($A154,'Data Vlaue (Cr)'!$C:$FB,68)</f>
        <v>840</v>
      </c>
      <c r="N154" s="75">
        <f t="shared" si="16"/>
        <v>230</v>
      </c>
      <c r="O154" s="75">
        <f t="shared" si="17"/>
        <v>21.495327102803738</v>
      </c>
      <c r="P154" s="75">
        <f>VLOOKUP($A154,'Data Vlaue (Cr)'!$C:$FB,119)</f>
        <v>0.8</v>
      </c>
      <c r="Q154" s="75">
        <f>VLOOKUP($A154,'Data Vlaue (Cr)'!$C:$FB,122)*100</f>
        <v>9.59</v>
      </c>
      <c r="R154" s="75">
        <f>VLOOKUP($A154,'Data Vlaue (Cr)'!$C:$FB,125)</f>
        <v>0.43</v>
      </c>
      <c r="S154" s="75">
        <f>VLOOKUP($A154,'Data Vlaue (Cr)'!$C:$FB,128)*100</f>
        <v>-6.52</v>
      </c>
    </row>
    <row r="155" spans="1:19" x14ac:dyDescent="0.25">
      <c r="A155" s="96" t="str">
        <f>'Data Vlaue (Cr)'!C146</f>
        <v>NIFTY</v>
      </c>
      <c r="B155" s="75">
        <f>VLOOKUP($A155,'Data Vlaue (Cr)'!$C:$FB,2)</f>
        <v>65</v>
      </c>
      <c r="C155" s="75">
        <f>VLOOKUP($A155,'Data Vlaue (Cr)'!$C:$FB,8)</f>
        <v>24353.55</v>
      </c>
      <c r="D155" s="75">
        <f>VLOOKUP($A155,'Data Vlaue (Cr)'!$C:$FB,4)</f>
        <v>24368</v>
      </c>
      <c r="E155" s="75">
        <f>VLOOKUP($A155,'Data Vlaue (Cr)'!$C:$FB,5)</f>
        <v>24195.8</v>
      </c>
      <c r="F155" s="75">
        <f t="shared" si="12"/>
        <v>14.450000000000728</v>
      </c>
      <c r="G155" s="75">
        <f t="shared" si="13"/>
        <v>0.70666447800394261</v>
      </c>
      <c r="H155" s="75">
        <f>VLOOKUP($A155,'Data Vlaue (Cr)'!$C:$FB,99)</f>
        <v>1264392</v>
      </c>
      <c r="I155" s="75">
        <f>VLOOKUP($A155,'Data Vlaue (Cr)'!$C:$FB,100)</f>
        <v>1104114</v>
      </c>
      <c r="J155" s="75">
        <f t="shared" si="14"/>
        <v>160278</v>
      </c>
      <c r="K155" s="75">
        <f t="shared" si="15"/>
        <v>12.676290264411669</v>
      </c>
      <c r="L155" s="75">
        <f>VLOOKUP($A155,'Data Vlaue (Cr)'!$C:$FB,67)</f>
        <v>11041420</v>
      </c>
      <c r="M155" s="75">
        <f>VLOOKUP($A155,'Data Vlaue (Cr)'!$C:$FB,68)</f>
        <v>7081710</v>
      </c>
      <c r="N155" s="75">
        <f t="shared" si="16"/>
        <v>3959710</v>
      </c>
      <c r="O155" s="75">
        <f t="shared" si="17"/>
        <v>35.862325679124609</v>
      </c>
      <c r="P155" s="75">
        <f>VLOOKUP($A155,'Data Vlaue (Cr)'!$C:$FB,119)</f>
        <v>1.0900000000000001</v>
      </c>
      <c r="Q155" s="75">
        <f>VLOOKUP($A155,'Data Vlaue (Cr)'!$C:$FB,122)*100</f>
        <v>11.219999999999999</v>
      </c>
      <c r="R155" s="75">
        <f>VLOOKUP($A155,'Data Vlaue (Cr)'!$C:$FB,125)</f>
        <v>0.84</v>
      </c>
      <c r="S155" s="75">
        <f>VLOOKUP($A155,'Data Vlaue (Cr)'!$C:$FB,128)*100</f>
        <v>-15.15</v>
      </c>
    </row>
    <row r="156" spans="1:19" x14ac:dyDescent="0.25">
      <c r="A156" s="96" t="str">
        <f>'Data Vlaue (Cr)'!C147</f>
        <v>NIFTYNXT50</v>
      </c>
      <c r="B156" s="75">
        <f>VLOOKUP($A156,'Data Vlaue (Cr)'!$C:$FB,2)</f>
        <v>25</v>
      </c>
      <c r="C156" s="75">
        <f>VLOOKUP($A156,'Data Vlaue (Cr)'!$C:$FB,8)</f>
        <v>70273.8</v>
      </c>
      <c r="D156" s="75">
        <f>VLOOKUP($A156,'Data Vlaue (Cr)'!$C:$FB,4)</f>
        <v>70321.2</v>
      </c>
      <c r="E156" s="75">
        <f>VLOOKUP($A156,'Data Vlaue (Cr)'!$C:$FB,5)</f>
        <v>69334.8</v>
      </c>
      <c r="F156" s="75">
        <f t="shared" si="12"/>
        <v>47.399999999994179</v>
      </c>
      <c r="G156" s="75">
        <f t="shared" si="13"/>
        <v>1.4027064384566734</v>
      </c>
      <c r="H156" s="75">
        <f>VLOOKUP($A156,'Data Vlaue (Cr)'!$C:$FB,99)</f>
        <v>277</v>
      </c>
      <c r="I156" s="75">
        <f>VLOOKUP($A156,'Data Vlaue (Cr)'!$C:$FB,100)</f>
        <v>201</v>
      </c>
      <c r="J156" s="75">
        <f t="shared" si="14"/>
        <v>76</v>
      </c>
      <c r="K156" s="75">
        <f t="shared" si="15"/>
        <v>27.436823104693143</v>
      </c>
      <c r="L156" s="75">
        <f>VLOOKUP($A156,'Data Vlaue (Cr)'!$C:$FB,67)</f>
        <v>226</v>
      </c>
      <c r="M156" s="75">
        <f>VLOOKUP($A156,'Data Vlaue (Cr)'!$C:$FB,68)</f>
        <v>102</v>
      </c>
      <c r="N156" s="75">
        <f t="shared" si="16"/>
        <v>124</v>
      </c>
      <c r="O156" s="75">
        <f t="shared" si="17"/>
        <v>54.86725663716814</v>
      </c>
      <c r="P156" s="75">
        <f>VLOOKUP($A156,'Data Vlaue (Cr)'!$C:$FB,119)</f>
        <v>0.36</v>
      </c>
      <c r="Q156" s="75">
        <f>VLOOKUP($A156,'Data Vlaue (Cr)'!$C:$FB,122)*100</f>
        <v>-65.38000000000001</v>
      </c>
      <c r="R156" s="75">
        <f>VLOOKUP($A156,'Data Vlaue (Cr)'!$C:$FB,125)</f>
        <v>0.21</v>
      </c>
      <c r="S156" s="75">
        <f>VLOOKUP($A156,'Data Vlaue (Cr)'!$C:$FB,128)*100</f>
        <v>-80.56</v>
      </c>
    </row>
    <row r="157" spans="1:19" x14ac:dyDescent="0.25">
      <c r="A157" s="96" t="str">
        <f>'Data Vlaue (Cr)'!C148</f>
        <v>NMDC</v>
      </c>
      <c r="B157" s="75">
        <f>VLOOKUP($A157,'Data Vlaue (Cr)'!$C:$FB,2)</f>
        <v>6750</v>
      </c>
      <c r="C157" s="75">
        <f>VLOOKUP($A157,'Data Vlaue (Cr)'!$C:$FB,8)</f>
        <v>89.78</v>
      </c>
      <c r="D157" s="75">
        <f>VLOOKUP($A157,'Data Vlaue (Cr)'!$C:$FB,4)</f>
        <v>89.95</v>
      </c>
      <c r="E157" s="75">
        <f>VLOOKUP($A157,'Data Vlaue (Cr)'!$C:$FB,5)</f>
        <v>87.23</v>
      </c>
      <c r="F157" s="75">
        <f t="shared" si="12"/>
        <v>0.17000000000000171</v>
      </c>
      <c r="G157" s="75">
        <f t="shared" si="13"/>
        <v>3.023902167871038</v>
      </c>
      <c r="H157" s="75">
        <f>VLOOKUP($A157,'Data Vlaue (Cr)'!$C:$FB,99)</f>
        <v>4152</v>
      </c>
      <c r="I157" s="75">
        <f>VLOOKUP($A157,'Data Vlaue (Cr)'!$C:$FB,100)</f>
        <v>4021</v>
      </c>
      <c r="J157" s="75">
        <f t="shared" si="14"/>
        <v>131</v>
      </c>
      <c r="K157" s="75">
        <f t="shared" si="15"/>
        <v>3.1551059730250484</v>
      </c>
      <c r="L157" s="75">
        <f>VLOOKUP($A157,'Data Vlaue (Cr)'!$C:$FB,67)</f>
        <v>2475</v>
      </c>
      <c r="M157" s="75">
        <f>VLOOKUP($A157,'Data Vlaue (Cr)'!$C:$FB,68)</f>
        <v>2099</v>
      </c>
      <c r="N157" s="75">
        <f t="shared" si="16"/>
        <v>376</v>
      </c>
      <c r="O157" s="75">
        <f t="shared" si="17"/>
        <v>15.191919191919192</v>
      </c>
      <c r="P157" s="75">
        <f>VLOOKUP($A157,'Data Vlaue (Cr)'!$C:$FB,119)</f>
        <v>0.69</v>
      </c>
      <c r="Q157" s="75">
        <f>VLOOKUP($A157,'Data Vlaue (Cr)'!$C:$FB,122)*100</f>
        <v>6.15</v>
      </c>
      <c r="R157" s="75">
        <f>VLOOKUP($A157,'Data Vlaue (Cr)'!$C:$FB,125)</f>
        <v>0.34</v>
      </c>
      <c r="S157" s="75">
        <f>VLOOKUP($A157,'Data Vlaue (Cr)'!$C:$FB,128)*100</f>
        <v>-8.1100000000000012</v>
      </c>
    </row>
    <row r="158" spans="1:19" x14ac:dyDescent="0.25">
      <c r="A158" s="96" t="str">
        <f>'Data Vlaue (Cr)'!C149</f>
        <v>NTPC</v>
      </c>
      <c r="B158" s="75">
        <f>VLOOKUP($A158,'Data Vlaue (Cr)'!$C:$FB,2)</f>
        <v>1500</v>
      </c>
      <c r="C158" s="75">
        <f>VLOOKUP($A158,'Data Vlaue (Cr)'!$C:$FB,8)</f>
        <v>393.6</v>
      </c>
      <c r="D158" s="75">
        <f>VLOOKUP($A158,'Data Vlaue (Cr)'!$C:$FB,4)</f>
        <v>395.2</v>
      </c>
      <c r="E158" s="75">
        <f>VLOOKUP($A158,'Data Vlaue (Cr)'!$C:$FB,5)</f>
        <v>391.95</v>
      </c>
      <c r="F158" s="75">
        <f t="shared" si="12"/>
        <v>1.5999999999999659</v>
      </c>
      <c r="G158" s="75">
        <f t="shared" si="13"/>
        <v>0.82236842105263153</v>
      </c>
      <c r="H158" s="75">
        <f>VLOOKUP($A158,'Data Vlaue (Cr)'!$C:$FB,99)</f>
        <v>7458</v>
      </c>
      <c r="I158" s="75">
        <f>VLOOKUP($A158,'Data Vlaue (Cr)'!$C:$FB,100)</f>
        <v>6789</v>
      </c>
      <c r="J158" s="75">
        <f t="shared" si="14"/>
        <v>669</v>
      </c>
      <c r="K158" s="75">
        <f t="shared" si="15"/>
        <v>8.9702333065164925</v>
      </c>
      <c r="L158" s="75">
        <f>VLOOKUP($A158,'Data Vlaue (Cr)'!$C:$FB,67)</f>
        <v>5760</v>
      </c>
      <c r="M158" s="75">
        <f>VLOOKUP($A158,'Data Vlaue (Cr)'!$C:$FB,68)</f>
        <v>4723</v>
      </c>
      <c r="N158" s="75">
        <f t="shared" si="16"/>
        <v>1037</v>
      </c>
      <c r="O158" s="75">
        <f t="shared" si="17"/>
        <v>18.003472222222221</v>
      </c>
      <c r="P158" s="75">
        <f>VLOOKUP($A158,'Data Vlaue (Cr)'!$C:$FB,119)</f>
        <v>0.53</v>
      </c>
      <c r="Q158" s="75">
        <f>VLOOKUP($A158,'Data Vlaue (Cr)'!$C:$FB,122)*100</f>
        <v>-5.36</v>
      </c>
      <c r="R158" s="75">
        <f>VLOOKUP($A158,'Data Vlaue (Cr)'!$C:$FB,125)</f>
        <v>0.47</v>
      </c>
      <c r="S158" s="75">
        <f>VLOOKUP($A158,'Data Vlaue (Cr)'!$C:$FB,128)*100</f>
        <v>6.8199999999999994</v>
      </c>
    </row>
    <row r="159" spans="1:19" x14ac:dyDescent="0.25">
      <c r="A159" s="96" t="str">
        <f>'Data Vlaue (Cr)'!C150</f>
        <v>NUVAMA</v>
      </c>
      <c r="B159" s="75">
        <f>VLOOKUP($A159,'Data Vlaue (Cr)'!$C:$FB,2)</f>
        <v>500</v>
      </c>
      <c r="C159" s="75">
        <f>VLOOKUP($A159,'Data Vlaue (Cr)'!$C:$FB,8)</f>
        <v>1400.7</v>
      </c>
      <c r="D159" s="75">
        <f>VLOOKUP($A159,'Data Vlaue (Cr)'!$C:$FB,4)</f>
        <v>1394.8</v>
      </c>
      <c r="E159" s="75">
        <f>VLOOKUP($A159,'Data Vlaue (Cr)'!$C:$FB,5)</f>
        <v>1355.9</v>
      </c>
      <c r="F159" s="75">
        <f t="shared" si="12"/>
        <v>-5.9000000000000909</v>
      </c>
      <c r="G159" s="75">
        <f t="shared" si="13"/>
        <v>2.788930312589609</v>
      </c>
      <c r="H159" s="75">
        <f>VLOOKUP($A159,'Data Vlaue (Cr)'!$C:$FB,99)</f>
        <v>532</v>
      </c>
      <c r="I159" s="75">
        <f>VLOOKUP($A159,'Data Vlaue (Cr)'!$C:$FB,100)</f>
        <v>512</v>
      </c>
      <c r="J159" s="75">
        <f t="shared" si="14"/>
        <v>20</v>
      </c>
      <c r="K159" s="75">
        <f t="shared" si="15"/>
        <v>3.7593984962406015</v>
      </c>
      <c r="L159" s="75">
        <f>VLOOKUP($A159,'Data Vlaue (Cr)'!$C:$FB,67)</f>
        <v>348</v>
      </c>
      <c r="M159" s="75">
        <f>VLOOKUP($A159,'Data Vlaue (Cr)'!$C:$FB,68)</f>
        <v>230</v>
      </c>
      <c r="N159" s="75">
        <f t="shared" si="16"/>
        <v>118</v>
      </c>
      <c r="O159" s="75">
        <f t="shared" si="17"/>
        <v>33.90804597701149</v>
      </c>
      <c r="P159" s="75">
        <f>VLOOKUP($A159,'Data Vlaue (Cr)'!$C:$FB,119)</f>
        <v>0.85</v>
      </c>
      <c r="Q159" s="75">
        <f>VLOOKUP($A159,'Data Vlaue (Cr)'!$C:$FB,122)*100</f>
        <v>-4.49</v>
      </c>
      <c r="R159" s="75">
        <f>VLOOKUP($A159,'Data Vlaue (Cr)'!$C:$FB,125)</f>
        <v>0.28999999999999998</v>
      </c>
      <c r="S159" s="75">
        <f>VLOOKUP($A159,'Data Vlaue (Cr)'!$C:$FB,128)*100</f>
        <v>-79.86</v>
      </c>
    </row>
    <row r="160" spans="1:19" x14ac:dyDescent="0.25">
      <c r="A160" s="96" t="str">
        <f>'Data Vlaue (Cr)'!C151</f>
        <v>NYKAA</v>
      </c>
      <c r="B160" s="75">
        <f>VLOOKUP($A160,'Data Vlaue (Cr)'!$C:$FB,2)</f>
        <v>3125</v>
      </c>
      <c r="C160" s="75">
        <f>VLOOKUP($A160,'Data Vlaue (Cr)'!$C:$FB,8)</f>
        <v>269.66000000000003</v>
      </c>
      <c r="D160" s="75">
        <f>VLOOKUP($A160,'Data Vlaue (Cr)'!$C:$FB,4)</f>
        <v>270.02999999999997</v>
      </c>
      <c r="E160" s="75">
        <f>VLOOKUP($A160,'Data Vlaue (Cr)'!$C:$FB,5)</f>
        <v>263.43</v>
      </c>
      <c r="F160" s="75">
        <f t="shared" si="12"/>
        <v>0.3699999999999477</v>
      </c>
      <c r="G160" s="75">
        <f t="shared" si="13"/>
        <v>2.4441728696811342</v>
      </c>
      <c r="H160" s="75">
        <f>VLOOKUP($A160,'Data Vlaue (Cr)'!$C:$FB,99)</f>
        <v>1583</v>
      </c>
      <c r="I160" s="75">
        <f>VLOOKUP($A160,'Data Vlaue (Cr)'!$C:$FB,100)</f>
        <v>1581</v>
      </c>
      <c r="J160" s="75">
        <f t="shared" si="14"/>
        <v>2</v>
      </c>
      <c r="K160" s="75">
        <f t="shared" si="15"/>
        <v>0.12634238787113075</v>
      </c>
      <c r="L160" s="75">
        <f>VLOOKUP($A160,'Data Vlaue (Cr)'!$C:$FB,67)</f>
        <v>592</v>
      </c>
      <c r="M160" s="75">
        <f>VLOOKUP($A160,'Data Vlaue (Cr)'!$C:$FB,68)</f>
        <v>319</v>
      </c>
      <c r="N160" s="75">
        <f t="shared" si="16"/>
        <v>273</v>
      </c>
      <c r="O160" s="75">
        <f t="shared" si="17"/>
        <v>46.114864864864863</v>
      </c>
      <c r="P160" s="75">
        <f>VLOOKUP($A160,'Data Vlaue (Cr)'!$C:$FB,119)</f>
        <v>0.71</v>
      </c>
      <c r="Q160" s="75">
        <f>VLOOKUP($A160,'Data Vlaue (Cr)'!$C:$FB,122)*100</f>
        <v>26.790000000000003</v>
      </c>
      <c r="R160" s="75">
        <f>VLOOKUP($A160,'Data Vlaue (Cr)'!$C:$FB,125)</f>
        <v>0.37</v>
      </c>
      <c r="S160" s="75">
        <f>VLOOKUP($A160,'Data Vlaue (Cr)'!$C:$FB,128)*100</f>
        <v>15.620000000000001</v>
      </c>
    </row>
    <row r="161" spans="1:19" x14ac:dyDescent="0.25">
      <c r="A161" s="96" t="str">
        <f>'Data Vlaue (Cr)'!C152</f>
        <v>OBEROIRLTY</v>
      </c>
      <c r="B161" s="75">
        <f>VLOOKUP($A161,'Data Vlaue (Cr)'!$C:$FB,2)</f>
        <v>350</v>
      </c>
      <c r="C161" s="75">
        <f>VLOOKUP($A161,'Data Vlaue (Cr)'!$C:$FB,8)</f>
        <v>1710.6</v>
      </c>
      <c r="D161" s="75">
        <f>VLOOKUP($A161,'Data Vlaue (Cr)'!$C:$FB,4)</f>
        <v>1713.1</v>
      </c>
      <c r="E161" s="75">
        <f>VLOOKUP($A161,'Data Vlaue (Cr)'!$C:$FB,5)</f>
        <v>1714.3</v>
      </c>
      <c r="F161" s="75">
        <f t="shared" si="12"/>
        <v>2.5</v>
      </c>
      <c r="G161" s="75">
        <f t="shared" si="13"/>
        <v>-7.0048450178042468E-2</v>
      </c>
      <c r="H161" s="75">
        <f>VLOOKUP($A161,'Data Vlaue (Cr)'!$C:$FB,99)</f>
        <v>2100</v>
      </c>
      <c r="I161" s="75">
        <f>VLOOKUP($A161,'Data Vlaue (Cr)'!$C:$FB,100)</f>
        <v>2117</v>
      </c>
      <c r="J161" s="75">
        <f t="shared" si="14"/>
        <v>-17</v>
      </c>
      <c r="K161" s="75">
        <f t="shared" si="15"/>
        <v>-0.80952380952380942</v>
      </c>
      <c r="L161" s="75">
        <f>VLOOKUP($A161,'Data Vlaue (Cr)'!$C:$FB,67)</f>
        <v>285</v>
      </c>
      <c r="M161" s="75">
        <f>VLOOKUP($A161,'Data Vlaue (Cr)'!$C:$FB,68)</f>
        <v>422</v>
      </c>
      <c r="N161" s="75">
        <f t="shared" si="16"/>
        <v>-137</v>
      </c>
      <c r="O161" s="75">
        <f t="shared" si="17"/>
        <v>-48.070175438596493</v>
      </c>
      <c r="P161" s="75">
        <f>VLOOKUP($A161,'Data Vlaue (Cr)'!$C:$FB,119)</f>
        <v>0.93</v>
      </c>
      <c r="Q161" s="75">
        <f>VLOOKUP($A161,'Data Vlaue (Cr)'!$C:$FB,122)*100</f>
        <v>-2.11</v>
      </c>
      <c r="R161" s="75">
        <f>VLOOKUP($A161,'Data Vlaue (Cr)'!$C:$FB,125)</f>
        <v>0.83</v>
      </c>
      <c r="S161" s="75">
        <f>VLOOKUP($A161,'Data Vlaue (Cr)'!$C:$FB,128)*100</f>
        <v>1.22</v>
      </c>
    </row>
    <row r="162" spans="1:19" x14ac:dyDescent="0.25">
      <c r="A162" s="96" t="str">
        <f>'Data Vlaue (Cr)'!C153</f>
        <v>OFSS</v>
      </c>
      <c r="B162" s="75">
        <f>VLOOKUP($A162,'Data Vlaue (Cr)'!$C:$FB,2)</f>
        <v>75</v>
      </c>
      <c r="C162" s="75">
        <f>VLOOKUP($A162,'Data Vlaue (Cr)'!$C:$FB,8)</f>
        <v>7992.5</v>
      </c>
      <c r="D162" s="75">
        <f>VLOOKUP($A162,'Data Vlaue (Cr)'!$C:$FB,4)</f>
        <v>8011.5</v>
      </c>
      <c r="E162" s="75">
        <f>VLOOKUP($A162,'Data Vlaue (Cr)'!$C:$FB,5)</f>
        <v>7748.5</v>
      </c>
      <c r="F162" s="75">
        <f t="shared" si="12"/>
        <v>19</v>
      </c>
      <c r="G162" s="75">
        <f t="shared" si="13"/>
        <v>3.2827810023091804</v>
      </c>
      <c r="H162" s="75">
        <f>VLOOKUP($A162,'Data Vlaue (Cr)'!$C:$FB,99)</f>
        <v>2056</v>
      </c>
      <c r="I162" s="75">
        <f>VLOOKUP($A162,'Data Vlaue (Cr)'!$C:$FB,100)</f>
        <v>2040</v>
      </c>
      <c r="J162" s="75">
        <f t="shared" si="14"/>
        <v>16</v>
      </c>
      <c r="K162" s="75">
        <f t="shared" si="15"/>
        <v>0.77821011673151752</v>
      </c>
      <c r="L162" s="75">
        <f>VLOOKUP($A162,'Data Vlaue (Cr)'!$C:$FB,67)</f>
        <v>2393</v>
      </c>
      <c r="M162" s="75">
        <f>VLOOKUP($A162,'Data Vlaue (Cr)'!$C:$FB,68)</f>
        <v>2523</v>
      </c>
      <c r="N162" s="75">
        <f t="shared" si="16"/>
        <v>-130</v>
      </c>
      <c r="O162" s="75">
        <f t="shared" si="17"/>
        <v>-5.4325114918512334</v>
      </c>
      <c r="P162" s="75">
        <f>VLOOKUP($A162,'Data Vlaue (Cr)'!$C:$FB,119)</f>
        <v>1.1299999999999999</v>
      </c>
      <c r="Q162" s="75">
        <f>VLOOKUP($A162,'Data Vlaue (Cr)'!$C:$FB,122)*100</f>
        <v>7.62</v>
      </c>
      <c r="R162" s="75">
        <f>VLOOKUP($A162,'Data Vlaue (Cr)'!$C:$FB,125)</f>
        <v>0.84</v>
      </c>
      <c r="S162" s="75">
        <f>VLOOKUP($A162,'Data Vlaue (Cr)'!$C:$FB,128)*100</f>
        <v>16.669999999999998</v>
      </c>
    </row>
    <row r="163" spans="1:19" x14ac:dyDescent="0.25">
      <c r="A163" s="96" t="str">
        <f>'Data Vlaue (Cr)'!C154</f>
        <v>OIL</v>
      </c>
      <c r="B163" s="75">
        <f>VLOOKUP($A163,'Data Vlaue (Cr)'!$C:$FB,2)</f>
        <v>1400</v>
      </c>
      <c r="C163" s="75">
        <f>VLOOKUP($A163,'Data Vlaue (Cr)'!$C:$FB,8)</f>
        <v>470.1</v>
      </c>
      <c r="D163" s="75">
        <f>VLOOKUP($A163,'Data Vlaue (Cr)'!$C:$FB,4)</f>
        <v>470.6</v>
      </c>
      <c r="E163" s="75">
        <f>VLOOKUP($A163,'Data Vlaue (Cr)'!$C:$FB,5)</f>
        <v>463.85</v>
      </c>
      <c r="F163" s="75">
        <f t="shared" si="12"/>
        <v>0.5</v>
      </c>
      <c r="G163" s="75">
        <f t="shared" si="13"/>
        <v>1.4343391415214619</v>
      </c>
      <c r="H163" s="75">
        <f>VLOOKUP($A163,'Data Vlaue (Cr)'!$C:$FB,99)</f>
        <v>1766</v>
      </c>
      <c r="I163" s="75">
        <f>VLOOKUP($A163,'Data Vlaue (Cr)'!$C:$FB,100)</f>
        <v>1804</v>
      </c>
      <c r="J163" s="75">
        <f t="shared" si="14"/>
        <v>-38</v>
      </c>
      <c r="K163" s="75">
        <f t="shared" si="15"/>
        <v>-2.1517553793884483</v>
      </c>
      <c r="L163" s="75">
        <f>VLOOKUP($A163,'Data Vlaue (Cr)'!$C:$FB,67)</f>
        <v>733</v>
      </c>
      <c r="M163" s="75">
        <f>VLOOKUP($A163,'Data Vlaue (Cr)'!$C:$FB,68)</f>
        <v>631</v>
      </c>
      <c r="N163" s="75">
        <f t="shared" si="16"/>
        <v>102</v>
      </c>
      <c r="O163" s="75">
        <f t="shared" si="17"/>
        <v>13.915416098226466</v>
      </c>
      <c r="P163" s="75">
        <f>VLOOKUP($A163,'Data Vlaue (Cr)'!$C:$FB,119)</f>
        <v>0.44</v>
      </c>
      <c r="Q163" s="75">
        <f>VLOOKUP($A163,'Data Vlaue (Cr)'!$C:$FB,122)*100</f>
        <v>0</v>
      </c>
      <c r="R163" s="75">
        <f>VLOOKUP($A163,'Data Vlaue (Cr)'!$C:$FB,125)</f>
        <v>0.32</v>
      </c>
      <c r="S163" s="75">
        <f>VLOOKUP($A163,'Data Vlaue (Cr)'!$C:$FB,128)*100</f>
        <v>-28.89</v>
      </c>
    </row>
    <row r="164" spans="1:19" x14ac:dyDescent="0.25">
      <c r="A164" s="96" t="str">
        <f>'Data Vlaue (Cr)'!C155</f>
        <v>ONGC</v>
      </c>
      <c r="B164" s="75">
        <f>VLOOKUP($A164,'Data Vlaue (Cr)'!$C:$FB,2)</f>
        <v>2250</v>
      </c>
      <c r="C164" s="75">
        <f>VLOOKUP($A164,'Data Vlaue (Cr)'!$C:$FB,8)</f>
        <v>284.05</v>
      </c>
      <c r="D164" s="75">
        <f>VLOOKUP($A164,'Data Vlaue (Cr)'!$C:$FB,4)</f>
        <v>284.89999999999998</v>
      </c>
      <c r="E164" s="75">
        <f>VLOOKUP($A164,'Data Vlaue (Cr)'!$C:$FB,5)</f>
        <v>283.55</v>
      </c>
      <c r="F164" s="75">
        <f t="shared" si="12"/>
        <v>0.84999999999996589</v>
      </c>
      <c r="G164" s="75">
        <f t="shared" si="13"/>
        <v>0.47385047385046197</v>
      </c>
      <c r="H164" s="75">
        <f>VLOOKUP($A164,'Data Vlaue (Cr)'!$C:$FB,99)</f>
        <v>6549</v>
      </c>
      <c r="I164" s="75">
        <f>VLOOKUP($A164,'Data Vlaue (Cr)'!$C:$FB,100)</f>
        <v>6514</v>
      </c>
      <c r="J164" s="75">
        <f t="shared" si="14"/>
        <v>35</v>
      </c>
      <c r="K164" s="75">
        <f t="shared" si="15"/>
        <v>0.53443273782256839</v>
      </c>
      <c r="L164" s="75">
        <f>VLOOKUP($A164,'Data Vlaue (Cr)'!$C:$FB,67)</f>
        <v>2695</v>
      </c>
      <c r="M164" s="75">
        <f>VLOOKUP($A164,'Data Vlaue (Cr)'!$C:$FB,68)</f>
        <v>3177</v>
      </c>
      <c r="N164" s="75">
        <f t="shared" si="16"/>
        <v>-482</v>
      </c>
      <c r="O164" s="75">
        <f t="shared" si="17"/>
        <v>-17.884972170686456</v>
      </c>
      <c r="P164" s="75">
        <f>VLOOKUP($A164,'Data Vlaue (Cr)'!$C:$FB,119)</f>
        <v>0.37</v>
      </c>
      <c r="Q164" s="75">
        <f>VLOOKUP($A164,'Data Vlaue (Cr)'!$C:$FB,122)*100</f>
        <v>0</v>
      </c>
      <c r="R164" s="75">
        <f>VLOOKUP($A164,'Data Vlaue (Cr)'!$C:$FB,125)</f>
        <v>0.44</v>
      </c>
      <c r="S164" s="75">
        <f>VLOOKUP($A164,'Data Vlaue (Cr)'!$C:$FB,128)*100</f>
        <v>-6.38</v>
      </c>
    </row>
    <row r="165" spans="1:19" x14ac:dyDescent="0.25">
      <c r="A165" s="96" t="str">
        <f>'Data Vlaue (Cr)'!C156</f>
        <v>PAGEIND</v>
      </c>
      <c r="B165" s="75">
        <f>VLOOKUP($A165,'Data Vlaue (Cr)'!$C:$FB,2)</f>
        <v>15</v>
      </c>
      <c r="C165" s="75">
        <f>VLOOKUP($A165,'Data Vlaue (Cr)'!$C:$FB,8)</f>
        <v>37975</v>
      </c>
      <c r="D165" s="75">
        <f>VLOOKUP($A165,'Data Vlaue (Cr)'!$C:$FB,4)</f>
        <v>37930</v>
      </c>
      <c r="E165" s="75">
        <f>VLOOKUP($A165,'Data Vlaue (Cr)'!$C:$FB,5)</f>
        <v>37025</v>
      </c>
      <c r="F165" s="75">
        <f t="shared" si="12"/>
        <v>-45</v>
      </c>
      <c r="G165" s="75">
        <f t="shared" si="13"/>
        <v>2.3859741629317166</v>
      </c>
      <c r="H165" s="75">
        <f>VLOOKUP($A165,'Data Vlaue (Cr)'!$C:$FB,99)</f>
        <v>1909</v>
      </c>
      <c r="I165" s="75">
        <f>VLOOKUP($A165,'Data Vlaue (Cr)'!$C:$FB,100)</f>
        <v>1866</v>
      </c>
      <c r="J165" s="75">
        <f t="shared" si="14"/>
        <v>43</v>
      </c>
      <c r="K165" s="75">
        <f t="shared" si="15"/>
        <v>2.2524882137244631</v>
      </c>
      <c r="L165" s="75">
        <f>VLOOKUP($A165,'Data Vlaue (Cr)'!$C:$FB,67)</f>
        <v>1340</v>
      </c>
      <c r="M165" s="75">
        <f>VLOOKUP($A165,'Data Vlaue (Cr)'!$C:$FB,68)</f>
        <v>456</v>
      </c>
      <c r="N165" s="75">
        <f t="shared" si="16"/>
        <v>884</v>
      </c>
      <c r="O165" s="75">
        <f t="shared" si="17"/>
        <v>65.97014925373135</v>
      </c>
      <c r="P165" s="75">
        <f>VLOOKUP($A165,'Data Vlaue (Cr)'!$C:$FB,119)</f>
        <v>1.0900000000000001</v>
      </c>
      <c r="Q165" s="75">
        <f>VLOOKUP($A165,'Data Vlaue (Cr)'!$C:$FB,122)*100</f>
        <v>13.54</v>
      </c>
      <c r="R165" s="75">
        <f>VLOOKUP($A165,'Data Vlaue (Cr)'!$C:$FB,125)</f>
        <v>0.61</v>
      </c>
      <c r="S165" s="75">
        <f>VLOOKUP($A165,'Data Vlaue (Cr)'!$C:$FB,128)*100</f>
        <v>-54.48</v>
      </c>
    </row>
    <row r="166" spans="1:19" x14ac:dyDescent="0.25">
      <c r="A166" s="96" t="str">
        <f>'Data Vlaue (Cr)'!C157</f>
        <v>PATANJALI</v>
      </c>
      <c r="B166" s="75">
        <f>VLOOKUP($A166,'Data Vlaue (Cr)'!$C:$FB,2)</f>
        <v>900</v>
      </c>
      <c r="C166" s="75">
        <f>VLOOKUP($A166,'Data Vlaue (Cr)'!$C:$FB,8)</f>
        <v>468.3</v>
      </c>
      <c r="D166" s="75">
        <f>VLOOKUP($A166,'Data Vlaue (Cr)'!$C:$FB,4)</f>
        <v>469</v>
      </c>
      <c r="E166" s="75">
        <f>VLOOKUP($A166,'Data Vlaue (Cr)'!$C:$FB,5)</f>
        <v>464.7</v>
      </c>
      <c r="F166" s="75">
        <f t="shared" si="12"/>
        <v>0.69999999999998863</v>
      </c>
      <c r="G166" s="75">
        <f t="shared" si="13"/>
        <v>0.91684434968017303</v>
      </c>
      <c r="H166" s="75">
        <f>VLOOKUP($A166,'Data Vlaue (Cr)'!$C:$FB,99)</f>
        <v>2003</v>
      </c>
      <c r="I166" s="75">
        <f>VLOOKUP($A166,'Data Vlaue (Cr)'!$C:$FB,100)</f>
        <v>1901</v>
      </c>
      <c r="J166" s="75">
        <f t="shared" si="14"/>
        <v>102</v>
      </c>
      <c r="K166" s="75">
        <f t="shared" si="15"/>
        <v>5.0923614578132801</v>
      </c>
      <c r="L166" s="75">
        <f>VLOOKUP($A166,'Data Vlaue (Cr)'!$C:$FB,67)</f>
        <v>967</v>
      </c>
      <c r="M166" s="75">
        <f>VLOOKUP($A166,'Data Vlaue (Cr)'!$C:$FB,68)</f>
        <v>311</v>
      </c>
      <c r="N166" s="75">
        <f t="shared" si="16"/>
        <v>656</v>
      </c>
      <c r="O166" s="75">
        <f t="shared" si="17"/>
        <v>67.838676318510863</v>
      </c>
      <c r="P166" s="75">
        <f>VLOOKUP($A166,'Data Vlaue (Cr)'!$C:$FB,119)</f>
        <v>0.59</v>
      </c>
      <c r="Q166" s="75">
        <f>VLOOKUP($A166,'Data Vlaue (Cr)'!$C:$FB,122)*100</f>
        <v>-4.84</v>
      </c>
      <c r="R166" s="75">
        <f>VLOOKUP($A166,'Data Vlaue (Cr)'!$C:$FB,125)</f>
        <v>0.21</v>
      </c>
      <c r="S166" s="75">
        <f>VLOOKUP($A166,'Data Vlaue (Cr)'!$C:$FB,128)*100</f>
        <v>-36.36</v>
      </c>
    </row>
    <row r="167" spans="1:19" x14ac:dyDescent="0.25">
      <c r="A167" s="96" t="str">
        <f>'Data Vlaue (Cr)'!C158</f>
        <v>PAYTM</v>
      </c>
      <c r="B167" s="75">
        <f>VLOOKUP($A167,'Data Vlaue (Cr)'!$C:$FB,2)</f>
        <v>725</v>
      </c>
      <c r="C167" s="75">
        <f>VLOOKUP($A167,'Data Vlaue (Cr)'!$C:$FB,8)</f>
        <v>1161.6500000000001</v>
      </c>
      <c r="D167" s="75">
        <f>VLOOKUP($A167,'Data Vlaue (Cr)'!$C:$FB,4)</f>
        <v>1161.7</v>
      </c>
      <c r="E167" s="75">
        <f>VLOOKUP($A167,'Data Vlaue (Cr)'!$C:$FB,5)</f>
        <v>1148.7</v>
      </c>
      <c r="F167" s="75">
        <f t="shared" si="12"/>
        <v>4.9999999999954525E-2</v>
      </c>
      <c r="G167" s="75">
        <f t="shared" si="13"/>
        <v>1.1190496685891365</v>
      </c>
      <c r="H167" s="75">
        <f>VLOOKUP($A167,'Data Vlaue (Cr)'!$C:$FB,99)</f>
        <v>3263</v>
      </c>
      <c r="I167" s="75">
        <f>VLOOKUP($A167,'Data Vlaue (Cr)'!$C:$FB,100)</f>
        <v>3154</v>
      </c>
      <c r="J167" s="75">
        <f t="shared" si="14"/>
        <v>109</v>
      </c>
      <c r="K167" s="75">
        <f t="shared" si="15"/>
        <v>3.3404842169782407</v>
      </c>
      <c r="L167" s="75">
        <f>VLOOKUP($A167,'Data Vlaue (Cr)'!$C:$FB,67)</f>
        <v>1555</v>
      </c>
      <c r="M167" s="75">
        <f>VLOOKUP($A167,'Data Vlaue (Cr)'!$C:$FB,68)</f>
        <v>1661</v>
      </c>
      <c r="N167" s="75">
        <f t="shared" si="16"/>
        <v>-106</v>
      </c>
      <c r="O167" s="75">
        <f t="shared" si="17"/>
        <v>-6.8167202572347261</v>
      </c>
      <c r="P167" s="75">
        <f>VLOOKUP($A167,'Data Vlaue (Cr)'!$C:$FB,119)</f>
        <v>0.96</v>
      </c>
      <c r="Q167" s="75">
        <f>VLOOKUP($A167,'Data Vlaue (Cr)'!$C:$FB,122)*100</f>
        <v>12.94</v>
      </c>
      <c r="R167" s="75">
        <f>VLOOKUP($A167,'Data Vlaue (Cr)'!$C:$FB,125)</f>
        <v>0.72</v>
      </c>
      <c r="S167" s="75">
        <f>VLOOKUP($A167,'Data Vlaue (Cr)'!$C:$FB,128)*100</f>
        <v>33.33</v>
      </c>
    </row>
    <row r="168" spans="1:19" x14ac:dyDescent="0.25">
      <c r="A168" s="96" t="str">
        <f>'Data Vlaue (Cr)'!C159</f>
        <v>PERSISTENT</v>
      </c>
      <c r="B168" s="75">
        <f>VLOOKUP($A168,'Data Vlaue (Cr)'!$C:$FB,2)</f>
        <v>100</v>
      </c>
      <c r="C168" s="75">
        <f>VLOOKUP($A168,'Data Vlaue (Cr)'!$C:$FB,8)</f>
        <v>5446.5</v>
      </c>
      <c r="D168" s="75">
        <f>VLOOKUP($A168,'Data Vlaue (Cr)'!$C:$FB,4)</f>
        <v>5452.2</v>
      </c>
      <c r="E168" s="75">
        <f>VLOOKUP($A168,'Data Vlaue (Cr)'!$C:$FB,5)</f>
        <v>5490.7</v>
      </c>
      <c r="F168" s="75">
        <f t="shared" si="12"/>
        <v>5.6999999999998181</v>
      </c>
      <c r="G168" s="75">
        <f t="shared" si="13"/>
        <v>-0.70613697223139282</v>
      </c>
      <c r="H168" s="75">
        <f>VLOOKUP($A168,'Data Vlaue (Cr)'!$C:$FB,99)</f>
        <v>4557</v>
      </c>
      <c r="I168" s="75">
        <f>VLOOKUP($A168,'Data Vlaue (Cr)'!$C:$FB,100)</f>
        <v>4449</v>
      </c>
      <c r="J168" s="75">
        <f t="shared" si="14"/>
        <v>108</v>
      </c>
      <c r="K168" s="75">
        <f t="shared" si="15"/>
        <v>2.3699802501645819</v>
      </c>
      <c r="L168" s="75">
        <f>VLOOKUP($A168,'Data Vlaue (Cr)'!$C:$FB,67)</f>
        <v>3002</v>
      </c>
      <c r="M168" s="75">
        <f>VLOOKUP($A168,'Data Vlaue (Cr)'!$C:$FB,68)</f>
        <v>2513</v>
      </c>
      <c r="N168" s="75">
        <f t="shared" si="16"/>
        <v>489</v>
      </c>
      <c r="O168" s="75">
        <f t="shared" si="17"/>
        <v>16.289140572951368</v>
      </c>
      <c r="P168" s="75">
        <f>VLOOKUP($A168,'Data Vlaue (Cr)'!$C:$FB,119)</f>
        <v>0.96</v>
      </c>
      <c r="Q168" s="75">
        <f>VLOOKUP($A168,'Data Vlaue (Cr)'!$C:$FB,122)*100</f>
        <v>-7.6899999999999995</v>
      </c>
      <c r="R168" s="75">
        <f>VLOOKUP($A168,'Data Vlaue (Cr)'!$C:$FB,125)</f>
        <v>0.81</v>
      </c>
      <c r="S168" s="75">
        <f>VLOOKUP($A168,'Data Vlaue (Cr)'!$C:$FB,128)*100</f>
        <v>12.5</v>
      </c>
    </row>
    <row r="169" spans="1:19" x14ac:dyDescent="0.25">
      <c r="A169" s="96" t="str">
        <f>'Data Vlaue (Cr)'!C160</f>
        <v>PETRONET</v>
      </c>
      <c r="B169" s="75">
        <f>VLOOKUP($A169,'Data Vlaue (Cr)'!$C:$FB,2)</f>
        <v>1900</v>
      </c>
      <c r="C169" s="75">
        <f>VLOOKUP($A169,'Data Vlaue (Cr)'!$C:$FB,8)</f>
        <v>273.22000000000003</v>
      </c>
      <c r="D169" s="75">
        <f>VLOOKUP($A169,'Data Vlaue (Cr)'!$C:$FB,4)</f>
        <v>273.19</v>
      </c>
      <c r="E169" s="75">
        <f>VLOOKUP($A169,'Data Vlaue (Cr)'!$C:$FB,5)</f>
        <v>271.16000000000003</v>
      </c>
      <c r="F169" s="75">
        <f t="shared" si="12"/>
        <v>-3.0000000000029559E-2</v>
      </c>
      <c r="G169" s="75">
        <f t="shared" si="13"/>
        <v>0.74307258684431088</v>
      </c>
      <c r="H169" s="75">
        <f>VLOOKUP($A169,'Data Vlaue (Cr)'!$C:$FB,99)</f>
        <v>1688</v>
      </c>
      <c r="I169" s="75">
        <f>VLOOKUP($A169,'Data Vlaue (Cr)'!$C:$FB,100)</f>
        <v>1664</v>
      </c>
      <c r="J169" s="75">
        <f t="shared" si="14"/>
        <v>24</v>
      </c>
      <c r="K169" s="75">
        <f t="shared" si="15"/>
        <v>1.4218009478672986</v>
      </c>
      <c r="L169" s="75">
        <f>VLOOKUP($A169,'Data Vlaue (Cr)'!$C:$FB,67)</f>
        <v>337</v>
      </c>
      <c r="M169" s="75">
        <f>VLOOKUP($A169,'Data Vlaue (Cr)'!$C:$FB,68)</f>
        <v>473</v>
      </c>
      <c r="N169" s="75">
        <f t="shared" si="16"/>
        <v>-136</v>
      </c>
      <c r="O169" s="75">
        <f t="shared" si="17"/>
        <v>-40.35608308605341</v>
      </c>
      <c r="P169" s="75">
        <f>VLOOKUP($A169,'Data Vlaue (Cr)'!$C:$FB,119)</f>
        <v>0.64</v>
      </c>
      <c r="Q169" s="75">
        <f>VLOOKUP($A169,'Data Vlaue (Cr)'!$C:$FB,122)*100</f>
        <v>-1.54</v>
      </c>
      <c r="R169" s="75">
        <f>VLOOKUP($A169,'Data Vlaue (Cr)'!$C:$FB,125)</f>
        <v>0.44</v>
      </c>
      <c r="S169" s="75">
        <f>VLOOKUP($A169,'Data Vlaue (Cr)'!$C:$FB,128)*100</f>
        <v>-15.379999999999999</v>
      </c>
    </row>
    <row r="170" spans="1:19" x14ac:dyDescent="0.25">
      <c r="A170" s="96" t="str">
        <f>'Data Vlaue (Cr)'!C161</f>
        <v>PFC</v>
      </c>
      <c r="B170" s="75">
        <f>VLOOKUP($A170,'Data Vlaue (Cr)'!$C:$FB,2)</f>
        <v>1300</v>
      </c>
      <c r="C170" s="75">
        <f>VLOOKUP($A170,'Data Vlaue (Cr)'!$C:$FB,8)</f>
        <v>464.85</v>
      </c>
      <c r="D170" s="75">
        <f>VLOOKUP($A170,'Data Vlaue (Cr)'!$C:$FB,4)</f>
        <v>466</v>
      </c>
      <c r="E170" s="75">
        <f>VLOOKUP($A170,'Data Vlaue (Cr)'!$C:$FB,5)</f>
        <v>458.95</v>
      </c>
      <c r="F170" s="75">
        <f t="shared" si="12"/>
        <v>1.1499999999999773</v>
      </c>
      <c r="G170" s="75">
        <f t="shared" si="13"/>
        <v>1.5128755364806892</v>
      </c>
      <c r="H170" s="75">
        <f>VLOOKUP($A170,'Data Vlaue (Cr)'!$C:$FB,99)</f>
        <v>4897</v>
      </c>
      <c r="I170" s="75">
        <f>VLOOKUP($A170,'Data Vlaue (Cr)'!$C:$FB,100)</f>
        <v>4704</v>
      </c>
      <c r="J170" s="75">
        <f t="shared" si="14"/>
        <v>193</v>
      </c>
      <c r="K170" s="75">
        <f t="shared" si="15"/>
        <v>3.9411884827445376</v>
      </c>
      <c r="L170" s="75">
        <f>VLOOKUP($A170,'Data Vlaue (Cr)'!$C:$FB,67)</f>
        <v>4101</v>
      </c>
      <c r="M170" s="75">
        <f>VLOOKUP($A170,'Data Vlaue (Cr)'!$C:$FB,68)</f>
        <v>7925</v>
      </c>
      <c r="N170" s="75">
        <f t="shared" si="16"/>
        <v>-3824</v>
      </c>
      <c r="O170" s="75">
        <f t="shared" si="17"/>
        <v>-93.245549865886375</v>
      </c>
      <c r="P170" s="75">
        <f>VLOOKUP($A170,'Data Vlaue (Cr)'!$C:$FB,119)</f>
        <v>0.73</v>
      </c>
      <c r="Q170" s="75">
        <f>VLOOKUP($A170,'Data Vlaue (Cr)'!$C:$FB,122)*100</f>
        <v>4.29</v>
      </c>
      <c r="R170" s="75">
        <f>VLOOKUP($A170,'Data Vlaue (Cr)'!$C:$FB,125)</f>
        <v>0.52</v>
      </c>
      <c r="S170" s="75">
        <f>VLOOKUP($A170,'Data Vlaue (Cr)'!$C:$FB,128)*100</f>
        <v>0</v>
      </c>
    </row>
    <row r="171" spans="1:19" x14ac:dyDescent="0.25">
      <c r="A171" s="96" t="str">
        <f>'Data Vlaue (Cr)'!C162</f>
        <v>PGEL</v>
      </c>
      <c r="B171" s="75">
        <f>VLOOKUP($A171,'Data Vlaue (Cr)'!$C:$FB,2)</f>
        <v>950</v>
      </c>
      <c r="C171" s="75">
        <f>VLOOKUP($A171,'Data Vlaue (Cr)'!$C:$FB,8)</f>
        <v>561.4</v>
      </c>
      <c r="D171" s="75">
        <f>VLOOKUP($A171,'Data Vlaue (Cr)'!$C:$FB,4)</f>
        <v>562.65</v>
      </c>
      <c r="E171" s="75">
        <f>VLOOKUP($A171,'Data Vlaue (Cr)'!$C:$FB,5)</f>
        <v>557.20000000000005</v>
      </c>
      <c r="F171" s="75">
        <f t="shared" si="12"/>
        <v>1.25</v>
      </c>
      <c r="G171" s="75">
        <f t="shared" si="13"/>
        <v>0.96863058739890384</v>
      </c>
      <c r="H171" s="75">
        <f>VLOOKUP($A171,'Data Vlaue (Cr)'!$C:$FB,99)</f>
        <v>1945</v>
      </c>
      <c r="I171" s="75">
        <f>VLOOKUP($A171,'Data Vlaue (Cr)'!$C:$FB,100)</f>
        <v>1966</v>
      </c>
      <c r="J171" s="75">
        <f t="shared" si="14"/>
        <v>-21</v>
      </c>
      <c r="K171" s="75">
        <f t="shared" si="15"/>
        <v>-1.0796915167095116</v>
      </c>
      <c r="L171" s="75">
        <f>VLOOKUP($A171,'Data Vlaue (Cr)'!$C:$FB,67)</f>
        <v>1376</v>
      </c>
      <c r="M171" s="75">
        <f>VLOOKUP($A171,'Data Vlaue (Cr)'!$C:$FB,68)</f>
        <v>2710</v>
      </c>
      <c r="N171" s="75">
        <f t="shared" si="16"/>
        <v>-1334</v>
      </c>
      <c r="O171" s="75">
        <f t="shared" si="17"/>
        <v>-96.947674418604649</v>
      </c>
      <c r="P171" s="75">
        <f>VLOOKUP($A171,'Data Vlaue (Cr)'!$C:$FB,119)</f>
        <v>1.18</v>
      </c>
      <c r="Q171" s="75">
        <f>VLOOKUP($A171,'Data Vlaue (Cr)'!$C:$FB,122)*100</f>
        <v>-0.84</v>
      </c>
      <c r="R171" s="75">
        <f>VLOOKUP($A171,'Data Vlaue (Cr)'!$C:$FB,125)</f>
        <v>1.01</v>
      </c>
      <c r="S171" s="75">
        <f>VLOOKUP($A171,'Data Vlaue (Cr)'!$C:$FB,128)*100</f>
        <v>65.569999999999993</v>
      </c>
    </row>
    <row r="172" spans="1:19" x14ac:dyDescent="0.25">
      <c r="A172" s="96" t="str">
        <f>'Data Vlaue (Cr)'!C163</f>
        <v>PHOENIXLTD</v>
      </c>
      <c r="B172" s="75">
        <f>VLOOKUP($A172,'Data Vlaue (Cr)'!$C:$FB,2)</f>
        <v>350</v>
      </c>
      <c r="C172" s="75">
        <f>VLOOKUP($A172,'Data Vlaue (Cr)'!$C:$FB,8)</f>
        <v>1792.2</v>
      </c>
      <c r="D172" s="75">
        <f>VLOOKUP($A172,'Data Vlaue (Cr)'!$C:$FB,4)</f>
        <v>1798.6</v>
      </c>
      <c r="E172" s="75">
        <f>VLOOKUP($A172,'Data Vlaue (Cr)'!$C:$FB,5)</f>
        <v>1786.7</v>
      </c>
      <c r="F172" s="75">
        <f t="shared" si="12"/>
        <v>6.3999999999998636</v>
      </c>
      <c r="G172" s="75">
        <f t="shared" si="13"/>
        <v>0.66162570888468053</v>
      </c>
      <c r="H172" s="75">
        <f>VLOOKUP($A172,'Data Vlaue (Cr)'!$C:$FB,99)</f>
        <v>927</v>
      </c>
      <c r="I172" s="75">
        <f>VLOOKUP($A172,'Data Vlaue (Cr)'!$C:$FB,100)</f>
        <v>935</v>
      </c>
      <c r="J172" s="75">
        <f t="shared" si="14"/>
        <v>-8</v>
      </c>
      <c r="K172" s="75">
        <f t="shared" si="15"/>
        <v>-0.86299892125134836</v>
      </c>
      <c r="L172" s="75">
        <f>VLOOKUP($A172,'Data Vlaue (Cr)'!$C:$FB,67)</f>
        <v>174</v>
      </c>
      <c r="M172" s="75">
        <f>VLOOKUP($A172,'Data Vlaue (Cr)'!$C:$FB,68)</f>
        <v>283</v>
      </c>
      <c r="N172" s="75">
        <f t="shared" si="16"/>
        <v>-109</v>
      </c>
      <c r="O172" s="75">
        <f t="shared" si="17"/>
        <v>-62.643678160919535</v>
      </c>
      <c r="P172" s="75">
        <f>VLOOKUP($A172,'Data Vlaue (Cr)'!$C:$FB,119)</f>
        <v>0.86</v>
      </c>
      <c r="Q172" s="75">
        <f>VLOOKUP($A172,'Data Vlaue (Cr)'!$C:$FB,122)*100</f>
        <v>-9.4700000000000006</v>
      </c>
      <c r="R172" s="75">
        <f>VLOOKUP($A172,'Data Vlaue (Cr)'!$C:$FB,125)</f>
        <v>0.72</v>
      </c>
      <c r="S172" s="75">
        <f>VLOOKUP($A172,'Data Vlaue (Cr)'!$C:$FB,128)*100</f>
        <v>-45.45</v>
      </c>
    </row>
    <row r="173" spans="1:19" x14ac:dyDescent="0.25">
      <c r="A173" s="96" t="str">
        <f>'Data Vlaue (Cr)'!C164</f>
        <v>PIDILITIND</v>
      </c>
      <c r="B173" s="75">
        <f>VLOOKUP($A173,'Data Vlaue (Cr)'!$C:$FB,2)</f>
        <v>500</v>
      </c>
      <c r="C173" s="75">
        <f>VLOOKUP($A173,'Data Vlaue (Cr)'!$C:$FB,8)</f>
        <v>1393.4</v>
      </c>
      <c r="D173" s="75">
        <f>VLOOKUP($A173,'Data Vlaue (Cr)'!$C:$FB,4)</f>
        <v>1396.9</v>
      </c>
      <c r="E173" s="75">
        <f>VLOOKUP($A173,'Data Vlaue (Cr)'!$C:$FB,5)</f>
        <v>1331.3</v>
      </c>
      <c r="F173" s="75">
        <f t="shared" si="12"/>
        <v>3.5</v>
      </c>
      <c r="G173" s="75">
        <f t="shared" si="13"/>
        <v>4.6961128212470564</v>
      </c>
      <c r="H173" s="75">
        <f>VLOOKUP($A173,'Data Vlaue (Cr)'!$C:$FB,99)</f>
        <v>1621</v>
      </c>
      <c r="I173" s="75">
        <f>VLOOKUP($A173,'Data Vlaue (Cr)'!$C:$FB,100)</f>
        <v>1593</v>
      </c>
      <c r="J173" s="75">
        <f t="shared" si="14"/>
        <v>28</v>
      </c>
      <c r="K173" s="75">
        <f t="shared" si="15"/>
        <v>1.7273288093769279</v>
      </c>
      <c r="L173" s="75">
        <f>VLOOKUP($A173,'Data Vlaue (Cr)'!$C:$FB,67)</f>
        <v>1950</v>
      </c>
      <c r="M173" s="75">
        <f>VLOOKUP($A173,'Data Vlaue (Cr)'!$C:$FB,68)</f>
        <v>710</v>
      </c>
      <c r="N173" s="75">
        <f t="shared" si="16"/>
        <v>1240</v>
      </c>
      <c r="O173" s="75">
        <f t="shared" si="17"/>
        <v>63.589743589743584</v>
      </c>
      <c r="P173" s="75">
        <f>VLOOKUP($A173,'Data Vlaue (Cr)'!$C:$FB,119)</f>
        <v>0.66</v>
      </c>
      <c r="Q173" s="75">
        <f>VLOOKUP($A173,'Data Vlaue (Cr)'!$C:$FB,122)*100</f>
        <v>-1.49</v>
      </c>
      <c r="R173" s="75">
        <f>VLOOKUP($A173,'Data Vlaue (Cr)'!$C:$FB,125)</f>
        <v>0.33</v>
      </c>
      <c r="S173" s="75">
        <f>VLOOKUP($A173,'Data Vlaue (Cr)'!$C:$FB,128)*100</f>
        <v>-44.07</v>
      </c>
    </row>
    <row r="174" spans="1:19" x14ac:dyDescent="0.25">
      <c r="A174" s="96" t="str">
        <f>'Data Vlaue (Cr)'!C165</f>
        <v>PIIND</v>
      </c>
      <c r="B174" s="75">
        <f>VLOOKUP($A174,'Data Vlaue (Cr)'!$C:$FB,2)</f>
        <v>175</v>
      </c>
      <c r="C174" s="75">
        <f>VLOOKUP($A174,'Data Vlaue (Cr)'!$C:$FB,8)</f>
        <v>3139.7</v>
      </c>
      <c r="D174" s="75">
        <f>VLOOKUP($A174,'Data Vlaue (Cr)'!$C:$FB,4)</f>
        <v>3116.8</v>
      </c>
      <c r="E174" s="75">
        <f>VLOOKUP($A174,'Data Vlaue (Cr)'!$C:$FB,5)</f>
        <v>3106.9</v>
      </c>
      <c r="F174" s="75">
        <f t="shared" si="12"/>
        <v>-22.899999999999636</v>
      </c>
      <c r="G174" s="75">
        <f t="shared" si="13"/>
        <v>0.31763347022587557</v>
      </c>
      <c r="H174" s="75">
        <f>VLOOKUP($A174,'Data Vlaue (Cr)'!$C:$FB,99)</f>
        <v>1251</v>
      </c>
      <c r="I174" s="75">
        <f>VLOOKUP($A174,'Data Vlaue (Cr)'!$C:$FB,100)</f>
        <v>1192</v>
      </c>
      <c r="J174" s="75">
        <f t="shared" si="14"/>
        <v>59</v>
      </c>
      <c r="K174" s="75">
        <f t="shared" si="15"/>
        <v>4.7162270183852915</v>
      </c>
      <c r="L174" s="75">
        <f>VLOOKUP($A174,'Data Vlaue (Cr)'!$C:$FB,67)</f>
        <v>664</v>
      </c>
      <c r="M174" s="75">
        <f>VLOOKUP($A174,'Data Vlaue (Cr)'!$C:$FB,68)</f>
        <v>987</v>
      </c>
      <c r="N174" s="75">
        <f t="shared" si="16"/>
        <v>-323</v>
      </c>
      <c r="O174" s="75">
        <f t="shared" si="17"/>
        <v>-48.644578313253014</v>
      </c>
      <c r="P174" s="75">
        <f>VLOOKUP($A174,'Data Vlaue (Cr)'!$C:$FB,119)</f>
        <v>1.01</v>
      </c>
      <c r="Q174" s="75">
        <f>VLOOKUP($A174,'Data Vlaue (Cr)'!$C:$FB,122)*100</f>
        <v>-1.94</v>
      </c>
      <c r="R174" s="75">
        <f>VLOOKUP($A174,'Data Vlaue (Cr)'!$C:$FB,125)</f>
        <v>0.56999999999999995</v>
      </c>
      <c r="S174" s="75">
        <f>VLOOKUP($A174,'Data Vlaue (Cr)'!$C:$FB,128)*100</f>
        <v>26.669999999999998</v>
      </c>
    </row>
    <row r="175" spans="1:19" x14ac:dyDescent="0.25">
      <c r="A175" s="96" t="str">
        <f>'Data Vlaue (Cr)'!C166</f>
        <v>PNB</v>
      </c>
      <c r="B175" s="75">
        <f>VLOOKUP($A175,'Data Vlaue (Cr)'!$C:$FB,2)</f>
        <v>8000</v>
      </c>
      <c r="C175" s="75">
        <f>VLOOKUP($A175,'Data Vlaue (Cr)'!$C:$FB,8)</f>
        <v>114.48</v>
      </c>
      <c r="D175" s="75">
        <f>VLOOKUP($A175,'Data Vlaue (Cr)'!$C:$FB,4)</f>
        <v>114.73</v>
      </c>
      <c r="E175" s="75">
        <f>VLOOKUP($A175,'Data Vlaue (Cr)'!$C:$FB,5)</f>
        <v>113.72</v>
      </c>
      <c r="F175" s="75">
        <f t="shared" si="12"/>
        <v>0.25</v>
      </c>
      <c r="G175" s="75">
        <f t="shared" si="13"/>
        <v>0.88032772596531428</v>
      </c>
      <c r="H175" s="75">
        <f>VLOOKUP($A175,'Data Vlaue (Cr)'!$C:$FB,99)</f>
        <v>4873</v>
      </c>
      <c r="I175" s="75">
        <f>VLOOKUP($A175,'Data Vlaue (Cr)'!$C:$FB,100)</f>
        <v>4858</v>
      </c>
      <c r="J175" s="75">
        <f t="shared" si="14"/>
        <v>15</v>
      </c>
      <c r="K175" s="75">
        <f t="shared" si="15"/>
        <v>0.30781859224297148</v>
      </c>
      <c r="L175" s="75">
        <f>VLOOKUP($A175,'Data Vlaue (Cr)'!$C:$FB,67)</f>
        <v>1992</v>
      </c>
      <c r="M175" s="75">
        <f>VLOOKUP($A175,'Data Vlaue (Cr)'!$C:$FB,68)</f>
        <v>2117</v>
      </c>
      <c r="N175" s="75">
        <f t="shared" si="16"/>
        <v>-125</v>
      </c>
      <c r="O175" s="75">
        <f t="shared" si="17"/>
        <v>-6.2751004016064265</v>
      </c>
      <c r="P175" s="75">
        <f>VLOOKUP($A175,'Data Vlaue (Cr)'!$C:$FB,119)</f>
        <v>0.88</v>
      </c>
      <c r="Q175" s="75">
        <f>VLOOKUP($A175,'Data Vlaue (Cr)'!$C:$FB,122)*100</f>
        <v>-1.1199999999999999</v>
      </c>
      <c r="R175" s="75">
        <f>VLOOKUP($A175,'Data Vlaue (Cr)'!$C:$FB,125)</f>
        <v>0.59</v>
      </c>
      <c r="S175" s="75">
        <f>VLOOKUP($A175,'Data Vlaue (Cr)'!$C:$FB,128)*100</f>
        <v>1.72</v>
      </c>
    </row>
    <row r="176" spans="1:19" x14ac:dyDescent="0.25">
      <c r="A176" s="96" t="str">
        <f>'Data Vlaue (Cr)'!C167</f>
        <v>PNBHOUSING</v>
      </c>
      <c r="B176" s="75">
        <f>VLOOKUP($A176,'Data Vlaue (Cr)'!$C:$FB,2)</f>
        <v>650</v>
      </c>
      <c r="C176" s="75">
        <f>VLOOKUP($A176,'Data Vlaue (Cr)'!$C:$FB,8)</f>
        <v>923.7</v>
      </c>
      <c r="D176" s="75">
        <f>VLOOKUP($A176,'Data Vlaue (Cr)'!$C:$FB,4)</f>
        <v>924.4</v>
      </c>
      <c r="E176" s="75">
        <f>VLOOKUP($A176,'Data Vlaue (Cr)'!$C:$FB,5)</f>
        <v>896.45</v>
      </c>
      <c r="F176" s="75">
        <f t="shared" si="12"/>
        <v>0.69999999999993179</v>
      </c>
      <c r="G176" s="75">
        <f t="shared" si="13"/>
        <v>3.023582864560789</v>
      </c>
      <c r="H176" s="75">
        <f>VLOOKUP($A176,'Data Vlaue (Cr)'!$C:$FB,99)</f>
        <v>1748</v>
      </c>
      <c r="I176" s="75">
        <f>VLOOKUP($A176,'Data Vlaue (Cr)'!$C:$FB,100)</f>
        <v>1616</v>
      </c>
      <c r="J176" s="75">
        <f t="shared" si="14"/>
        <v>132</v>
      </c>
      <c r="K176" s="75">
        <f t="shared" si="15"/>
        <v>7.551487414187644</v>
      </c>
      <c r="L176" s="75">
        <f>VLOOKUP($A176,'Data Vlaue (Cr)'!$C:$FB,67)</f>
        <v>1504</v>
      </c>
      <c r="M176" s="75">
        <f>VLOOKUP($A176,'Data Vlaue (Cr)'!$C:$FB,68)</f>
        <v>1504</v>
      </c>
      <c r="N176" s="75">
        <f t="shared" si="16"/>
        <v>0</v>
      </c>
      <c r="O176" s="75">
        <f t="shared" si="17"/>
        <v>0</v>
      </c>
      <c r="P176" s="75">
        <f>VLOOKUP($A176,'Data Vlaue (Cr)'!$C:$FB,119)</f>
        <v>1</v>
      </c>
      <c r="Q176" s="75">
        <f>VLOOKUP($A176,'Data Vlaue (Cr)'!$C:$FB,122)*100</f>
        <v>8.6999999999999993</v>
      </c>
      <c r="R176" s="75">
        <f>VLOOKUP($A176,'Data Vlaue (Cr)'!$C:$FB,125)</f>
        <v>0.34</v>
      </c>
      <c r="S176" s="75">
        <f>VLOOKUP($A176,'Data Vlaue (Cr)'!$C:$FB,128)*100</f>
        <v>17.239999999999998</v>
      </c>
    </row>
    <row r="177" spans="1:19" x14ac:dyDescent="0.25">
      <c r="A177" s="96" t="str">
        <f>'Data Vlaue (Cr)'!C168</f>
        <v>POLICYBZR</v>
      </c>
      <c r="B177" s="75">
        <f>VLOOKUP($A177,'Data Vlaue (Cr)'!$C:$FB,2)</f>
        <v>350</v>
      </c>
      <c r="C177" s="75">
        <f>VLOOKUP($A177,'Data Vlaue (Cr)'!$C:$FB,8)</f>
        <v>1600.6</v>
      </c>
      <c r="D177" s="75">
        <f>VLOOKUP($A177,'Data Vlaue (Cr)'!$C:$FB,4)</f>
        <v>1601.1</v>
      </c>
      <c r="E177" s="75">
        <f>VLOOKUP($A177,'Data Vlaue (Cr)'!$C:$FB,5)</f>
        <v>1555.3</v>
      </c>
      <c r="F177" s="75">
        <f t="shared" ref="F177:F185" si="18">D177-C177</f>
        <v>0.5</v>
      </c>
      <c r="G177" s="75">
        <f t="shared" ref="G177:G185" si="19">(D177-E177)/D177*100</f>
        <v>2.860533383298979</v>
      </c>
      <c r="H177" s="75">
        <f>VLOOKUP($A177,'Data Vlaue (Cr)'!$C:$FB,99)</f>
        <v>1929</v>
      </c>
      <c r="I177" s="75">
        <f>VLOOKUP($A177,'Data Vlaue (Cr)'!$C:$FB,100)</f>
        <v>1981</v>
      </c>
      <c r="J177" s="75">
        <f t="shared" ref="J177:J185" si="20">H177-I177</f>
        <v>-52</v>
      </c>
      <c r="K177" s="75">
        <f t="shared" ref="K177:K185" si="21">J177/H177*100</f>
        <v>-2.6956972524624159</v>
      </c>
      <c r="L177" s="75">
        <f>VLOOKUP($A177,'Data Vlaue (Cr)'!$C:$FB,67)</f>
        <v>4223</v>
      </c>
      <c r="M177" s="75">
        <f>VLOOKUP($A177,'Data Vlaue (Cr)'!$C:$FB,68)</f>
        <v>2712</v>
      </c>
      <c r="N177" s="75">
        <f t="shared" ref="N177:N185" si="22">L177-M177</f>
        <v>1511</v>
      </c>
      <c r="O177" s="75">
        <f t="shared" ref="O177:O185" si="23">N177/L177*100</f>
        <v>35.780251006393563</v>
      </c>
      <c r="P177" s="75">
        <f>VLOOKUP($A177,'Data Vlaue (Cr)'!$C:$FB,119)</f>
        <v>0.66</v>
      </c>
      <c r="Q177" s="75">
        <f>VLOOKUP($A177,'Data Vlaue (Cr)'!$C:$FB,122)*100</f>
        <v>10</v>
      </c>
      <c r="R177" s="75">
        <f>VLOOKUP($A177,'Data Vlaue (Cr)'!$C:$FB,125)</f>
        <v>0.35</v>
      </c>
      <c r="S177" s="75">
        <f>VLOOKUP($A177,'Data Vlaue (Cr)'!$C:$FB,128)*100</f>
        <v>16.669999999999998</v>
      </c>
    </row>
    <row r="178" spans="1:19" x14ac:dyDescent="0.25">
      <c r="A178" s="96" t="str">
        <f>'Data Vlaue (Cr)'!C169</f>
        <v>POLYCAB</v>
      </c>
      <c r="B178" s="75">
        <f>VLOOKUP($A178,'Data Vlaue (Cr)'!$C:$FB,2)</f>
        <v>125</v>
      </c>
      <c r="C178" s="75">
        <f>VLOOKUP($A178,'Data Vlaue (Cr)'!$C:$FB,8)</f>
        <v>8182.5</v>
      </c>
      <c r="D178" s="75">
        <f>VLOOKUP($A178,'Data Vlaue (Cr)'!$C:$FB,4)</f>
        <v>8162</v>
      </c>
      <c r="E178" s="75">
        <f>VLOOKUP($A178,'Data Vlaue (Cr)'!$C:$FB,5)</f>
        <v>7925</v>
      </c>
      <c r="F178" s="75">
        <f t="shared" si="18"/>
        <v>-20.5</v>
      </c>
      <c r="G178" s="75">
        <f t="shared" si="19"/>
        <v>2.903700073511394</v>
      </c>
      <c r="H178" s="75">
        <f>VLOOKUP($A178,'Data Vlaue (Cr)'!$C:$FB,99)</f>
        <v>3638</v>
      </c>
      <c r="I178" s="75">
        <f>VLOOKUP($A178,'Data Vlaue (Cr)'!$C:$FB,100)</f>
        <v>3375</v>
      </c>
      <c r="J178" s="75">
        <f t="shared" si="20"/>
        <v>263</v>
      </c>
      <c r="K178" s="75">
        <f t="shared" si="21"/>
        <v>7.2292468389224842</v>
      </c>
      <c r="L178" s="75">
        <f>VLOOKUP($A178,'Data Vlaue (Cr)'!$C:$FB,67)</f>
        <v>9527</v>
      </c>
      <c r="M178" s="75">
        <f>VLOOKUP($A178,'Data Vlaue (Cr)'!$C:$FB,68)</f>
        <v>2983</v>
      </c>
      <c r="N178" s="75">
        <f t="shared" si="22"/>
        <v>6544</v>
      </c>
      <c r="O178" s="75">
        <f t="shared" si="23"/>
        <v>68.688989188621804</v>
      </c>
      <c r="P178" s="75">
        <f>VLOOKUP($A178,'Data Vlaue (Cr)'!$C:$FB,119)</f>
        <v>1.24</v>
      </c>
      <c r="Q178" s="75">
        <f>VLOOKUP($A178,'Data Vlaue (Cr)'!$C:$FB,122)*100</f>
        <v>-10.79</v>
      </c>
      <c r="R178" s="75">
        <f>VLOOKUP($A178,'Data Vlaue (Cr)'!$C:$FB,125)</f>
        <v>0.68</v>
      </c>
      <c r="S178" s="75">
        <f>VLOOKUP($A178,'Data Vlaue (Cr)'!$C:$FB,128)*100</f>
        <v>-15</v>
      </c>
    </row>
    <row r="179" spans="1:19" x14ac:dyDescent="0.25">
      <c r="A179" s="96" t="str">
        <f>'Data Vlaue (Cr)'!C170</f>
        <v>POWERGRID</v>
      </c>
      <c r="B179" s="75">
        <f>VLOOKUP($A179,'Data Vlaue (Cr)'!$C:$FB,2)</f>
        <v>1900</v>
      </c>
      <c r="C179" s="75">
        <f>VLOOKUP($A179,'Data Vlaue (Cr)'!$C:$FB,8)</f>
        <v>318.10000000000002</v>
      </c>
      <c r="D179" s="75">
        <f>VLOOKUP($A179,'Data Vlaue (Cr)'!$C:$FB,4)</f>
        <v>317.64999999999998</v>
      </c>
      <c r="E179" s="75">
        <f>VLOOKUP($A179,'Data Vlaue (Cr)'!$C:$FB,5)</f>
        <v>311.85000000000002</v>
      </c>
      <c r="F179" s="75">
        <f t="shared" si="18"/>
        <v>-0.45000000000004547</v>
      </c>
      <c r="G179" s="75">
        <f t="shared" si="19"/>
        <v>1.8259090193609175</v>
      </c>
      <c r="H179" s="75">
        <f>VLOOKUP($A179,'Data Vlaue (Cr)'!$C:$FB,99)</f>
        <v>4456</v>
      </c>
      <c r="I179" s="75">
        <f>VLOOKUP($A179,'Data Vlaue (Cr)'!$C:$FB,100)</f>
        <v>4426</v>
      </c>
      <c r="J179" s="75">
        <f t="shared" si="20"/>
        <v>30</v>
      </c>
      <c r="K179" s="75">
        <f t="shared" si="21"/>
        <v>0.67324955116696583</v>
      </c>
      <c r="L179" s="75">
        <f>VLOOKUP($A179,'Data Vlaue (Cr)'!$C:$FB,67)</f>
        <v>4138</v>
      </c>
      <c r="M179" s="75">
        <f>VLOOKUP($A179,'Data Vlaue (Cr)'!$C:$FB,68)</f>
        <v>4022</v>
      </c>
      <c r="N179" s="75">
        <f t="shared" si="22"/>
        <v>116</v>
      </c>
      <c r="O179" s="75">
        <f t="shared" si="23"/>
        <v>2.8032866118898019</v>
      </c>
      <c r="P179" s="75">
        <f>VLOOKUP($A179,'Data Vlaue (Cr)'!$C:$FB,119)</f>
        <v>0.63</v>
      </c>
      <c r="Q179" s="75">
        <f>VLOOKUP($A179,'Data Vlaue (Cr)'!$C:$FB,122)*100</f>
        <v>26</v>
      </c>
      <c r="R179" s="75">
        <f>VLOOKUP($A179,'Data Vlaue (Cr)'!$C:$FB,125)</f>
        <v>0.38</v>
      </c>
      <c r="S179" s="75">
        <f>VLOOKUP($A179,'Data Vlaue (Cr)'!$C:$FB,128)*100</f>
        <v>31.03</v>
      </c>
    </row>
    <row r="180" spans="1:19" x14ac:dyDescent="0.25">
      <c r="A180" s="96" t="str">
        <f>'Data Vlaue (Cr)'!C171</f>
        <v>POWERINDIA</v>
      </c>
      <c r="B180" s="75">
        <f>VLOOKUP($A180,'Data Vlaue (Cr)'!$C:$FB,2)</f>
        <v>50</v>
      </c>
      <c r="C180" s="75">
        <f>VLOOKUP($A180,'Data Vlaue (Cr)'!$C:$FB,8)</f>
        <v>28925</v>
      </c>
      <c r="D180" s="75">
        <f>VLOOKUP($A180,'Data Vlaue (Cr)'!$C:$FB,4)</f>
        <v>28970</v>
      </c>
      <c r="E180" s="75">
        <f>VLOOKUP($A180,'Data Vlaue (Cr)'!$C:$FB,5)</f>
        <v>28325</v>
      </c>
      <c r="F180" s="75">
        <f t="shared" si="18"/>
        <v>45</v>
      </c>
      <c r="G180" s="75">
        <f t="shared" si="19"/>
        <v>2.226441146013117</v>
      </c>
      <c r="H180" s="75">
        <f>VLOOKUP($A180,'Data Vlaue (Cr)'!$C:$FB,99)</f>
        <v>2615</v>
      </c>
      <c r="I180" s="75">
        <f>VLOOKUP($A180,'Data Vlaue (Cr)'!$C:$FB,100)</f>
        <v>2577</v>
      </c>
      <c r="J180" s="75">
        <f t="shared" si="20"/>
        <v>38</v>
      </c>
      <c r="K180" s="75">
        <f t="shared" si="21"/>
        <v>1.4531548757170172</v>
      </c>
      <c r="L180" s="75">
        <f>VLOOKUP($A180,'Data Vlaue (Cr)'!$C:$FB,67)</f>
        <v>2461</v>
      </c>
      <c r="M180" s="75">
        <f>VLOOKUP($A180,'Data Vlaue (Cr)'!$C:$FB,68)</f>
        <v>2559</v>
      </c>
      <c r="N180" s="75">
        <f t="shared" si="22"/>
        <v>-98</v>
      </c>
      <c r="O180" s="75">
        <f t="shared" si="23"/>
        <v>-3.9821210889882162</v>
      </c>
      <c r="P180" s="75">
        <f>VLOOKUP($A180,'Data Vlaue (Cr)'!$C:$FB,119)</f>
        <v>1.05</v>
      </c>
      <c r="Q180" s="75">
        <f>VLOOKUP($A180,'Data Vlaue (Cr)'!$C:$FB,122)*100</f>
        <v>23.53</v>
      </c>
      <c r="R180" s="75">
        <f>VLOOKUP($A180,'Data Vlaue (Cr)'!$C:$FB,125)</f>
        <v>0.67</v>
      </c>
      <c r="S180" s="75">
        <f>VLOOKUP($A180,'Data Vlaue (Cr)'!$C:$FB,128)*100</f>
        <v>11.67</v>
      </c>
    </row>
    <row r="181" spans="1:19" x14ac:dyDescent="0.25">
      <c r="A181" s="96" t="str">
        <f>'Data Vlaue (Cr)'!C172</f>
        <v>PPLPHARMA</v>
      </c>
      <c r="B181" s="75">
        <f>VLOOKUP($A181,'Data Vlaue (Cr)'!$C:$FB,2)</f>
        <v>2625</v>
      </c>
      <c r="C181" s="75">
        <f>VLOOKUP($A181,'Data Vlaue (Cr)'!$C:$FB,8)</f>
        <v>148.85</v>
      </c>
      <c r="D181" s="75">
        <f>VLOOKUP($A181,'Data Vlaue (Cr)'!$C:$FB,4)</f>
        <v>148.41</v>
      </c>
      <c r="E181" s="75">
        <f>VLOOKUP($A181,'Data Vlaue (Cr)'!$C:$FB,5)</f>
        <v>147.63</v>
      </c>
      <c r="F181" s="75">
        <f t="shared" si="18"/>
        <v>-0.43999999999999773</v>
      </c>
      <c r="G181" s="75">
        <f t="shared" si="19"/>
        <v>0.52557105316353414</v>
      </c>
      <c r="H181" s="75">
        <f>VLOOKUP($A181,'Data Vlaue (Cr)'!$C:$FB,99)</f>
        <v>307</v>
      </c>
      <c r="I181" s="75">
        <f>VLOOKUP($A181,'Data Vlaue (Cr)'!$C:$FB,100)</f>
        <v>309</v>
      </c>
      <c r="J181" s="75">
        <f t="shared" si="20"/>
        <v>-2</v>
      </c>
      <c r="K181" s="75">
        <f t="shared" si="21"/>
        <v>-0.65146579804560267</v>
      </c>
      <c r="L181" s="75">
        <f>VLOOKUP($A181,'Data Vlaue (Cr)'!$C:$FB,67)</f>
        <v>139</v>
      </c>
      <c r="M181" s="75">
        <f>VLOOKUP($A181,'Data Vlaue (Cr)'!$C:$FB,68)</f>
        <v>151</v>
      </c>
      <c r="N181" s="75">
        <f t="shared" si="22"/>
        <v>-12</v>
      </c>
      <c r="O181" s="75">
        <f t="shared" si="23"/>
        <v>-8.6330935251798557</v>
      </c>
      <c r="P181" s="75">
        <f>VLOOKUP($A181,'Data Vlaue (Cr)'!$C:$FB,119)</f>
        <v>0.6</v>
      </c>
      <c r="Q181" s="75">
        <f>VLOOKUP($A181,'Data Vlaue (Cr)'!$C:$FB,122)*100</f>
        <v>3.45</v>
      </c>
      <c r="R181" s="75">
        <f>VLOOKUP($A181,'Data Vlaue (Cr)'!$C:$FB,125)</f>
        <v>0.25</v>
      </c>
      <c r="S181" s="75">
        <f>VLOOKUP($A181,'Data Vlaue (Cr)'!$C:$FB,128)*100</f>
        <v>-26.47</v>
      </c>
    </row>
    <row r="182" spans="1:19" x14ac:dyDescent="0.25">
      <c r="A182" s="96" t="str">
        <f>'Data Vlaue (Cr)'!C173</f>
        <v>PREMIERENE</v>
      </c>
      <c r="B182" s="75">
        <f>VLOOKUP($A182,'Data Vlaue (Cr)'!$C:$FB,2)</f>
        <v>575</v>
      </c>
      <c r="C182" s="75">
        <f>VLOOKUP($A182,'Data Vlaue (Cr)'!$C:$FB,8)</f>
        <v>1034.5999999999999</v>
      </c>
      <c r="D182" s="75">
        <f>VLOOKUP($A182,'Data Vlaue (Cr)'!$C:$FB,4)</f>
        <v>1006.65</v>
      </c>
      <c r="E182" s="75">
        <f>VLOOKUP($A182,'Data Vlaue (Cr)'!$C:$FB,5)</f>
        <v>1004.05</v>
      </c>
      <c r="F182" s="75">
        <f t="shared" si="18"/>
        <v>-27.949999999999932</v>
      </c>
      <c r="G182" s="75">
        <f t="shared" si="19"/>
        <v>0.25828242189440448</v>
      </c>
      <c r="H182" s="75">
        <f>VLOOKUP($A182,'Data Vlaue (Cr)'!$C:$FB,99)</f>
        <v>1730</v>
      </c>
      <c r="I182" s="75">
        <f>VLOOKUP($A182,'Data Vlaue (Cr)'!$C:$FB,100)</f>
        <v>1486</v>
      </c>
      <c r="J182" s="75">
        <f t="shared" si="20"/>
        <v>244</v>
      </c>
      <c r="K182" s="75">
        <f t="shared" si="21"/>
        <v>14.104046242774567</v>
      </c>
      <c r="L182" s="75">
        <f>VLOOKUP($A182,'Data Vlaue (Cr)'!$C:$FB,67)</f>
        <v>1445</v>
      </c>
      <c r="M182" s="75">
        <f>VLOOKUP($A182,'Data Vlaue (Cr)'!$C:$FB,68)</f>
        <v>637</v>
      </c>
      <c r="N182" s="75">
        <f t="shared" si="22"/>
        <v>808</v>
      </c>
      <c r="O182" s="75">
        <f t="shared" si="23"/>
        <v>55.916955017301042</v>
      </c>
      <c r="P182" s="75">
        <f>VLOOKUP($A182,'Data Vlaue (Cr)'!$C:$FB,119)</f>
        <v>0.81</v>
      </c>
      <c r="Q182" s="75">
        <f>VLOOKUP($A182,'Data Vlaue (Cr)'!$C:$FB,122)*100</f>
        <v>-1.22</v>
      </c>
      <c r="R182" s="75">
        <f>VLOOKUP($A182,'Data Vlaue (Cr)'!$C:$FB,125)</f>
        <v>0.69</v>
      </c>
      <c r="S182" s="75">
        <f>VLOOKUP($A182,'Data Vlaue (Cr)'!$C:$FB,128)*100</f>
        <v>56.820000000000007</v>
      </c>
    </row>
    <row r="183" spans="1:19" x14ac:dyDescent="0.25">
      <c r="A183" s="96" t="str">
        <f>'Data Vlaue (Cr)'!C174</f>
        <v>PRESTIGE</v>
      </c>
      <c r="B183" s="75">
        <f>VLOOKUP($A183,'Data Vlaue (Cr)'!$C:$FB,2)</f>
        <v>450</v>
      </c>
      <c r="C183" s="75">
        <f>VLOOKUP($A183,'Data Vlaue (Cr)'!$C:$FB,8)</f>
        <v>1356.8</v>
      </c>
      <c r="D183" s="75">
        <f>VLOOKUP($A183,'Data Vlaue (Cr)'!$C:$FB,4)</f>
        <v>1357.6</v>
      </c>
      <c r="E183" s="75">
        <f>VLOOKUP($A183,'Data Vlaue (Cr)'!$C:$FB,5)</f>
        <v>1339</v>
      </c>
      <c r="F183" s="75">
        <f t="shared" si="18"/>
        <v>0.79999999999995453</v>
      </c>
      <c r="G183" s="75">
        <f t="shared" si="19"/>
        <v>1.3700648202710599</v>
      </c>
      <c r="H183" s="75">
        <f>VLOOKUP($A183,'Data Vlaue (Cr)'!$C:$FB,99)</f>
        <v>1465</v>
      </c>
      <c r="I183" s="75">
        <f>VLOOKUP($A183,'Data Vlaue (Cr)'!$C:$FB,100)</f>
        <v>1484</v>
      </c>
      <c r="J183" s="75">
        <f t="shared" si="20"/>
        <v>-19</v>
      </c>
      <c r="K183" s="75">
        <f t="shared" si="21"/>
        <v>-1.2969283276450512</v>
      </c>
      <c r="L183" s="75">
        <f>VLOOKUP($A183,'Data Vlaue (Cr)'!$C:$FB,67)</f>
        <v>626</v>
      </c>
      <c r="M183" s="75">
        <f>VLOOKUP($A183,'Data Vlaue (Cr)'!$C:$FB,68)</f>
        <v>662</v>
      </c>
      <c r="N183" s="75">
        <f t="shared" si="22"/>
        <v>-36</v>
      </c>
      <c r="O183" s="75">
        <f t="shared" si="23"/>
        <v>-5.7507987220447285</v>
      </c>
      <c r="P183" s="75">
        <f>VLOOKUP($A183,'Data Vlaue (Cr)'!$C:$FB,119)</f>
        <v>0.74</v>
      </c>
      <c r="Q183" s="75">
        <f>VLOOKUP($A183,'Data Vlaue (Cr)'!$C:$FB,122)*100</f>
        <v>8.82</v>
      </c>
      <c r="R183" s="75">
        <f>VLOOKUP($A183,'Data Vlaue (Cr)'!$C:$FB,125)</f>
        <v>0.43</v>
      </c>
      <c r="S183" s="75">
        <f>VLOOKUP($A183,'Data Vlaue (Cr)'!$C:$FB,128)*100</f>
        <v>-34.849999999999994</v>
      </c>
    </row>
    <row r="184" spans="1:19" x14ac:dyDescent="0.25">
      <c r="A184" s="96" t="str">
        <f>'Data Vlaue (Cr)'!C175</f>
        <v>RBLBANK</v>
      </c>
      <c r="B184" s="75">
        <f>VLOOKUP($A184,'Data Vlaue (Cr)'!$C:$FB,2)</f>
        <v>3175</v>
      </c>
      <c r="C184" s="75">
        <f>VLOOKUP($A184,'Data Vlaue (Cr)'!$C:$FB,8)</f>
        <v>315.55</v>
      </c>
      <c r="D184" s="75">
        <f>VLOOKUP($A184,'Data Vlaue (Cr)'!$C:$FB,4)</f>
        <v>316.64999999999998</v>
      </c>
      <c r="E184" s="75">
        <f>VLOOKUP($A184,'Data Vlaue (Cr)'!$C:$FB,5)</f>
        <v>315.95</v>
      </c>
      <c r="F184" s="75">
        <f t="shared" si="18"/>
        <v>1.0999999999999659</v>
      </c>
      <c r="G184" s="75">
        <f t="shared" si="19"/>
        <v>0.22106426654034064</v>
      </c>
      <c r="H184" s="75">
        <f>VLOOKUP($A184,'Data Vlaue (Cr)'!$C:$FB,99)</f>
        <v>3798</v>
      </c>
      <c r="I184" s="75">
        <f>VLOOKUP($A184,'Data Vlaue (Cr)'!$C:$FB,100)</f>
        <v>3806</v>
      </c>
      <c r="J184" s="75">
        <f t="shared" si="20"/>
        <v>-8</v>
      </c>
      <c r="K184" s="75">
        <f t="shared" si="21"/>
        <v>-0.21063717746182201</v>
      </c>
      <c r="L184" s="75">
        <f>VLOOKUP($A184,'Data Vlaue (Cr)'!$C:$FB,67)</f>
        <v>1763</v>
      </c>
      <c r="M184" s="75">
        <f>VLOOKUP($A184,'Data Vlaue (Cr)'!$C:$FB,68)</f>
        <v>1478</v>
      </c>
      <c r="N184" s="75">
        <f t="shared" si="22"/>
        <v>285</v>
      </c>
      <c r="O184" s="75">
        <f t="shared" si="23"/>
        <v>16.165626772546794</v>
      </c>
      <c r="P184" s="75">
        <f>VLOOKUP($A184,'Data Vlaue (Cr)'!$C:$FB,119)</f>
        <v>0.9</v>
      </c>
      <c r="Q184" s="75">
        <f>VLOOKUP($A184,'Data Vlaue (Cr)'!$C:$FB,122)*100</f>
        <v>2.27</v>
      </c>
      <c r="R184" s="75">
        <f>VLOOKUP($A184,'Data Vlaue (Cr)'!$C:$FB,125)</f>
        <v>0.39</v>
      </c>
      <c r="S184" s="75">
        <f>VLOOKUP($A184,'Data Vlaue (Cr)'!$C:$FB,128)*100</f>
        <v>-31.580000000000002</v>
      </c>
    </row>
    <row r="185" spans="1:19" x14ac:dyDescent="0.25">
      <c r="A185" s="96" t="str">
        <f>'Data Vlaue (Cr)'!C176</f>
        <v>RECLTD</v>
      </c>
      <c r="B185" s="75">
        <f>VLOOKUP($A185,'Data Vlaue (Cr)'!$C:$FB,2)</f>
        <v>1400</v>
      </c>
      <c r="C185" s="75">
        <f>VLOOKUP($A185,'Data Vlaue (Cr)'!$C:$FB,8)</f>
        <v>373.3</v>
      </c>
      <c r="D185" s="75">
        <f>VLOOKUP($A185,'Data Vlaue (Cr)'!$C:$FB,4)</f>
        <v>374.45</v>
      </c>
      <c r="E185" s="75">
        <f>VLOOKUP($A185,'Data Vlaue (Cr)'!$C:$FB,5)</f>
        <v>365.15</v>
      </c>
      <c r="F185" s="75">
        <f t="shared" si="18"/>
        <v>1.1499999999999773</v>
      </c>
      <c r="G185" s="75">
        <f t="shared" si="19"/>
        <v>2.4836426759246928</v>
      </c>
      <c r="H185" s="75">
        <f>VLOOKUP($A185,'Data Vlaue (Cr)'!$C:$FB,99)</f>
        <v>4478</v>
      </c>
      <c r="I185" s="75">
        <f>VLOOKUP($A185,'Data Vlaue (Cr)'!$C:$FB,100)</f>
        <v>4485</v>
      </c>
      <c r="J185" s="75">
        <f t="shared" si="20"/>
        <v>-7</v>
      </c>
      <c r="K185" s="75">
        <f t="shared" si="21"/>
        <v>-0.15631978561857973</v>
      </c>
      <c r="L185" s="75">
        <f>VLOOKUP($A185,'Data Vlaue (Cr)'!$C:$FB,67)</f>
        <v>3846</v>
      </c>
      <c r="M185" s="75">
        <f>VLOOKUP($A185,'Data Vlaue (Cr)'!$C:$FB,68)</f>
        <v>6375</v>
      </c>
      <c r="N185" s="75">
        <f t="shared" si="22"/>
        <v>-2529</v>
      </c>
      <c r="O185" s="75">
        <f t="shared" si="23"/>
        <v>-65.756630265210617</v>
      </c>
      <c r="P185" s="75">
        <f>VLOOKUP($A185,'Data Vlaue (Cr)'!$C:$FB,119)</f>
        <v>0.92</v>
      </c>
      <c r="Q185" s="75">
        <f>VLOOKUP($A185,'Data Vlaue (Cr)'!$C:$FB,122)*100</f>
        <v>10.84</v>
      </c>
      <c r="R185" s="75">
        <f>VLOOKUP($A185,'Data Vlaue (Cr)'!$C:$FB,125)</f>
        <v>0.59</v>
      </c>
      <c r="S185" s="75">
        <f>VLOOKUP($A185,'Data Vlaue (Cr)'!$C:$FB,128)*100</f>
        <v>43.9</v>
      </c>
    </row>
    <row r="186" spans="1:19" x14ac:dyDescent="0.25">
      <c r="A186" s="96" t="str">
        <f>'Data Vlaue (Cr)'!C177</f>
        <v>RELIANCE</v>
      </c>
      <c r="B186" s="75">
        <f>VLOOKUP($A186,'Data Vlaue (Cr)'!$C:$FB,2)</f>
        <v>500</v>
      </c>
      <c r="C186" s="75">
        <f>VLOOKUP($A186,'Data Vlaue (Cr)'!$C:$FB,8)</f>
        <v>1365</v>
      </c>
      <c r="D186" s="75">
        <f>VLOOKUP($A186,'Data Vlaue (Cr)'!$C:$FB,4)</f>
        <v>1366.3</v>
      </c>
      <c r="E186" s="75">
        <f>VLOOKUP($A186,'Data Vlaue (Cr)'!$C:$FB,5)</f>
        <v>1344.6</v>
      </c>
      <c r="F186" s="75">
        <f t="shared" ref="F186:F193" si="24">D186-C186</f>
        <v>1.2999999999999545</v>
      </c>
      <c r="G186" s="75">
        <f t="shared" ref="G186:G193" si="25">(D186-E186)/D186*100</f>
        <v>1.5882309888018771</v>
      </c>
      <c r="H186" s="75">
        <f>VLOOKUP($A186,'Data Vlaue (Cr)'!$C:$FB,99)</f>
        <v>29317</v>
      </c>
      <c r="I186" s="75">
        <f>VLOOKUP($A186,'Data Vlaue (Cr)'!$C:$FB,100)</f>
        <v>29795</v>
      </c>
      <c r="J186" s="75">
        <f t="shared" ref="J186:J193" si="26">H186-I186</f>
        <v>-478</v>
      </c>
      <c r="K186" s="75">
        <f t="shared" ref="K186:K193" si="27">J186/H186*100</f>
        <v>-1.63045332059897</v>
      </c>
      <c r="L186" s="75">
        <f>VLOOKUP($A186,'Data Vlaue (Cr)'!$C:$FB,67)</f>
        <v>22682</v>
      </c>
      <c r="M186" s="75">
        <f>VLOOKUP($A186,'Data Vlaue (Cr)'!$C:$FB,68)</f>
        <v>16380</v>
      </c>
      <c r="N186" s="75">
        <f t="shared" ref="N186:N193" si="28">L186-M186</f>
        <v>6302</v>
      </c>
      <c r="O186" s="75">
        <f t="shared" ref="O186:O193" si="29">N186/L186*100</f>
        <v>27.784146018869588</v>
      </c>
      <c r="P186" s="75">
        <f>VLOOKUP($A186,'Data Vlaue (Cr)'!$C:$FB,119)</f>
        <v>0.48</v>
      </c>
      <c r="Q186" s="75">
        <f>VLOOKUP($A186,'Data Vlaue (Cr)'!$C:$FB,122)*100</f>
        <v>6.67</v>
      </c>
      <c r="R186" s="75">
        <f>VLOOKUP($A186,'Data Vlaue (Cr)'!$C:$FB,125)</f>
        <v>0.48</v>
      </c>
      <c r="S186" s="75">
        <f>VLOOKUP($A186,'Data Vlaue (Cr)'!$C:$FB,128)*100</f>
        <v>-5.88</v>
      </c>
    </row>
    <row r="187" spans="1:19" x14ac:dyDescent="0.25">
      <c r="A187" s="96" t="str">
        <f>'Data Vlaue (Cr)'!C178</f>
        <v>RVNL</v>
      </c>
      <c r="B187" s="75">
        <f>VLOOKUP($A187,'Data Vlaue (Cr)'!$C:$FB,2)</f>
        <v>1525</v>
      </c>
      <c r="C187" s="75">
        <f>VLOOKUP($A187,'Data Vlaue (Cr)'!$C:$FB,8)</f>
        <v>303.06</v>
      </c>
      <c r="D187" s="75">
        <f>VLOOKUP($A187,'Data Vlaue (Cr)'!$C:$FB,4)</f>
        <v>299.66000000000003</v>
      </c>
      <c r="E187" s="75">
        <f>VLOOKUP($A187,'Data Vlaue (Cr)'!$C:$FB,5)</f>
        <v>292.2</v>
      </c>
      <c r="F187" s="75">
        <f t="shared" si="24"/>
        <v>-3.3999999999999773</v>
      </c>
      <c r="G187" s="75">
        <f t="shared" si="25"/>
        <v>2.4894880864980431</v>
      </c>
      <c r="H187" s="75">
        <f>VLOOKUP($A187,'Data Vlaue (Cr)'!$C:$FB,99)</f>
        <v>3196</v>
      </c>
      <c r="I187" s="75">
        <f>VLOOKUP($A187,'Data Vlaue (Cr)'!$C:$FB,100)</f>
        <v>2744</v>
      </c>
      <c r="J187" s="75">
        <f t="shared" si="26"/>
        <v>452</v>
      </c>
      <c r="K187" s="75">
        <f t="shared" si="27"/>
        <v>14.14267834793492</v>
      </c>
      <c r="L187" s="75">
        <f>VLOOKUP($A187,'Data Vlaue (Cr)'!$C:$FB,67)</f>
        <v>5413</v>
      </c>
      <c r="M187" s="75">
        <f>VLOOKUP($A187,'Data Vlaue (Cr)'!$C:$FB,68)</f>
        <v>2330</v>
      </c>
      <c r="N187" s="75">
        <f t="shared" si="28"/>
        <v>3083</v>
      </c>
      <c r="O187" s="75">
        <f t="shared" si="29"/>
        <v>56.955477554036584</v>
      </c>
      <c r="P187" s="75">
        <f>VLOOKUP($A187,'Data Vlaue (Cr)'!$C:$FB,119)</f>
        <v>0.66</v>
      </c>
      <c r="Q187" s="75">
        <f>VLOOKUP($A187,'Data Vlaue (Cr)'!$C:$FB,122)*100</f>
        <v>-8.33</v>
      </c>
      <c r="R187" s="75">
        <f>VLOOKUP($A187,'Data Vlaue (Cr)'!$C:$FB,125)</f>
        <v>0.3</v>
      </c>
      <c r="S187" s="75">
        <f>VLOOKUP($A187,'Data Vlaue (Cr)'!$C:$FB,128)*100</f>
        <v>7.1400000000000006</v>
      </c>
    </row>
    <row r="188" spans="1:19" x14ac:dyDescent="0.25">
      <c r="A188" s="96" t="str">
        <f>'Data Vlaue (Cr)'!C179</f>
        <v>SAIL</v>
      </c>
      <c r="B188" s="75">
        <f>VLOOKUP($A188,'Data Vlaue (Cr)'!$C:$FB,2)</f>
        <v>4700</v>
      </c>
      <c r="C188" s="75">
        <f>VLOOKUP($A188,'Data Vlaue (Cr)'!$C:$FB,8)</f>
        <v>173.33</v>
      </c>
      <c r="D188" s="75">
        <f>VLOOKUP($A188,'Data Vlaue (Cr)'!$C:$FB,4)</f>
        <v>173.23</v>
      </c>
      <c r="E188" s="75">
        <f>VLOOKUP($A188,'Data Vlaue (Cr)'!$C:$FB,5)</f>
        <v>171.53</v>
      </c>
      <c r="F188" s="75">
        <f t="shared" si="24"/>
        <v>-0.10000000000002274</v>
      </c>
      <c r="G188" s="75">
        <f t="shared" si="25"/>
        <v>0.98135426889106314</v>
      </c>
      <c r="H188" s="75">
        <f>VLOOKUP($A188,'Data Vlaue (Cr)'!$C:$FB,99)</f>
        <v>3804</v>
      </c>
      <c r="I188" s="75">
        <f>VLOOKUP($A188,'Data Vlaue (Cr)'!$C:$FB,100)</f>
        <v>3839</v>
      </c>
      <c r="J188" s="75">
        <f t="shared" si="26"/>
        <v>-35</v>
      </c>
      <c r="K188" s="75">
        <f t="shared" si="27"/>
        <v>-0.92008412197686651</v>
      </c>
      <c r="L188" s="75">
        <f>VLOOKUP($A188,'Data Vlaue (Cr)'!$C:$FB,67)</f>
        <v>55</v>
      </c>
      <c r="M188" s="75">
        <f>VLOOKUP($A188,'Data Vlaue (Cr)'!$C:$FB,68)</f>
        <v>76</v>
      </c>
      <c r="N188" s="75">
        <f t="shared" si="28"/>
        <v>-21</v>
      </c>
      <c r="O188" s="75">
        <f t="shared" si="29"/>
        <v>-38.181818181818187</v>
      </c>
      <c r="P188" s="75">
        <f>VLOOKUP($A188,'Data Vlaue (Cr)'!$C:$FB,119)</f>
        <v>0.74</v>
      </c>
      <c r="Q188" s="75">
        <f>VLOOKUP($A188,'Data Vlaue (Cr)'!$C:$FB,122)*100</f>
        <v>0</v>
      </c>
      <c r="R188" s="75">
        <f>VLOOKUP($A188,'Data Vlaue (Cr)'!$C:$FB,125)</f>
        <v>0.53</v>
      </c>
      <c r="S188" s="75">
        <f>VLOOKUP($A188,'Data Vlaue (Cr)'!$C:$FB,128)*100</f>
        <v>82.76</v>
      </c>
    </row>
    <row r="189" spans="1:19" x14ac:dyDescent="0.25">
      <c r="A189" s="96" t="str">
        <f>'Data Vlaue (Cr)'!C180</f>
        <v>SAMMAANCAP</v>
      </c>
      <c r="B189" s="75">
        <f>VLOOKUP($A189,'Data Vlaue (Cr)'!$C:$FB,2)</f>
        <v>4300</v>
      </c>
      <c r="C189" s="75">
        <f>VLOOKUP($A189,'Data Vlaue (Cr)'!$C:$FB,8)</f>
        <v>154.53</v>
      </c>
      <c r="D189" s="75">
        <f>VLOOKUP($A189,'Data Vlaue (Cr)'!$C:$FB,4)</f>
        <v>154.51</v>
      </c>
      <c r="E189" s="75">
        <f>VLOOKUP($A189,'Data Vlaue (Cr)'!$C:$FB,5)</f>
        <v>154.91999999999999</v>
      </c>
      <c r="F189" s="75">
        <f t="shared" si="24"/>
        <v>-2.0000000000010232E-2</v>
      </c>
      <c r="G189" s="75">
        <f t="shared" si="25"/>
        <v>-0.26535499320432115</v>
      </c>
      <c r="H189" s="75">
        <f>VLOOKUP($A189,'Data Vlaue (Cr)'!$C:$FB,99)</f>
        <v>2083</v>
      </c>
      <c r="I189" s="75">
        <f>VLOOKUP($A189,'Data Vlaue (Cr)'!$C:$FB,100)</f>
        <v>2109</v>
      </c>
      <c r="J189" s="75">
        <f t="shared" si="26"/>
        <v>-26</v>
      </c>
      <c r="K189" s="75">
        <f t="shared" si="27"/>
        <v>-1.2481997119539128</v>
      </c>
      <c r="L189" s="75">
        <f>VLOOKUP($A189,'Data Vlaue (Cr)'!$C:$FB,67)</f>
        <v>34</v>
      </c>
      <c r="M189" s="75">
        <f>VLOOKUP($A189,'Data Vlaue (Cr)'!$C:$FB,68)</f>
        <v>40</v>
      </c>
      <c r="N189" s="75">
        <f t="shared" si="28"/>
        <v>-6</v>
      </c>
      <c r="O189" s="75">
        <f t="shared" si="29"/>
        <v>-17.647058823529413</v>
      </c>
      <c r="P189" s="75">
        <f>VLOOKUP($A189,'Data Vlaue (Cr)'!$C:$FB,119)</f>
        <v>1.08</v>
      </c>
      <c r="Q189" s="75">
        <f>VLOOKUP($A189,'Data Vlaue (Cr)'!$C:$FB,122)*100</f>
        <v>-0.91999999999999993</v>
      </c>
      <c r="R189" s="75">
        <f>VLOOKUP($A189,'Data Vlaue (Cr)'!$C:$FB,125)</f>
        <v>0.97</v>
      </c>
      <c r="S189" s="75">
        <f>VLOOKUP($A189,'Data Vlaue (Cr)'!$C:$FB,128)*100</f>
        <v>6.59</v>
      </c>
    </row>
    <row r="190" spans="1:19" x14ac:dyDescent="0.25">
      <c r="A190" s="96" t="str">
        <f>'Data Vlaue (Cr)'!C181</f>
        <v>SBICARD</v>
      </c>
      <c r="B190" s="75">
        <f>VLOOKUP($A190,'Data Vlaue (Cr)'!$C:$FB,2)</f>
        <v>800</v>
      </c>
      <c r="C190" s="75">
        <f>VLOOKUP($A190,'Data Vlaue (Cr)'!$C:$FB,8)</f>
        <v>695.2</v>
      </c>
      <c r="D190" s="75">
        <f>VLOOKUP($A190,'Data Vlaue (Cr)'!$C:$FB,4)</f>
        <v>696.1</v>
      </c>
      <c r="E190" s="75">
        <f>VLOOKUP($A190,'Data Vlaue (Cr)'!$C:$FB,5)</f>
        <v>685.5</v>
      </c>
      <c r="F190" s="75">
        <f t="shared" si="24"/>
        <v>0.89999999999997726</v>
      </c>
      <c r="G190" s="75">
        <f t="shared" si="25"/>
        <v>1.5227697169946879</v>
      </c>
      <c r="H190" s="75">
        <f>VLOOKUP($A190,'Data Vlaue (Cr)'!$C:$FB,99)</f>
        <v>2855</v>
      </c>
      <c r="I190" s="75">
        <f>VLOOKUP($A190,'Data Vlaue (Cr)'!$C:$FB,100)</f>
        <v>2752</v>
      </c>
      <c r="J190" s="75">
        <f t="shared" si="26"/>
        <v>103</v>
      </c>
      <c r="K190" s="75">
        <f t="shared" si="27"/>
        <v>3.6077057793345011</v>
      </c>
      <c r="L190" s="75">
        <f>VLOOKUP($A190,'Data Vlaue (Cr)'!$C:$FB,67)</f>
        <v>856</v>
      </c>
      <c r="M190" s="75">
        <f>VLOOKUP($A190,'Data Vlaue (Cr)'!$C:$FB,68)</f>
        <v>763</v>
      </c>
      <c r="N190" s="75">
        <f t="shared" si="28"/>
        <v>93</v>
      </c>
      <c r="O190" s="75">
        <f t="shared" si="29"/>
        <v>10.864485981308411</v>
      </c>
      <c r="P190" s="75">
        <f>VLOOKUP($A190,'Data Vlaue (Cr)'!$C:$FB,119)</f>
        <v>0.74</v>
      </c>
      <c r="Q190" s="75">
        <f>VLOOKUP($A190,'Data Vlaue (Cr)'!$C:$FB,122)*100</f>
        <v>-6.3299999999999992</v>
      </c>
      <c r="R190" s="75">
        <f>VLOOKUP($A190,'Data Vlaue (Cr)'!$C:$FB,125)</f>
        <v>0.56999999999999995</v>
      </c>
      <c r="S190" s="75">
        <f>VLOOKUP($A190,'Data Vlaue (Cr)'!$C:$FB,128)*100</f>
        <v>-19.72</v>
      </c>
    </row>
    <row r="191" spans="1:19" x14ac:dyDescent="0.25">
      <c r="A191" s="96" t="str">
        <f>'Data Vlaue (Cr)'!C182</f>
        <v>SBILIFE</v>
      </c>
      <c r="B191" s="75">
        <f>VLOOKUP($A191,'Data Vlaue (Cr)'!$C:$FB,2)</f>
        <v>375</v>
      </c>
      <c r="C191" s="75">
        <f>VLOOKUP($A191,'Data Vlaue (Cr)'!$C:$FB,8)</f>
        <v>1970.9</v>
      </c>
      <c r="D191" s="75">
        <f>VLOOKUP($A191,'Data Vlaue (Cr)'!$C:$FB,4)</f>
        <v>1970.4</v>
      </c>
      <c r="E191" s="75">
        <f>VLOOKUP($A191,'Data Vlaue (Cr)'!$C:$FB,5)</f>
        <v>1975.2</v>
      </c>
      <c r="F191" s="75">
        <f t="shared" si="24"/>
        <v>-0.5</v>
      </c>
      <c r="G191" s="75">
        <f t="shared" si="25"/>
        <v>-0.24360535931790267</v>
      </c>
      <c r="H191" s="75">
        <f>VLOOKUP($A191,'Data Vlaue (Cr)'!$C:$FB,99)</f>
        <v>3258</v>
      </c>
      <c r="I191" s="75">
        <f>VLOOKUP($A191,'Data Vlaue (Cr)'!$C:$FB,100)</f>
        <v>3076</v>
      </c>
      <c r="J191" s="75">
        <f t="shared" si="26"/>
        <v>182</v>
      </c>
      <c r="K191" s="75">
        <f t="shared" si="27"/>
        <v>5.5862492326580728</v>
      </c>
      <c r="L191" s="75">
        <f>VLOOKUP($A191,'Data Vlaue (Cr)'!$C:$FB,67)</f>
        <v>864</v>
      </c>
      <c r="M191" s="75">
        <f>VLOOKUP($A191,'Data Vlaue (Cr)'!$C:$FB,68)</f>
        <v>1027</v>
      </c>
      <c r="N191" s="75">
        <f t="shared" si="28"/>
        <v>-163</v>
      </c>
      <c r="O191" s="75">
        <f t="shared" si="29"/>
        <v>-18.86574074074074</v>
      </c>
      <c r="P191" s="75">
        <f>VLOOKUP($A191,'Data Vlaue (Cr)'!$C:$FB,119)</f>
        <v>0.61</v>
      </c>
      <c r="Q191" s="75">
        <f>VLOOKUP($A191,'Data Vlaue (Cr)'!$C:$FB,122)*100</f>
        <v>-11.59</v>
      </c>
      <c r="R191" s="75">
        <f>VLOOKUP($A191,'Data Vlaue (Cr)'!$C:$FB,125)</f>
        <v>0.44</v>
      </c>
      <c r="S191" s="75">
        <f>VLOOKUP($A191,'Data Vlaue (Cr)'!$C:$FB,128)*100</f>
        <v>-25.419999999999998</v>
      </c>
    </row>
    <row r="192" spans="1:19" x14ac:dyDescent="0.25">
      <c r="A192" s="96" t="str">
        <f>'Data Vlaue (Cr)'!C183</f>
        <v>SBIN</v>
      </c>
      <c r="B192" s="75">
        <f>VLOOKUP($A192,'Data Vlaue (Cr)'!$C:$FB,2)</f>
        <v>750</v>
      </c>
      <c r="C192" s="75">
        <f>VLOOKUP($A192,'Data Vlaue (Cr)'!$C:$FB,8)</f>
        <v>1080.25</v>
      </c>
      <c r="D192" s="75">
        <f>VLOOKUP($A192,'Data Vlaue (Cr)'!$C:$FB,4)</f>
        <v>1082.8</v>
      </c>
      <c r="E192" s="75">
        <f>VLOOKUP($A192,'Data Vlaue (Cr)'!$C:$FB,5)</f>
        <v>1070.1500000000001</v>
      </c>
      <c r="F192" s="75">
        <f t="shared" si="24"/>
        <v>2.5499999999999545</v>
      </c>
      <c r="G192" s="75">
        <f t="shared" si="25"/>
        <v>1.1682674547469398</v>
      </c>
      <c r="H192" s="75">
        <f>VLOOKUP($A192,'Data Vlaue (Cr)'!$C:$FB,99)</f>
        <v>17494</v>
      </c>
      <c r="I192" s="75">
        <f>VLOOKUP($A192,'Data Vlaue (Cr)'!$C:$FB,100)</f>
        <v>17134</v>
      </c>
      <c r="J192" s="75">
        <f t="shared" si="26"/>
        <v>360</v>
      </c>
      <c r="K192" s="75">
        <f t="shared" si="27"/>
        <v>2.0578484051674861</v>
      </c>
      <c r="L192" s="75">
        <f>VLOOKUP($A192,'Data Vlaue (Cr)'!$C:$FB,67)</f>
        <v>11298</v>
      </c>
      <c r="M192" s="75">
        <f>VLOOKUP($A192,'Data Vlaue (Cr)'!$C:$FB,68)</f>
        <v>9262</v>
      </c>
      <c r="N192" s="75">
        <f t="shared" si="28"/>
        <v>2036</v>
      </c>
      <c r="O192" s="75">
        <f t="shared" si="29"/>
        <v>18.020888652858915</v>
      </c>
      <c r="P192" s="75">
        <f>VLOOKUP($A192,'Data Vlaue (Cr)'!$C:$FB,119)</f>
        <v>0.81</v>
      </c>
      <c r="Q192" s="75">
        <f>VLOOKUP($A192,'Data Vlaue (Cr)'!$C:$FB,122)*100</f>
        <v>10.96</v>
      </c>
      <c r="R192" s="75">
        <f>VLOOKUP($A192,'Data Vlaue (Cr)'!$C:$FB,125)</f>
        <v>0.62</v>
      </c>
      <c r="S192" s="75">
        <f>VLOOKUP($A192,'Data Vlaue (Cr)'!$C:$FB,128)*100</f>
        <v>-4.62</v>
      </c>
    </row>
    <row r="193" spans="1:19" x14ac:dyDescent="0.25">
      <c r="A193" s="96" t="str">
        <f>'Data Vlaue (Cr)'!C184</f>
        <v>SHREECEM</v>
      </c>
      <c r="B193" s="75">
        <f>VLOOKUP($A193,'Data Vlaue (Cr)'!$C:$FB,2)</f>
        <v>25</v>
      </c>
      <c r="C193" s="75">
        <f>VLOOKUP($A193,'Data Vlaue (Cr)'!$C:$FB,8)</f>
        <v>25290</v>
      </c>
      <c r="D193" s="75">
        <f>VLOOKUP($A193,'Data Vlaue (Cr)'!$C:$FB,4)</f>
        <v>25280</v>
      </c>
      <c r="E193" s="75">
        <f>VLOOKUP($A193,'Data Vlaue (Cr)'!$C:$FB,5)</f>
        <v>25185</v>
      </c>
      <c r="F193" s="75">
        <f t="shared" si="24"/>
        <v>-10</v>
      </c>
      <c r="G193" s="75">
        <f t="shared" si="25"/>
        <v>0.37579113924050633</v>
      </c>
      <c r="H193" s="75">
        <f>VLOOKUP($A193,'Data Vlaue (Cr)'!$C:$FB,99)</f>
        <v>1221</v>
      </c>
      <c r="I193" s="75">
        <f>VLOOKUP($A193,'Data Vlaue (Cr)'!$C:$FB,100)</f>
        <v>1213</v>
      </c>
      <c r="J193" s="75">
        <f t="shared" si="26"/>
        <v>8</v>
      </c>
      <c r="K193" s="75">
        <f t="shared" si="27"/>
        <v>0.65520065520065529</v>
      </c>
      <c r="L193" s="75">
        <f>VLOOKUP($A193,'Data Vlaue (Cr)'!$C:$FB,67)</f>
        <v>163</v>
      </c>
      <c r="M193" s="75">
        <f>VLOOKUP($A193,'Data Vlaue (Cr)'!$C:$FB,68)</f>
        <v>197</v>
      </c>
      <c r="N193" s="75">
        <f t="shared" si="28"/>
        <v>-34</v>
      </c>
      <c r="O193" s="75">
        <f t="shared" si="29"/>
        <v>-20.858895705521473</v>
      </c>
      <c r="P193" s="75">
        <f>VLOOKUP($A193,'Data Vlaue (Cr)'!$C:$FB,119)</f>
        <v>0.85</v>
      </c>
      <c r="Q193" s="75">
        <f>VLOOKUP($A193,'Data Vlaue (Cr)'!$C:$FB,122)*100</f>
        <v>0</v>
      </c>
      <c r="R193" s="75">
        <f>VLOOKUP($A193,'Data Vlaue (Cr)'!$C:$FB,125)</f>
        <v>0.2</v>
      </c>
      <c r="S193" s="75">
        <f>VLOOKUP($A193,'Data Vlaue (Cr)'!$C:$FB,128)*100</f>
        <v>-44.440000000000005</v>
      </c>
    </row>
    <row r="194" spans="1:19" ht="13.9" customHeight="1" x14ac:dyDescent="0.25">
      <c r="A194" s="96" t="str">
        <f>'Data Vlaue (Cr)'!C185</f>
        <v>SHRIRAMFIN</v>
      </c>
      <c r="B194" s="75">
        <f>VLOOKUP($A194,'Data Vlaue (Cr)'!$C:$FB,2)</f>
        <v>825</v>
      </c>
      <c r="C194" s="75">
        <f>VLOOKUP($A194,'Data Vlaue (Cr)'!$C:$FB,8)</f>
        <v>1036.95</v>
      </c>
      <c r="D194" s="75">
        <f>VLOOKUP($A194,'Data Vlaue (Cr)'!$C:$FB,4)</f>
        <v>1036.7</v>
      </c>
      <c r="E194" s="75">
        <f>VLOOKUP($A194,'Data Vlaue (Cr)'!$C:$FB,5)</f>
        <v>1023.45</v>
      </c>
      <c r="F194" s="75">
        <f t="shared" ref="F194:F214" si="30">D194-C194</f>
        <v>-0.25</v>
      </c>
      <c r="G194" s="75">
        <f t="shared" ref="G194:G214" si="31">(D194-E194)/D194*100</f>
        <v>1.2780939519629593</v>
      </c>
      <c r="H194" s="75">
        <f>VLOOKUP($A194,'Data Vlaue (Cr)'!$C:$FB,99)</f>
        <v>6725</v>
      </c>
      <c r="I194" s="75">
        <f>VLOOKUP($A194,'Data Vlaue (Cr)'!$C:$FB,100)</f>
        <v>6843</v>
      </c>
      <c r="J194" s="75">
        <f t="shared" ref="J194:J214" si="32">H194-I194</f>
        <v>-118</v>
      </c>
      <c r="K194" s="75">
        <f t="shared" ref="K194:K214" si="33">J194/H194*100</f>
        <v>-1.7546468401486988</v>
      </c>
      <c r="L194" s="75">
        <f>VLOOKUP($A194,'Data Vlaue (Cr)'!$C:$FB,67)</f>
        <v>2601</v>
      </c>
      <c r="M194" s="75">
        <f>VLOOKUP($A194,'Data Vlaue (Cr)'!$C:$FB,68)</f>
        <v>2854</v>
      </c>
      <c r="N194" s="75">
        <f t="shared" ref="N194:N214" si="34">L194-M194</f>
        <v>-253</v>
      </c>
      <c r="O194" s="75">
        <f t="shared" ref="O194:O214" si="35">N194/L194*100</f>
        <v>-9.7270280661284119</v>
      </c>
      <c r="P194" s="75">
        <f>VLOOKUP($A194,'Data Vlaue (Cr)'!$C:$FB,119)</f>
        <v>0.73</v>
      </c>
      <c r="Q194" s="75">
        <f>VLOOKUP($A194,'Data Vlaue (Cr)'!$C:$FB,122)*100</f>
        <v>2.82</v>
      </c>
      <c r="R194" s="75">
        <f>VLOOKUP($A194,'Data Vlaue (Cr)'!$C:$FB,125)</f>
        <v>0.45</v>
      </c>
      <c r="S194" s="75">
        <f>VLOOKUP($A194,'Data Vlaue (Cr)'!$C:$FB,128)*100</f>
        <v>-19.64</v>
      </c>
    </row>
    <row r="195" spans="1:19" x14ac:dyDescent="0.25">
      <c r="A195" s="96" t="str">
        <f>'Data Vlaue (Cr)'!C186</f>
        <v>SIEMENS</v>
      </c>
      <c r="B195" s="75">
        <f>VLOOKUP($A195,'Data Vlaue (Cr)'!$C:$FB,2)</f>
        <v>175</v>
      </c>
      <c r="C195" s="75">
        <f>VLOOKUP($A195,'Data Vlaue (Cr)'!$C:$FB,8)</f>
        <v>3707.9</v>
      </c>
      <c r="D195" s="75">
        <f>VLOOKUP($A195,'Data Vlaue (Cr)'!$C:$FB,4)</f>
        <v>3708.6</v>
      </c>
      <c r="E195" s="75">
        <f>VLOOKUP($A195,'Data Vlaue (Cr)'!$C:$FB,5)</f>
        <v>3563.6</v>
      </c>
      <c r="F195" s="75">
        <f t="shared" si="30"/>
        <v>0.6999999999998181</v>
      </c>
      <c r="G195" s="75">
        <f t="shared" si="31"/>
        <v>3.9098312031494364</v>
      </c>
      <c r="H195" s="75">
        <f>VLOOKUP($A195,'Data Vlaue (Cr)'!$C:$FB,99)</f>
        <v>2294</v>
      </c>
      <c r="I195" s="75">
        <f>VLOOKUP($A195,'Data Vlaue (Cr)'!$C:$FB,100)</f>
        <v>2241</v>
      </c>
      <c r="J195" s="75">
        <f t="shared" si="32"/>
        <v>53</v>
      </c>
      <c r="K195" s="75">
        <f t="shared" si="33"/>
        <v>2.3103748910200523</v>
      </c>
      <c r="L195" s="75">
        <f>VLOOKUP($A195,'Data Vlaue (Cr)'!$C:$FB,67)</f>
        <v>5326</v>
      </c>
      <c r="M195" s="75">
        <f>VLOOKUP($A195,'Data Vlaue (Cr)'!$C:$FB,68)</f>
        <v>3401</v>
      </c>
      <c r="N195" s="75">
        <f t="shared" si="34"/>
        <v>1925</v>
      </c>
      <c r="O195" s="75">
        <f t="shared" si="35"/>
        <v>36.143447239954938</v>
      </c>
      <c r="P195" s="75">
        <f>VLOOKUP($A195,'Data Vlaue (Cr)'!$C:$FB,119)</f>
        <v>0.95</v>
      </c>
      <c r="Q195" s="75">
        <f>VLOOKUP($A195,'Data Vlaue (Cr)'!$C:$FB,122)*100</f>
        <v>23.380000000000003</v>
      </c>
      <c r="R195" s="75">
        <f>VLOOKUP($A195,'Data Vlaue (Cr)'!$C:$FB,125)</f>
        <v>0.46</v>
      </c>
      <c r="S195" s="75">
        <f>VLOOKUP($A195,'Data Vlaue (Cr)'!$C:$FB,128)*100</f>
        <v>-6.12</v>
      </c>
    </row>
    <row r="196" spans="1:19" x14ac:dyDescent="0.25">
      <c r="A196" s="96" t="str">
        <f>'Data Vlaue (Cr)'!C187</f>
        <v>SOLARINDS</v>
      </c>
      <c r="B196" s="75">
        <f>VLOOKUP($A196,'Data Vlaue (Cr)'!$C:$FB,2)</f>
        <v>50</v>
      </c>
      <c r="C196" s="75">
        <f>VLOOKUP($A196,'Data Vlaue (Cr)'!$C:$FB,8)</f>
        <v>15089</v>
      </c>
      <c r="D196" s="75">
        <f>VLOOKUP($A196,'Data Vlaue (Cr)'!$C:$FB,4)</f>
        <v>15140</v>
      </c>
      <c r="E196" s="75">
        <f>VLOOKUP($A196,'Data Vlaue (Cr)'!$C:$FB,5)</f>
        <v>15048</v>
      </c>
      <c r="F196" s="75">
        <f t="shared" si="30"/>
        <v>51</v>
      </c>
      <c r="G196" s="75">
        <f t="shared" si="31"/>
        <v>0.607661822985469</v>
      </c>
      <c r="H196" s="75">
        <f>VLOOKUP($A196,'Data Vlaue (Cr)'!$C:$FB,99)</f>
        <v>1994</v>
      </c>
      <c r="I196" s="75">
        <f>VLOOKUP($A196,'Data Vlaue (Cr)'!$C:$FB,100)</f>
        <v>1946</v>
      </c>
      <c r="J196" s="75">
        <f t="shared" si="32"/>
        <v>48</v>
      </c>
      <c r="K196" s="75">
        <f t="shared" si="33"/>
        <v>2.4072216649949847</v>
      </c>
      <c r="L196" s="75">
        <f>VLOOKUP($A196,'Data Vlaue (Cr)'!$C:$FB,67)</f>
        <v>1948</v>
      </c>
      <c r="M196" s="75">
        <f>VLOOKUP($A196,'Data Vlaue (Cr)'!$C:$FB,68)</f>
        <v>1376</v>
      </c>
      <c r="N196" s="75">
        <f t="shared" si="34"/>
        <v>572</v>
      </c>
      <c r="O196" s="75">
        <f t="shared" si="35"/>
        <v>29.363449691991789</v>
      </c>
      <c r="P196" s="75">
        <f>VLOOKUP($A196,'Data Vlaue (Cr)'!$C:$FB,119)</f>
        <v>0.76</v>
      </c>
      <c r="Q196" s="75">
        <f>VLOOKUP($A196,'Data Vlaue (Cr)'!$C:$FB,122)*100</f>
        <v>2.7</v>
      </c>
      <c r="R196" s="75">
        <f>VLOOKUP($A196,'Data Vlaue (Cr)'!$C:$FB,125)</f>
        <v>2.71</v>
      </c>
      <c r="S196" s="75">
        <f>VLOOKUP($A196,'Data Vlaue (Cr)'!$C:$FB,128)*100</f>
        <v>383.93</v>
      </c>
    </row>
    <row r="197" spans="1:19" x14ac:dyDescent="0.25">
      <c r="A197" s="96" t="str">
        <f>'Data Vlaue (Cr)'!C188</f>
        <v>SONACOMS</v>
      </c>
      <c r="B197" s="75">
        <f>VLOOKUP($A197,'Data Vlaue (Cr)'!$C:$FB,2)</f>
        <v>1225</v>
      </c>
      <c r="C197" s="75">
        <f>VLOOKUP($A197,'Data Vlaue (Cr)'!$C:$FB,8)</f>
        <v>593.85</v>
      </c>
      <c r="D197" s="75">
        <f>VLOOKUP($A197,'Data Vlaue (Cr)'!$C:$FB,4)</f>
        <v>594.95000000000005</v>
      </c>
      <c r="E197" s="75">
        <f>VLOOKUP($A197,'Data Vlaue (Cr)'!$C:$FB,5)</f>
        <v>583.1</v>
      </c>
      <c r="F197" s="75">
        <f t="shared" si="30"/>
        <v>1.1000000000000227</v>
      </c>
      <c r="G197" s="75">
        <f t="shared" si="31"/>
        <v>1.9917640137826744</v>
      </c>
      <c r="H197" s="75">
        <f>VLOOKUP($A197,'Data Vlaue (Cr)'!$C:$FB,99)</f>
        <v>1330</v>
      </c>
      <c r="I197" s="75">
        <f>VLOOKUP($A197,'Data Vlaue (Cr)'!$C:$FB,100)</f>
        <v>1321</v>
      </c>
      <c r="J197" s="75">
        <f t="shared" si="32"/>
        <v>9</v>
      </c>
      <c r="K197" s="75">
        <f t="shared" si="33"/>
        <v>0.67669172932330823</v>
      </c>
      <c r="L197" s="75">
        <f>VLOOKUP($A197,'Data Vlaue (Cr)'!$C:$FB,67)</f>
        <v>1067</v>
      </c>
      <c r="M197" s="75">
        <f>VLOOKUP($A197,'Data Vlaue (Cr)'!$C:$FB,68)</f>
        <v>559</v>
      </c>
      <c r="N197" s="75">
        <f t="shared" si="34"/>
        <v>508</v>
      </c>
      <c r="O197" s="75">
        <f t="shared" si="35"/>
        <v>47.610121836925963</v>
      </c>
      <c r="P197" s="75">
        <f>VLOOKUP($A197,'Data Vlaue (Cr)'!$C:$FB,119)</f>
        <v>0.79</v>
      </c>
      <c r="Q197" s="75">
        <f>VLOOKUP($A197,'Data Vlaue (Cr)'!$C:$FB,122)*100</f>
        <v>-1.25</v>
      </c>
      <c r="R197" s="75">
        <f>VLOOKUP($A197,'Data Vlaue (Cr)'!$C:$FB,125)</f>
        <v>0.35</v>
      </c>
      <c r="S197" s="75">
        <f>VLOOKUP($A197,'Data Vlaue (Cr)'!$C:$FB,128)*100</f>
        <v>-35.19</v>
      </c>
    </row>
    <row r="198" spans="1:19" x14ac:dyDescent="0.25">
      <c r="A198" s="96" t="str">
        <f>'Data Vlaue (Cr)'!C189</f>
        <v>SRF</v>
      </c>
      <c r="B198" s="75">
        <f>VLOOKUP($A198,'Data Vlaue (Cr)'!$C:$FB,2)</f>
        <v>200</v>
      </c>
      <c r="C198" s="75">
        <f>VLOOKUP($A198,'Data Vlaue (Cr)'!$C:$FB,8)</f>
        <v>2494.5</v>
      </c>
      <c r="D198" s="75">
        <f>VLOOKUP($A198,'Data Vlaue (Cr)'!$C:$FB,4)</f>
        <v>2495.3000000000002</v>
      </c>
      <c r="E198" s="75">
        <f>VLOOKUP($A198,'Data Vlaue (Cr)'!$C:$FB,5)</f>
        <v>2507.9</v>
      </c>
      <c r="F198" s="75">
        <f t="shared" si="30"/>
        <v>0.8000000000001819</v>
      </c>
      <c r="G198" s="75">
        <f t="shared" si="31"/>
        <v>-0.50494930469281885</v>
      </c>
      <c r="H198" s="75">
        <f>VLOOKUP($A198,'Data Vlaue (Cr)'!$C:$FB,99)</f>
        <v>1869</v>
      </c>
      <c r="I198" s="75">
        <f>VLOOKUP($A198,'Data Vlaue (Cr)'!$C:$FB,100)</f>
        <v>1743</v>
      </c>
      <c r="J198" s="75">
        <f t="shared" si="32"/>
        <v>126</v>
      </c>
      <c r="K198" s="75">
        <f t="shared" si="33"/>
        <v>6.7415730337078648</v>
      </c>
      <c r="L198" s="75">
        <f>VLOOKUP($A198,'Data Vlaue (Cr)'!$C:$FB,67)</f>
        <v>1053</v>
      </c>
      <c r="M198" s="75">
        <f>VLOOKUP($A198,'Data Vlaue (Cr)'!$C:$FB,68)</f>
        <v>750</v>
      </c>
      <c r="N198" s="75">
        <f t="shared" si="34"/>
        <v>303</v>
      </c>
      <c r="O198" s="75">
        <f t="shared" si="35"/>
        <v>28.774928774928775</v>
      </c>
      <c r="P198" s="75">
        <f>VLOOKUP($A198,'Data Vlaue (Cr)'!$C:$FB,119)</f>
        <v>0.59</v>
      </c>
      <c r="Q198" s="75">
        <f>VLOOKUP($A198,'Data Vlaue (Cr)'!$C:$FB,122)*100</f>
        <v>-13.239999999999998</v>
      </c>
      <c r="R198" s="75">
        <f>VLOOKUP($A198,'Data Vlaue (Cr)'!$C:$FB,125)</f>
        <v>0.35</v>
      </c>
      <c r="S198" s="75">
        <f>VLOOKUP($A198,'Data Vlaue (Cr)'!$C:$FB,128)*100</f>
        <v>9.370000000000001</v>
      </c>
    </row>
    <row r="199" spans="1:19" x14ac:dyDescent="0.25">
      <c r="A199" s="96" t="str">
        <f>'Data Vlaue (Cr)'!C190</f>
        <v>SUNPHARMA</v>
      </c>
      <c r="B199" s="75">
        <f>VLOOKUP($A199,'Data Vlaue (Cr)'!$C:$FB,2)</f>
        <v>350</v>
      </c>
      <c r="C199" s="75">
        <f>VLOOKUP($A199,'Data Vlaue (Cr)'!$C:$FB,8)</f>
        <v>1675.5</v>
      </c>
      <c r="D199" s="75">
        <f>VLOOKUP($A199,'Data Vlaue (Cr)'!$C:$FB,4)</f>
        <v>1674.9</v>
      </c>
      <c r="E199" s="75">
        <f>VLOOKUP($A199,'Data Vlaue (Cr)'!$C:$FB,5)</f>
        <v>1692.9</v>
      </c>
      <c r="F199" s="75">
        <f t="shared" si="30"/>
        <v>-0.59999999999990905</v>
      </c>
      <c r="G199" s="75">
        <f t="shared" si="31"/>
        <v>-1.0746910263299301</v>
      </c>
      <c r="H199" s="75">
        <f>VLOOKUP($A199,'Data Vlaue (Cr)'!$C:$FB,99)</f>
        <v>5484</v>
      </c>
      <c r="I199" s="75">
        <f>VLOOKUP($A199,'Data Vlaue (Cr)'!$C:$FB,100)</f>
        <v>5223</v>
      </c>
      <c r="J199" s="75">
        <f t="shared" si="32"/>
        <v>261</v>
      </c>
      <c r="K199" s="75">
        <f t="shared" si="33"/>
        <v>4.7592997811816193</v>
      </c>
      <c r="L199" s="75">
        <f>VLOOKUP($A199,'Data Vlaue (Cr)'!$C:$FB,67)</f>
        <v>3312</v>
      </c>
      <c r="M199" s="75">
        <f>VLOOKUP($A199,'Data Vlaue (Cr)'!$C:$FB,68)</f>
        <v>5450</v>
      </c>
      <c r="N199" s="75">
        <f t="shared" si="34"/>
        <v>-2138</v>
      </c>
      <c r="O199" s="75">
        <f t="shared" si="35"/>
        <v>-64.55314009661835</v>
      </c>
      <c r="P199" s="75">
        <f>VLOOKUP($A199,'Data Vlaue (Cr)'!$C:$FB,119)</f>
        <v>0.71</v>
      </c>
      <c r="Q199" s="75">
        <f>VLOOKUP($A199,'Data Vlaue (Cr)'!$C:$FB,122)*100</f>
        <v>-14.46</v>
      </c>
      <c r="R199" s="75">
        <f>VLOOKUP($A199,'Data Vlaue (Cr)'!$C:$FB,125)</f>
        <v>0.74</v>
      </c>
      <c r="S199" s="75">
        <f>VLOOKUP($A199,'Data Vlaue (Cr)'!$C:$FB,128)*100</f>
        <v>-8.64</v>
      </c>
    </row>
    <row r="200" spans="1:19" x14ac:dyDescent="0.25">
      <c r="A200" s="96" t="str">
        <f>'Data Vlaue (Cr)'!C191</f>
        <v>SUPREMEIND</v>
      </c>
      <c r="B200" s="75">
        <f>VLOOKUP($A200,'Data Vlaue (Cr)'!$C:$FB,2)</f>
        <v>175</v>
      </c>
      <c r="C200" s="75">
        <f>VLOOKUP($A200,'Data Vlaue (Cr)'!$C:$FB,8)</f>
        <v>3709</v>
      </c>
      <c r="D200" s="75">
        <f>VLOOKUP($A200,'Data Vlaue (Cr)'!$C:$FB,4)</f>
        <v>3720.7</v>
      </c>
      <c r="E200" s="75">
        <f>VLOOKUP($A200,'Data Vlaue (Cr)'!$C:$FB,5)</f>
        <v>3673.3</v>
      </c>
      <c r="F200" s="75">
        <f t="shared" si="30"/>
        <v>11.699999999999818</v>
      </c>
      <c r="G200" s="75">
        <f t="shared" si="31"/>
        <v>1.2739538258929675</v>
      </c>
      <c r="H200" s="75">
        <f>VLOOKUP($A200,'Data Vlaue (Cr)'!$C:$FB,99)</f>
        <v>1249</v>
      </c>
      <c r="I200" s="75">
        <f>VLOOKUP($A200,'Data Vlaue (Cr)'!$C:$FB,100)</f>
        <v>1235</v>
      </c>
      <c r="J200" s="75">
        <f t="shared" si="32"/>
        <v>14</v>
      </c>
      <c r="K200" s="75">
        <f t="shared" si="33"/>
        <v>1.1208967173738991</v>
      </c>
      <c r="L200" s="75">
        <f>VLOOKUP($A200,'Data Vlaue (Cr)'!$C:$FB,67)</f>
        <v>862</v>
      </c>
      <c r="M200" s="75">
        <f>VLOOKUP($A200,'Data Vlaue (Cr)'!$C:$FB,68)</f>
        <v>1098</v>
      </c>
      <c r="N200" s="75">
        <f t="shared" si="34"/>
        <v>-236</v>
      </c>
      <c r="O200" s="75">
        <f t="shared" si="35"/>
        <v>-27.378190255220421</v>
      </c>
      <c r="P200" s="75">
        <f>VLOOKUP($A200,'Data Vlaue (Cr)'!$C:$FB,119)</f>
        <v>0.52</v>
      </c>
      <c r="Q200" s="75">
        <f>VLOOKUP($A200,'Data Vlaue (Cr)'!$C:$FB,122)*100</f>
        <v>6.12</v>
      </c>
      <c r="R200" s="75">
        <f>VLOOKUP($A200,'Data Vlaue (Cr)'!$C:$FB,125)</f>
        <v>0.42</v>
      </c>
      <c r="S200" s="75">
        <f>VLOOKUP($A200,'Data Vlaue (Cr)'!$C:$FB,128)*100</f>
        <v>-51.160000000000004</v>
      </c>
    </row>
    <row r="201" spans="1:19" x14ac:dyDescent="0.25">
      <c r="A201" s="96" t="str">
        <f>'Data Vlaue (Cr)'!C192</f>
        <v>SUZLON</v>
      </c>
      <c r="B201" s="75">
        <f>VLOOKUP($A201,'Data Vlaue (Cr)'!$C:$FB,2)</f>
        <v>9025</v>
      </c>
      <c r="C201" s="75">
        <f>VLOOKUP($A201,'Data Vlaue (Cr)'!$C:$FB,8)</f>
        <v>52.93</v>
      </c>
      <c r="D201" s="75">
        <f>VLOOKUP($A201,'Data Vlaue (Cr)'!$C:$FB,4)</f>
        <v>52.96</v>
      </c>
      <c r="E201" s="75">
        <f>VLOOKUP($A201,'Data Vlaue (Cr)'!$C:$FB,5)</f>
        <v>50.3</v>
      </c>
      <c r="F201" s="75">
        <f t="shared" si="30"/>
        <v>3.0000000000001137E-2</v>
      </c>
      <c r="G201" s="75">
        <f t="shared" si="31"/>
        <v>5.0226586102719102</v>
      </c>
      <c r="H201" s="75">
        <f>VLOOKUP($A201,'Data Vlaue (Cr)'!$C:$FB,99)</f>
        <v>3758</v>
      </c>
      <c r="I201" s="75">
        <f>VLOOKUP($A201,'Data Vlaue (Cr)'!$C:$FB,100)</f>
        <v>3572</v>
      </c>
      <c r="J201" s="75">
        <f t="shared" si="32"/>
        <v>186</v>
      </c>
      <c r="K201" s="75">
        <f t="shared" si="33"/>
        <v>4.9494411921234702</v>
      </c>
      <c r="L201" s="75">
        <f>VLOOKUP($A201,'Data Vlaue (Cr)'!$C:$FB,67)</f>
        <v>5934</v>
      </c>
      <c r="M201" s="75">
        <f>VLOOKUP($A201,'Data Vlaue (Cr)'!$C:$FB,68)</f>
        <v>3160</v>
      </c>
      <c r="N201" s="75">
        <f t="shared" si="34"/>
        <v>2774</v>
      </c>
      <c r="O201" s="75">
        <f t="shared" si="35"/>
        <v>46.747556454330976</v>
      </c>
      <c r="P201" s="75">
        <f>VLOOKUP($A201,'Data Vlaue (Cr)'!$C:$FB,119)</f>
        <v>0.97</v>
      </c>
      <c r="Q201" s="75">
        <f>VLOOKUP($A201,'Data Vlaue (Cr)'!$C:$FB,122)*100</f>
        <v>6.59</v>
      </c>
      <c r="R201" s="75">
        <f>VLOOKUP($A201,'Data Vlaue (Cr)'!$C:$FB,125)</f>
        <v>0.47</v>
      </c>
      <c r="S201" s="75">
        <f>VLOOKUP($A201,'Data Vlaue (Cr)'!$C:$FB,128)*100</f>
        <v>-21.67</v>
      </c>
    </row>
    <row r="202" spans="1:19" x14ac:dyDescent="0.25">
      <c r="A202" s="96" t="str">
        <f>'Data Vlaue (Cr)'!C193</f>
        <v>SWIGGY</v>
      </c>
      <c r="B202" s="75">
        <f>VLOOKUP($A202,'Data Vlaue (Cr)'!$C:$FB,2)</f>
        <v>1300</v>
      </c>
      <c r="C202" s="75">
        <f>VLOOKUP($A202,'Data Vlaue (Cr)'!$C:$FB,8)</f>
        <v>277.45</v>
      </c>
      <c r="D202" s="75">
        <f>VLOOKUP($A202,'Data Vlaue (Cr)'!$C:$FB,4)</f>
        <v>277.45</v>
      </c>
      <c r="E202" s="75">
        <f>VLOOKUP($A202,'Data Vlaue (Cr)'!$C:$FB,5)</f>
        <v>281</v>
      </c>
      <c r="F202" s="75">
        <f t="shared" si="30"/>
        <v>0</v>
      </c>
      <c r="G202" s="75">
        <f t="shared" si="31"/>
        <v>-1.2795098215894798</v>
      </c>
      <c r="H202" s="75">
        <f>VLOOKUP($A202,'Data Vlaue (Cr)'!$C:$FB,99)</f>
        <v>1940</v>
      </c>
      <c r="I202" s="75">
        <f>VLOOKUP($A202,'Data Vlaue (Cr)'!$C:$FB,100)</f>
        <v>1850</v>
      </c>
      <c r="J202" s="75">
        <f t="shared" si="32"/>
        <v>90</v>
      </c>
      <c r="K202" s="75">
        <f t="shared" si="33"/>
        <v>4.6391752577319592</v>
      </c>
      <c r="L202" s="75">
        <f>VLOOKUP($A202,'Data Vlaue (Cr)'!$C:$FB,67)</f>
        <v>891</v>
      </c>
      <c r="M202" s="75">
        <f>VLOOKUP($A202,'Data Vlaue (Cr)'!$C:$FB,68)</f>
        <v>911</v>
      </c>
      <c r="N202" s="75">
        <f t="shared" si="34"/>
        <v>-20</v>
      </c>
      <c r="O202" s="75">
        <f t="shared" si="35"/>
        <v>-2.244668911335578</v>
      </c>
      <c r="P202" s="75">
        <f>VLOOKUP($A202,'Data Vlaue (Cr)'!$C:$FB,119)</f>
        <v>0.56000000000000005</v>
      </c>
      <c r="Q202" s="75">
        <f>VLOOKUP($A202,'Data Vlaue (Cr)'!$C:$FB,122)*100</f>
        <v>-6.67</v>
      </c>
      <c r="R202" s="75">
        <f>VLOOKUP($A202,'Data Vlaue (Cr)'!$C:$FB,125)</f>
        <v>0.31</v>
      </c>
      <c r="S202" s="75">
        <f>VLOOKUP($A202,'Data Vlaue (Cr)'!$C:$FB,128)*100</f>
        <v>-11.43</v>
      </c>
    </row>
    <row r="203" spans="1:19" x14ac:dyDescent="0.25">
      <c r="A203" s="96" t="str">
        <f>'Data Vlaue (Cr)'!C194</f>
        <v>TATACONSUM</v>
      </c>
      <c r="B203" s="75">
        <f>VLOOKUP($A203,'Data Vlaue (Cr)'!$C:$FB,2)</f>
        <v>550</v>
      </c>
      <c r="C203" s="75">
        <f>VLOOKUP($A203,'Data Vlaue (Cr)'!$C:$FB,8)</f>
        <v>1113.2</v>
      </c>
      <c r="D203" s="75">
        <f>VLOOKUP($A203,'Data Vlaue (Cr)'!$C:$FB,4)</f>
        <v>1113.9000000000001</v>
      </c>
      <c r="E203" s="75">
        <f>VLOOKUP($A203,'Data Vlaue (Cr)'!$C:$FB,5)</f>
        <v>1102.7</v>
      </c>
      <c r="F203" s="75">
        <f t="shared" si="30"/>
        <v>0.70000000000004547</v>
      </c>
      <c r="G203" s="75">
        <f t="shared" si="31"/>
        <v>1.0054762546009555</v>
      </c>
      <c r="H203" s="75">
        <f>VLOOKUP($A203,'Data Vlaue (Cr)'!$C:$FB,99)</f>
        <v>2023</v>
      </c>
      <c r="I203" s="75">
        <f>VLOOKUP($A203,'Data Vlaue (Cr)'!$C:$FB,100)</f>
        <v>1945</v>
      </c>
      <c r="J203" s="75">
        <f t="shared" si="32"/>
        <v>78</v>
      </c>
      <c r="K203" s="75">
        <f t="shared" si="33"/>
        <v>3.8556599110232326</v>
      </c>
      <c r="L203" s="75">
        <f>VLOOKUP($A203,'Data Vlaue (Cr)'!$C:$FB,67)</f>
        <v>1038</v>
      </c>
      <c r="M203" s="75">
        <f>VLOOKUP($A203,'Data Vlaue (Cr)'!$C:$FB,68)</f>
        <v>488</v>
      </c>
      <c r="N203" s="75">
        <f t="shared" si="34"/>
        <v>550</v>
      </c>
      <c r="O203" s="75">
        <f t="shared" si="35"/>
        <v>52.98651252408478</v>
      </c>
      <c r="P203" s="75">
        <f>VLOOKUP($A203,'Data Vlaue (Cr)'!$C:$FB,119)</f>
        <v>1</v>
      </c>
      <c r="Q203" s="75">
        <f>VLOOKUP($A203,'Data Vlaue (Cr)'!$C:$FB,122)*100</f>
        <v>-13.79</v>
      </c>
      <c r="R203" s="75">
        <f>VLOOKUP($A203,'Data Vlaue (Cr)'!$C:$FB,125)</f>
        <v>0.24</v>
      </c>
      <c r="S203" s="75">
        <f>VLOOKUP($A203,'Data Vlaue (Cr)'!$C:$FB,128)*100</f>
        <v>-55.559999999999995</v>
      </c>
    </row>
    <row r="204" spans="1:19" x14ac:dyDescent="0.25">
      <c r="A204" s="96" t="str">
        <f>'Data Vlaue (Cr)'!C195</f>
        <v>TATAELXSI</v>
      </c>
      <c r="B204" s="75">
        <f>VLOOKUP($A204,'Data Vlaue (Cr)'!$C:$FB,2)</f>
        <v>100</v>
      </c>
      <c r="C204" s="75">
        <f>VLOOKUP($A204,'Data Vlaue (Cr)'!$C:$FB,8)</f>
        <v>4592.5</v>
      </c>
      <c r="D204" s="75">
        <f>VLOOKUP($A204,'Data Vlaue (Cr)'!$C:$FB,4)</f>
        <v>4602</v>
      </c>
      <c r="E204" s="75">
        <f>VLOOKUP($A204,'Data Vlaue (Cr)'!$C:$FB,5)</f>
        <v>4603.8</v>
      </c>
      <c r="F204" s="75">
        <f t="shared" si="30"/>
        <v>9.5</v>
      </c>
      <c r="G204" s="75">
        <f t="shared" si="31"/>
        <v>-3.9113428943941368E-2</v>
      </c>
      <c r="H204" s="75">
        <f>VLOOKUP($A204,'Data Vlaue (Cr)'!$C:$FB,99)</f>
        <v>1483</v>
      </c>
      <c r="I204" s="75">
        <f>VLOOKUP($A204,'Data Vlaue (Cr)'!$C:$FB,100)</f>
        <v>1398</v>
      </c>
      <c r="J204" s="75">
        <f t="shared" si="32"/>
        <v>85</v>
      </c>
      <c r="K204" s="75">
        <f t="shared" si="33"/>
        <v>5.7316250842886047</v>
      </c>
      <c r="L204" s="75">
        <f>VLOOKUP($A204,'Data Vlaue (Cr)'!$C:$FB,67)</f>
        <v>1752</v>
      </c>
      <c r="M204" s="75">
        <f>VLOOKUP($A204,'Data Vlaue (Cr)'!$C:$FB,68)</f>
        <v>1411</v>
      </c>
      <c r="N204" s="75">
        <f t="shared" si="34"/>
        <v>341</v>
      </c>
      <c r="O204" s="75">
        <f t="shared" si="35"/>
        <v>19.463470319634705</v>
      </c>
      <c r="P204" s="75">
        <f>VLOOKUP($A204,'Data Vlaue (Cr)'!$C:$FB,119)</f>
        <v>0.55000000000000004</v>
      </c>
      <c r="Q204" s="75">
        <f>VLOOKUP($A204,'Data Vlaue (Cr)'!$C:$FB,122)*100</f>
        <v>-16.669999999999998</v>
      </c>
      <c r="R204" s="75">
        <f>VLOOKUP($A204,'Data Vlaue (Cr)'!$C:$FB,125)</f>
        <v>0.42</v>
      </c>
      <c r="S204" s="75">
        <f>VLOOKUP($A204,'Data Vlaue (Cr)'!$C:$FB,128)*100</f>
        <v>-8.6999999999999993</v>
      </c>
    </row>
    <row r="205" spans="1:19" x14ac:dyDescent="0.25">
      <c r="A205" s="96" t="str">
        <f>'Data Vlaue (Cr)'!C196</f>
        <v>TATAPOWER</v>
      </c>
      <c r="B205" s="75">
        <f>VLOOKUP($A205,'Data Vlaue (Cr)'!$C:$FB,2)</f>
        <v>1450</v>
      </c>
      <c r="C205" s="75">
        <f>VLOOKUP($A205,'Data Vlaue (Cr)'!$C:$FB,8)</f>
        <v>427.6</v>
      </c>
      <c r="D205" s="75">
        <f>VLOOKUP($A205,'Data Vlaue (Cr)'!$C:$FB,4)</f>
        <v>427.95</v>
      </c>
      <c r="E205" s="75">
        <f>VLOOKUP($A205,'Data Vlaue (Cr)'!$C:$FB,5)</f>
        <v>427.55</v>
      </c>
      <c r="F205" s="75">
        <f t="shared" si="30"/>
        <v>0.34999999999996589</v>
      </c>
      <c r="G205" s="75">
        <f t="shared" si="31"/>
        <v>9.3468863184946196E-2</v>
      </c>
      <c r="H205" s="75">
        <f>VLOOKUP($A205,'Data Vlaue (Cr)'!$C:$FB,99)</f>
        <v>5356</v>
      </c>
      <c r="I205" s="75">
        <f>VLOOKUP($A205,'Data Vlaue (Cr)'!$C:$FB,100)</f>
        <v>5304</v>
      </c>
      <c r="J205" s="75">
        <f t="shared" si="32"/>
        <v>52</v>
      </c>
      <c r="K205" s="75">
        <f t="shared" si="33"/>
        <v>0.97087378640776689</v>
      </c>
      <c r="L205" s="75">
        <f>VLOOKUP($A205,'Data Vlaue (Cr)'!$C:$FB,67)</f>
        <v>4157</v>
      </c>
      <c r="M205" s="75">
        <f>VLOOKUP($A205,'Data Vlaue (Cr)'!$C:$FB,68)</f>
        <v>6550</v>
      </c>
      <c r="N205" s="75">
        <f t="shared" si="34"/>
        <v>-2393</v>
      </c>
      <c r="O205" s="75">
        <f t="shared" si="35"/>
        <v>-57.565552080827523</v>
      </c>
      <c r="P205" s="75">
        <f>VLOOKUP($A205,'Data Vlaue (Cr)'!$C:$FB,119)</f>
        <v>0.86</v>
      </c>
      <c r="Q205" s="75">
        <f>VLOOKUP($A205,'Data Vlaue (Cr)'!$C:$FB,122)*100</f>
        <v>10.26</v>
      </c>
      <c r="R205" s="75">
        <f>VLOOKUP($A205,'Data Vlaue (Cr)'!$C:$FB,125)</f>
        <v>0.75</v>
      </c>
      <c r="S205" s="75">
        <f>VLOOKUP($A205,'Data Vlaue (Cr)'!$C:$FB,128)*100</f>
        <v>87.5</v>
      </c>
    </row>
    <row r="206" spans="1:19" x14ac:dyDescent="0.25">
      <c r="A206" s="96" t="str">
        <f>'Data Vlaue (Cr)'!C197</f>
        <v>TATASTEEL</v>
      </c>
      <c r="B206" s="75">
        <f>VLOOKUP($A206,'Data Vlaue (Cr)'!$C:$FB,2)</f>
        <v>5500</v>
      </c>
      <c r="C206" s="75">
        <f>VLOOKUP($A206,'Data Vlaue (Cr)'!$C:$FB,8)</f>
        <v>212.12</v>
      </c>
      <c r="D206" s="75">
        <f>VLOOKUP($A206,'Data Vlaue (Cr)'!$C:$FB,4)</f>
        <v>212.3</v>
      </c>
      <c r="E206" s="75">
        <f>VLOOKUP($A206,'Data Vlaue (Cr)'!$C:$FB,5)</f>
        <v>210.72</v>
      </c>
      <c r="F206" s="75">
        <f t="shared" si="30"/>
        <v>0.18000000000000682</v>
      </c>
      <c r="G206" s="75">
        <f t="shared" si="31"/>
        <v>0.74422986340085373</v>
      </c>
      <c r="H206" s="75">
        <f>VLOOKUP($A206,'Data Vlaue (Cr)'!$C:$FB,99)</f>
        <v>8378</v>
      </c>
      <c r="I206" s="75">
        <f>VLOOKUP($A206,'Data Vlaue (Cr)'!$C:$FB,100)</f>
        <v>8297</v>
      </c>
      <c r="J206" s="75">
        <f t="shared" si="32"/>
        <v>81</v>
      </c>
      <c r="K206" s="75">
        <f t="shared" si="33"/>
        <v>0.96681785629028405</v>
      </c>
      <c r="L206" s="75">
        <f>VLOOKUP($A206,'Data Vlaue (Cr)'!$C:$FB,67)</f>
        <v>4774</v>
      </c>
      <c r="M206" s="75">
        <f>VLOOKUP($A206,'Data Vlaue (Cr)'!$C:$FB,68)</f>
        <v>5772</v>
      </c>
      <c r="N206" s="75">
        <f t="shared" si="34"/>
        <v>-998</v>
      </c>
      <c r="O206" s="75">
        <f t="shared" si="35"/>
        <v>-20.904901550062842</v>
      </c>
      <c r="P206" s="75">
        <f>VLOOKUP($A206,'Data Vlaue (Cr)'!$C:$FB,119)</f>
        <v>0.86</v>
      </c>
      <c r="Q206" s="75">
        <f>VLOOKUP($A206,'Data Vlaue (Cr)'!$C:$FB,122)*100</f>
        <v>7.5</v>
      </c>
      <c r="R206" s="75">
        <f>VLOOKUP($A206,'Data Vlaue (Cr)'!$C:$FB,125)</f>
        <v>0.65</v>
      </c>
      <c r="S206" s="75">
        <f>VLOOKUP($A206,'Data Vlaue (Cr)'!$C:$FB,128)*100</f>
        <v>25</v>
      </c>
    </row>
    <row r="207" spans="1:19" x14ac:dyDescent="0.25">
      <c r="A207" s="96" t="str">
        <f>'Data Vlaue (Cr)'!C198</f>
        <v>TATATECH</v>
      </c>
      <c r="B207" s="75">
        <f>VLOOKUP($A207,'Data Vlaue (Cr)'!$C:$FB,2)</f>
        <v>800</v>
      </c>
      <c r="C207" s="75">
        <f>VLOOKUP($A207,'Data Vlaue (Cr)'!$C:$FB,8)</f>
        <v>589.29999999999995</v>
      </c>
      <c r="D207" s="75">
        <f>VLOOKUP($A207,'Data Vlaue (Cr)'!$C:$FB,4)</f>
        <v>590.9</v>
      </c>
      <c r="E207" s="75">
        <f>VLOOKUP($A207,'Data Vlaue (Cr)'!$C:$FB,5)</f>
        <v>588</v>
      </c>
      <c r="F207" s="75">
        <f t="shared" si="30"/>
        <v>1.6000000000000227</v>
      </c>
      <c r="G207" s="75">
        <f t="shared" si="31"/>
        <v>0.49077678118124513</v>
      </c>
      <c r="H207" s="75">
        <f>VLOOKUP($A207,'Data Vlaue (Cr)'!$C:$FB,99)</f>
        <v>630</v>
      </c>
      <c r="I207" s="75">
        <f>VLOOKUP($A207,'Data Vlaue (Cr)'!$C:$FB,100)</f>
        <v>633</v>
      </c>
      <c r="J207" s="75">
        <f t="shared" si="32"/>
        <v>-3</v>
      </c>
      <c r="K207" s="75">
        <f t="shared" si="33"/>
        <v>-0.47619047619047622</v>
      </c>
      <c r="L207" s="75">
        <f>VLOOKUP($A207,'Data Vlaue (Cr)'!$C:$FB,67)</f>
        <v>134</v>
      </c>
      <c r="M207" s="75">
        <f>VLOOKUP($A207,'Data Vlaue (Cr)'!$C:$FB,68)</f>
        <v>385</v>
      </c>
      <c r="N207" s="75">
        <f t="shared" si="34"/>
        <v>-251</v>
      </c>
      <c r="O207" s="75">
        <f t="shared" si="35"/>
        <v>-187.31343283582089</v>
      </c>
      <c r="P207" s="75">
        <f>VLOOKUP($A207,'Data Vlaue (Cr)'!$C:$FB,119)</f>
        <v>0.66</v>
      </c>
      <c r="Q207" s="75">
        <f>VLOOKUP($A207,'Data Vlaue (Cr)'!$C:$FB,122)*100</f>
        <v>-2.94</v>
      </c>
      <c r="R207" s="75">
        <f>VLOOKUP($A207,'Data Vlaue (Cr)'!$C:$FB,125)</f>
        <v>0.32</v>
      </c>
      <c r="S207" s="75">
        <f>VLOOKUP($A207,'Data Vlaue (Cr)'!$C:$FB,128)*100</f>
        <v>14.29</v>
      </c>
    </row>
    <row r="208" spans="1:19" x14ac:dyDescent="0.25">
      <c r="A208" s="96" t="str">
        <f>'Data Vlaue (Cr)'!C199</f>
        <v>TCS</v>
      </c>
      <c r="B208" s="75">
        <f>VLOOKUP($A208,'Data Vlaue (Cr)'!$C:$FB,2)</f>
        <v>175</v>
      </c>
      <c r="C208" s="75">
        <f>VLOOKUP($A208,'Data Vlaue (Cr)'!$C:$FB,8)</f>
        <v>2581.5</v>
      </c>
      <c r="D208" s="75">
        <f>VLOOKUP($A208,'Data Vlaue (Cr)'!$C:$FB,4)</f>
        <v>2561.1999999999998</v>
      </c>
      <c r="E208" s="75">
        <f>VLOOKUP($A208,'Data Vlaue (Cr)'!$C:$FB,5)</f>
        <v>2555.6</v>
      </c>
      <c r="F208" s="75">
        <f t="shared" si="30"/>
        <v>-20.300000000000182</v>
      </c>
      <c r="G208" s="75">
        <f t="shared" si="31"/>
        <v>0.218647508980162</v>
      </c>
      <c r="H208" s="75">
        <f>VLOOKUP($A208,'Data Vlaue (Cr)'!$C:$FB,99)</f>
        <v>16772</v>
      </c>
      <c r="I208" s="75">
        <f>VLOOKUP($A208,'Data Vlaue (Cr)'!$C:$FB,100)</f>
        <v>16909</v>
      </c>
      <c r="J208" s="75">
        <f t="shared" si="32"/>
        <v>-137</v>
      </c>
      <c r="K208" s="75">
        <f t="shared" si="33"/>
        <v>-0.81683758645361326</v>
      </c>
      <c r="L208" s="75">
        <f>VLOOKUP($A208,'Data Vlaue (Cr)'!$C:$FB,67)</f>
        <v>7578</v>
      </c>
      <c r="M208" s="75">
        <f>VLOOKUP($A208,'Data Vlaue (Cr)'!$C:$FB,68)</f>
        <v>11073</v>
      </c>
      <c r="N208" s="75">
        <f t="shared" si="34"/>
        <v>-3495</v>
      </c>
      <c r="O208" s="75">
        <f t="shared" si="35"/>
        <v>-46.120348376880443</v>
      </c>
      <c r="P208" s="75">
        <f>VLOOKUP($A208,'Data Vlaue (Cr)'!$C:$FB,119)</f>
        <v>0.65</v>
      </c>
      <c r="Q208" s="75">
        <f>VLOOKUP($A208,'Data Vlaue (Cr)'!$C:$FB,122)*100</f>
        <v>6.5600000000000005</v>
      </c>
      <c r="R208" s="75">
        <f>VLOOKUP($A208,'Data Vlaue (Cr)'!$C:$FB,125)</f>
        <v>0.57999999999999996</v>
      </c>
      <c r="S208" s="75">
        <f>VLOOKUP($A208,'Data Vlaue (Cr)'!$C:$FB,128)*100</f>
        <v>5.45</v>
      </c>
    </row>
    <row r="209" spans="1:19" x14ac:dyDescent="0.25">
      <c r="A209" s="96" t="str">
        <f>'Data Vlaue (Cr)'!C200</f>
        <v>TECHM</v>
      </c>
      <c r="B209" s="75">
        <f>VLOOKUP($A209,'Data Vlaue (Cr)'!$C:$FB,2)</f>
        <v>600</v>
      </c>
      <c r="C209" s="75">
        <f>VLOOKUP($A209,'Data Vlaue (Cr)'!$C:$FB,8)</f>
        <v>1511.4</v>
      </c>
      <c r="D209" s="75">
        <f>VLOOKUP($A209,'Data Vlaue (Cr)'!$C:$FB,4)</f>
        <v>1503.1</v>
      </c>
      <c r="E209" s="75">
        <f>VLOOKUP($A209,'Data Vlaue (Cr)'!$C:$FB,5)</f>
        <v>1485.2</v>
      </c>
      <c r="F209" s="75">
        <f t="shared" si="30"/>
        <v>-8.3000000000001819</v>
      </c>
      <c r="G209" s="75">
        <f t="shared" si="31"/>
        <v>1.1908721974585765</v>
      </c>
      <c r="H209" s="75">
        <f>VLOOKUP($A209,'Data Vlaue (Cr)'!$C:$FB,99)</f>
        <v>4177</v>
      </c>
      <c r="I209" s="75">
        <f>VLOOKUP($A209,'Data Vlaue (Cr)'!$C:$FB,100)</f>
        <v>4153</v>
      </c>
      <c r="J209" s="75">
        <f t="shared" si="32"/>
        <v>24</v>
      </c>
      <c r="K209" s="75">
        <f t="shared" si="33"/>
        <v>0.57457505386641128</v>
      </c>
      <c r="L209" s="75">
        <f>VLOOKUP($A209,'Data Vlaue (Cr)'!$C:$FB,67)</f>
        <v>2913</v>
      </c>
      <c r="M209" s="75">
        <f>VLOOKUP($A209,'Data Vlaue (Cr)'!$C:$FB,68)</f>
        <v>1879</v>
      </c>
      <c r="N209" s="75">
        <f t="shared" si="34"/>
        <v>1034</v>
      </c>
      <c r="O209" s="75">
        <f t="shared" si="35"/>
        <v>35.496052179883279</v>
      </c>
      <c r="P209" s="75">
        <f>VLOOKUP($A209,'Data Vlaue (Cr)'!$C:$FB,119)</f>
        <v>0.84</v>
      </c>
      <c r="Q209" s="75">
        <f>VLOOKUP($A209,'Data Vlaue (Cr)'!$C:$FB,122)*100</f>
        <v>-8.6999999999999993</v>
      </c>
      <c r="R209" s="75">
        <f>VLOOKUP($A209,'Data Vlaue (Cr)'!$C:$FB,125)</f>
        <v>0.46</v>
      </c>
      <c r="S209" s="75">
        <f>VLOOKUP($A209,'Data Vlaue (Cr)'!$C:$FB,128)*100</f>
        <v>-17.86</v>
      </c>
    </row>
    <row r="210" spans="1:19" x14ac:dyDescent="0.25">
      <c r="A210" s="96" t="str">
        <f>'Data Vlaue (Cr)'!C201</f>
        <v>TIINDIA</v>
      </c>
      <c r="B210" s="75">
        <f>VLOOKUP($A210,'Data Vlaue (Cr)'!$C:$FB,2)</f>
        <v>200</v>
      </c>
      <c r="C210" s="75">
        <f>VLOOKUP($A210,'Data Vlaue (Cr)'!$C:$FB,8)</f>
        <v>2790.2</v>
      </c>
      <c r="D210" s="75">
        <f>VLOOKUP($A210,'Data Vlaue (Cr)'!$C:$FB,4)</f>
        <v>2798.1</v>
      </c>
      <c r="E210" s="75">
        <f>VLOOKUP($A210,'Data Vlaue (Cr)'!$C:$FB,5)</f>
        <v>2763.7</v>
      </c>
      <c r="F210" s="75">
        <f t="shared" si="30"/>
        <v>7.9000000000000909</v>
      </c>
      <c r="G210" s="75">
        <f t="shared" si="31"/>
        <v>1.2294056681319501</v>
      </c>
      <c r="H210" s="75">
        <f>VLOOKUP($A210,'Data Vlaue (Cr)'!$C:$FB,99)</f>
        <v>964</v>
      </c>
      <c r="I210" s="75">
        <f>VLOOKUP($A210,'Data Vlaue (Cr)'!$C:$FB,100)</f>
        <v>930</v>
      </c>
      <c r="J210" s="75">
        <f t="shared" si="32"/>
        <v>34</v>
      </c>
      <c r="K210" s="75">
        <f t="shared" si="33"/>
        <v>3.5269709543568464</v>
      </c>
      <c r="L210" s="75">
        <f>VLOOKUP($A210,'Data Vlaue (Cr)'!$C:$FB,67)</f>
        <v>396</v>
      </c>
      <c r="M210" s="75">
        <f>VLOOKUP($A210,'Data Vlaue (Cr)'!$C:$FB,68)</f>
        <v>278</v>
      </c>
      <c r="N210" s="75">
        <f t="shared" si="34"/>
        <v>118</v>
      </c>
      <c r="O210" s="75">
        <f t="shared" si="35"/>
        <v>29.797979797979796</v>
      </c>
      <c r="P210" s="75">
        <f>VLOOKUP($A210,'Data Vlaue (Cr)'!$C:$FB,119)</f>
        <v>0.44</v>
      </c>
      <c r="Q210" s="75">
        <f>VLOOKUP($A210,'Data Vlaue (Cr)'!$C:$FB,122)*100</f>
        <v>-13.73</v>
      </c>
      <c r="R210" s="75">
        <f>VLOOKUP($A210,'Data Vlaue (Cr)'!$C:$FB,125)</f>
        <v>0.14000000000000001</v>
      </c>
      <c r="S210" s="75">
        <f>VLOOKUP($A210,'Data Vlaue (Cr)'!$C:$FB,128)*100</f>
        <v>-36.36</v>
      </c>
    </row>
    <row r="211" spans="1:19" x14ac:dyDescent="0.25">
      <c r="A211" s="96" t="str">
        <f>'Data Vlaue (Cr)'!C202</f>
        <v>TITAN</v>
      </c>
      <c r="B211" s="75">
        <f>VLOOKUP($A211,'Data Vlaue (Cr)'!$C:$FB,2)</f>
        <v>175</v>
      </c>
      <c r="C211" s="75">
        <f>VLOOKUP($A211,'Data Vlaue (Cr)'!$C:$FB,8)</f>
        <v>4525.8999999999996</v>
      </c>
      <c r="D211" s="75">
        <f>VLOOKUP($A211,'Data Vlaue (Cr)'!$C:$FB,4)</f>
        <v>4525</v>
      </c>
      <c r="E211" s="75">
        <f>VLOOKUP($A211,'Data Vlaue (Cr)'!$C:$FB,5)</f>
        <v>4475.8</v>
      </c>
      <c r="F211" s="75">
        <f t="shared" si="30"/>
        <v>-0.8999999999996362</v>
      </c>
      <c r="G211" s="75">
        <f t="shared" si="31"/>
        <v>1.087292817679554</v>
      </c>
      <c r="H211" s="75">
        <f>VLOOKUP($A211,'Data Vlaue (Cr)'!$C:$FB,99)</f>
        <v>7292</v>
      </c>
      <c r="I211" s="75">
        <f>VLOOKUP($A211,'Data Vlaue (Cr)'!$C:$FB,100)</f>
        <v>7286</v>
      </c>
      <c r="J211" s="75">
        <f t="shared" si="32"/>
        <v>6</v>
      </c>
      <c r="K211" s="75">
        <f t="shared" si="33"/>
        <v>8.2281952825013716E-2</v>
      </c>
      <c r="L211" s="75">
        <f>VLOOKUP($A211,'Data Vlaue (Cr)'!$C:$FB,67)</f>
        <v>13129</v>
      </c>
      <c r="M211" s="75">
        <f>VLOOKUP($A211,'Data Vlaue (Cr)'!$C:$FB,68)</f>
        <v>3854</v>
      </c>
      <c r="N211" s="75">
        <f t="shared" si="34"/>
        <v>9275</v>
      </c>
      <c r="O211" s="75">
        <f t="shared" si="35"/>
        <v>70.645136720237645</v>
      </c>
      <c r="P211" s="75">
        <f>VLOOKUP($A211,'Data Vlaue (Cr)'!$C:$FB,119)</f>
        <v>0.81</v>
      </c>
      <c r="Q211" s="75">
        <f>VLOOKUP($A211,'Data Vlaue (Cr)'!$C:$FB,122)*100</f>
        <v>15.709999999999999</v>
      </c>
      <c r="R211" s="75">
        <f>VLOOKUP($A211,'Data Vlaue (Cr)'!$C:$FB,125)</f>
        <v>0.93</v>
      </c>
      <c r="S211" s="75">
        <f>VLOOKUP($A211,'Data Vlaue (Cr)'!$C:$FB,128)*100</f>
        <v>29.17</v>
      </c>
    </row>
    <row r="212" spans="1:19" x14ac:dyDescent="0.25">
      <c r="A212" s="96" t="str">
        <f>'Data Vlaue (Cr)'!C203</f>
        <v>TMPV</v>
      </c>
      <c r="B212" s="75">
        <f>VLOOKUP($A212,'Data Vlaue (Cr)'!$C:$FB,2)</f>
        <v>800</v>
      </c>
      <c r="C212" s="75">
        <f>VLOOKUP($A212,'Data Vlaue (Cr)'!$C:$FB,8)</f>
        <v>360.1</v>
      </c>
      <c r="D212" s="75">
        <f>VLOOKUP($A212,'Data Vlaue (Cr)'!$C:$FB,4)</f>
        <v>360.25</v>
      </c>
      <c r="E212" s="75">
        <f>VLOOKUP($A212,'Data Vlaue (Cr)'!$C:$FB,5)</f>
        <v>356.8</v>
      </c>
      <c r="F212" s="75">
        <f t="shared" si="30"/>
        <v>0.14999999999997726</v>
      </c>
      <c r="G212" s="75">
        <f t="shared" si="31"/>
        <v>0.95766828591255759</v>
      </c>
      <c r="H212" s="75">
        <f>VLOOKUP($A212,'Data Vlaue (Cr)'!$C:$FB,99)</f>
        <v>4445</v>
      </c>
      <c r="I212" s="75">
        <f>VLOOKUP($A212,'Data Vlaue (Cr)'!$C:$FB,100)</f>
        <v>4418</v>
      </c>
      <c r="J212" s="75">
        <f t="shared" si="32"/>
        <v>27</v>
      </c>
      <c r="K212" s="75">
        <f t="shared" si="33"/>
        <v>0.60742407199100112</v>
      </c>
      <c r="L212" s="75">
        <f>VLOOKUP($A212,'Data Vlaue (Cr)'!$C:$FB,67)</f>
        <v>2453</v>
      </c>
      <c r="M212" s="75">
        <f>VLOOKUP($A212,'Data Vlaue (Cr)'!$C:$FB,68)</f>
        <v>2604</v>
      </c>
      <c r="N212" s="75">
        <f t="shared" si="34"/>
        <v>-151</v>
      </c>
      <c r="O212" s="75">
        <f t="shared" si="35"/>
        <v>-6.1557276803913572</v>
      </c>
      <c r="P212" s="75">
        <f>VLOOKUP($A212,'Data Vlaue (Cr)'!$C:$FB,119)</f>
        <v>0.8</v>
      </c>
      <c r="Q212" s="75">
        <f>VLOOKUP($A212,'Data Vlaue (Cr)'!$C:$FB,122)*100</f>
        <v>3.9</v>
      </c>
      <c r="R212" s="75">
        <f>VLOOKUP($A212,'Data Vlaue (Cr)'!$C:$FB,125)</f>
        <v>0.69</v>
      </c>
      <c r="S212" s="75">
        <f>VLOOKUP($A212,'Data Vlaue (Cr)'!$C:$FB,128)*100</f>
        <v>15</v>
      </c>
    </row>
    <row r="213" spans="1:19" x14ac:dyDescent="0.25">
      <c r="A213" s="96" t="str">
        <f>'Data Vlaue (Cr)'!C204</f>
        <v>TORNTPHARM</v>
      </c>
      <c r="B213" s="75">
        <f>VLOOKUP($A213,'Data Vlaue (Cr)'!$C:$FB,2)</f>
        <v>250</v>
      </c>
      <c r="C213" s="75">
        <f>VLOOKUP($A213,'Data Vlaue (Cr)'!$C:$FB,8)</f>
        <v>4179.5</v>
      </c>
      <c r="D213" s="75">
        <f>VLOOKUP($A213,'Data Vlaue (Cr)'!$C:$FB,4)</f>
        <v>4174.8</v>
      </c>
      <c r="E213" s="75">
        <f>VLOOKUP($A213,'Data Vlaue (Cr)'!$C:$FB,5)</f>
        <v>4142.1000000000004</v>
      </c>
      <c r="F213" s="75">
        <f t="shared" si="30"/>
        <v>-4.6999999999998181</v>
      </c>
      <c r="G213" s="75">
        <f t="shared" si="31"/>
        <v>0.78327105490082916</v>
      </c>
      <c r="H213" s="75">
        <f>VLOOKUP($A213,'Data Vlaue (Cr)'!$C:$FB,99)</f>
        <v>1804</v>
      </c>
      <c r="I213" s="75">
        <f>VLOOKUP($A213,'Data Vlaue (Cr)'!$C:$FB,100)</f>
        <v>1833</v>
      </c>
      <c r="J213" s="75">
        <f t="shared" si="32"/>
        <v>-29</v>
      </c>
      <c r="K213" s="75">
        <f t="shared" si="33"/>
        <v>-1.6075388026607538</v>
      </c>
      <c r="L213" s="75">
        <f>VLOOKUP($A213,'Data Vlaue (Cr)'!$C:$FB,67)</f>
        <v>534</v>
      </c>
      <c r="M213" s="75">
        <f>VLOOKUP($A213,'Data Vlaue (Cr)'!$C:$FB,68)</f>
        <v>597</v>
      </c>
      <c r="N213" s="75">
        <f t="shared" si="34"/>
        <v>-63</v>
      </c>
      <c r="O213" s="75">
        <f t="shared" si="35"/>
        <v>-11.797752808988763</v>
      </c>
      <c r="P213" s="75">
        <f>VLOOKUP($A213,'Data Vlaue (Cr)'!$C:$FB,119)</f>
        <v>0.7</v>
      </c>
      <c r="Q213" s="75">
        <f>VLOOKUP($A213,'Data Vlaue (Cr)'!$C:$FB,122)*100</f>
        <v>4.4799999999999995</v>
      </c>
      <c r="R213" s="75">
        <f>VLOOKUP($A213,'Data Vlaue (Cr)'!$C:$FB,125)</f>
        <v>0.47</v>
      </c>
      <c r="S213" s="75">
        <f>VLOOKUP($A213,'Data Vlaue (Cr)'!$C:$FB,128)*100</f>
        <v>-45.98</v>
      </c>
    </row>
    <row r="214" spans="1:19" x14ac:dyDescent="0.25">
      <c r="A214" s="96" t="str">
        <f>'Data Vlaue (Cr)'!C205</f>
        <v>TORNTPOWER</v>
      </c>
      <c r="B214" s="75">
        <f>VLOOKUP($A214,'Data Vlaue (Cr)'!$C:$FB,2)</f>
        <v>425</v>
      </c>
      <c r="C214" s="75">
        <f>VLOOKUP($A214,'Data Vlaue (Cr)'!$C:$FB,8)</f>
        <v>1565</v>
      </c>
      <c r="D214" s="75">
        <f>VLOOKUP($A214,'Data Vlaue (Cr)'!$C:$FB,4)</f>
        <v>1564.8</v>
      </c>
      <c r="E214" s="75">
        <f>VLOOKUP($A214,'Data Vlaue (Cr)'!$C:$FB,5)</f>
        <v>1528.4</v>
      </c>
      <c r="F214" s="75">
        <f t="shared" si="30"/>
        <v>-0.20000000000004547</v>
      </c>
      <c r="G214" s="75">
        <f t="shared" si="31"/>
        <v>2.3261758691206458</v>
      </c>
      <c r="H214" s="75">
        <f>VLOOKUP($A214,'Data Vlaue (Cr)'!$C:$FB,99)</f>
        <v>797</v>
      </c>
      <c r="I214" s="75">
        <f>VLOOKUP($A214,'Data Vlaue (Cr)'!$C:$FB,100)</f>
        <v>773</v>
      </c>
      <c r="J214" s="75">
        <f t="shared" si="32"/>
        <v>24</v>
      </c>
      <c r="K214" s="75">
        <f t="shared" si="33"/>
        <v>3.0112923462986196</v>
      </c>
      <c r="L214" s="75">
        <f>VLOOKUP($A214,'Data Vlaue (Cr)'!$C:$FB,67)</f>
        <v>458</v>
      </c>
      <c r="M214" s="75">
        <f>VLOOKUP($A214,'Data Vlaue (Cr)'!$C:$FB,68)</f>
        <v>293</v>
      </c>
      <c r="N214" s="75">
        <f t="shared" si="34"/>
        <v>165</v>
      </c>
      <c r="O214" s="75">
        <f t="shared" si="35"/>
        <v>36.026200873362448</v>
      </c>
      <c r="P214" s="75">
        <f>VLOOKUP($A214,'Data Vlaue (Cr)'!$C:$FB,119)</f>
        <v>0.73</v>
      </c>
      <c r="Q214" s="75">
        <f>VLOOKUP($A214,'Data Vlaue (Cr)'!$C:$FB,122)*100</f>
        <v>-6.41</v>
      </c>
      <c r="R214" s="75">
        <f>VLOOKUP($A214,'Data Vlaue (Cr)'!$C:$FB,125)</f>
        <v>0.28000000000000003</v>
      </c>
      <c r="S214" s="75">
        <f>VLOOKUP($A214,'Data Vlaue (Cr)'!$C:$FB,128)*100</f>
        <v>16.669999999999998</v>
      </c>
    </row>
    <row r="215" spans="1:19" x14ac:dyDescent="0.25">
      <c r="A215" s="96" t="str">
        <f>'Data Vlaue (Cr)'!C206</f>
        <v>TRENT</v>
      </c>
      <c r="B215" s="75">
        <f>VLOOKUP($A215,'Data Vlaue (Cr)'!$C:$FB,2)</f>
        <v>100</v>
      </c>
      <c r="C215" s="75">
        <f>VLOOKUP($A215,'Data Vlaue (Cr)'!$C:$FB,8)</f>
        <v>4107.7</v>
      </c>
      <c r="D215" s="75">
        <f>VLOOKUP($A215,'Data Vlaue (Cr)'!$C:$FB,4)</f>
        <v>4108.3999999999996</v>
      </c>
      <c r="E215" s="75">
        <f>VLOOKUP($A215,'Data Vlaue (Cr)'!$C:$FB,5)</f>
        <v>4096.7</v>
      </c>
      <c r="F215" s="75">
        <f t="shared" ref="F215:F221" si="36">D215-C215</f>
        <v>0.6999999999998181</v>
      </c>
      <c r="G215" s="75">
        <f t="shared" ref="G215:G221" si="37">(D215-E215)/D215*100</f>
        <v>0.28478239704020586</v>
      </c>
      <c r="H215" s="75">
        <f>VLOOKUP($A215,'Data Vlaue (Cr)'!$C:$FB,99)</f>
        <v>5588</v>
      </c>
      <c r="I215" s="75">
        <f>VLOOKUP($A215,'Data Vlaue (Cr)'!$C:$FB,100)</f>
        <v>5473</v>
      </c>
      <c r="J215" s="75">
        <f t="shared" ref="J215:J221" si="38">H215-I215</f>
        <v>115</v>
      </c>
      <c r="K215" s="75">
        <f t="shared" ref="K215:K221" si="39">J215/H215*100</f>
        <v>2.0579813886900498</v>
      </c>
      <c r="L215" s="75">
        <f>VLOOKUP($A215,'Data Vlaue (Cr)'!$C:$FB,67)</f>
        <v>4390</v>
      </c>
      <c r="M215" s="75">
        <f>VLOOKUP($A215,'Data Vlaue (Cr)'!$C:$FB,68)</f>
        <v>6393</v>
      </c>
      <c r="N215" s="75">
        <f t="shared" ref="N215:N221" si="40">L215-M215</f>
        <v>-2003</v>
      </c>
      <c r="O215" s="75">
        <f t="shared" ref="O215:O221" si="41">N215/L215*100</f>
        <v>-45.626423690205009</v>
      </c>
      <c r="P215" s="75">
        <f>VLOOKUP($A215,'Data Vlaue (Cr)'!$C:$FB,119)</f>
        <v>0.86</v>
      </c>
      <c r="Q215" s="75">
        <f>VLOOKUP($A215,'Data Vlaue (Cr)'!$C:$FB,122)*100</f>
        <v>-4.4400000000000004</v>
      </c>
      <c r="R215" s="75">
        <f>VLOOKUP($A215,'Data Vlaue (Cr)'!$C:$FB,125)</f>
        <v>0.48</v>
      </c>
      <c r="S215" s="75">
        <f>VLOOKUP($A215,'Data Vlaue (Cr)'!$C:$FB,128)*100</f>
        <v>2.13</v>
      </c>
    </row>
    <row r="216" spans="1:19" x14ac:dyDescent="0.25">
      <c r="A216" s="96" t="str">
        <f>'Data Vlaue (Cr)'!C207</f>
        <v>TVSMOTOR</v>
      </c>
      <c r="B216" s="75">
        <f>VLOOKUP($A216,'Data Vlaue (Cr)'!$C:$FB,2)</f>
        <v>175</v>
      </c>
      <c r="C216" s="75">
        <f>VLOOKUP($A216,'Data Vlaue (Cr)'!$C:$FB,8)</f>
        <v>3735.8</v>
      </c>
      <c r="D216" s="75">
        <f>VLOOKUP($A216,'Data Vlaue (Cr)'!$C:$FB,4)</f>
        <v>3747.3</v>
      </c>
      <c r="E216" s="75">
        <f>VLOOKUP($A216,'Data Vlaue (Cr)'!$C:$FB,5)</f>
        <v>3766.9</v>
      </c>
      <c r="F216" s="75">
        <f t="shared" si="36"/>
        <v>11.5</v>
      </c>
      <c r="G216" s="75">
        <f t="shared" si="37"/>
        <v>-0.52304325781228911</v>
      </c>
      <c r="H216" s="75">
        <f>VLOOKUP($A216,'Data Vlaue (Cr)'!$C:$FB,99)</f>
        <v>4135</v>
      </c>
      <c r="I216" s="75">
        <f>VLOOKUP($A216,'Data Vlaue (Cr)'!$C:$FB,100)</f>
        <v>4103</v>
      </c>
      <c r="J216" s="75">
        <f t="shared" si="38"/>
        <v>32</v>
      </c>
      <c r="K216" s="75">
        <f t="shared" si="39"/>
        <v>0.77388149939540507</v>
      </c>
      <c r="L216" s="75">
        <f>VLOOKUP($A216,'Data Vlaue (Cr)'!$C:$FB,67)</f>
        <v>1146</v>
      </c>
      <c r="M216" s="75">
        <f>VLOOKUP($A216,'Data Vlaue (Cr)'!$C:$FB,68)</f>
        <v>1084</v>
      </c>
      <c r="N216" s="75">
        <f t="shared" si="40"/>
        <v>62</v>
      </c>
      <c r="O216" s="75">
        <f t="shared" si="41"/>
        <v>5.4101221640488655</v>
      </c>
      <c r="P216" s="75">
        <f>VLOOKUP($A216,'Data Vlaue (Cr)'!$C:$FB,119)</f>
        <v>0.7</v>
      </c>
      <c r="Q216" s="75">
        <f>VLOOKUP($A216,'Data Vlaue (Cr)'!$C:$FB,122)*100</f>
        <v>-1.41</v>
      </c>
      <c r="R216" s="75">
        <f>VLOOKUP($A216,'Data Vlaue (Cr)'!$C:$FB,125)</f>
        <v>0.62</v>
      </c>
      <c r="S216" s="75">
        <f>VLOOKUP($A216,'Data Vlaue (Cr)'!$C:$FB,128)*100</f>
        <v>14.81</v>
      </c>
    </row>
    <row r="217" spans="1:19" x14ac:dyDescent="0.25">
      <c r="A217" s="96" t="str">
        <f>'Data Vlaue (Cr)'!C208</f>
        <v>ULTRACEMCO</v>
      </c>
      <c r="B217" s="75">
        <f>VLOOKUP($A217,'Data Vlaue (Cr)'!$C:$FB,2)</f>
        <v>50</v>
      </c>
      <c r="C217" s="75">
        <f>VLOOKUP($A217,'Data Vlaue (Cr)'!$C:$FB,8)</f>
        <v>11886</v>
      </c>
      <c r="D217" s="75">
        <f>VLOOKUP($A217,'Data Vlaue (Cr)'!$C:$FB,4)</f>
        <v>11884</v>
      </c>
      <c r="E217" s="75">
        <f>VLOOKUP($A217,'Data Vlaue (Cr)'!$C:$FB,5)</f>
        <v>11823</v>
      </c>
      <c r="F217" s="75">
        <f t="shared" si="36"/>
        <v>-2</v>
      </c>
      <c r="G217" s="75">
        <f t="shared" si="37"/>
        <v>0.51329518680578934</v>
      </c>
      <c r="H217" s="75">
        <f>VLOOKUP($A217,'Data Vlaue (Cr)'!$C:$FB,99)</f>
        <v>4201</v>
      </c>
      <c r="I217" s="75">
        <f>VLOOKUP($A217,'Data Vlaue (Cr)'!$C:$FB,100)</f>
        <v>4048</v>
      </c>
      <c r="J217" s="75">
        <f t="shared" si="38"/>
        <v>153</v>
      </c>
      <c r="K217" s="75">
        <f t="shared" si="39"/>
        <v>3.6419900023803855</v>
      </c>
      <c r="L217" s="75">
        <f>VLOOKUP($A217,'Data Vlaue (Cr)'!$C:$FB,67)</f>
        <v>1951</v>
      </c>
      <c r="M217" s="75">
        <f>VLOOKUP($A217,'Data Vlaue (Cr)'!$C:$FB,68)</f>
        <v>1627</v>
      </c>
      <c r="N217" s="75">
        <f t="shared" si="40"/>
        <v>324</v>
      </c>
      <c r="O217" s="75">
        <f t="shared" si="41"/>
        <v>16.606868272680678</v>
      </c>
      <c r="P217" s="75">
        <f>VLOOKUP($A217,'Data Vlaue (Cr)'!$C:$FB,119)</f>
        <v>0.62</v>
      </c>
      <c r="Q217" s="75">
        <f>VLOOKUP($A217,'Data Vlaue (Cr)'!$C:$FB,122)*100</f>
        <v>-1.59</v>
      </c>
      <c r="R217" s="75">
        <f>VLOOKUP($A217,'Data Vlaue (Cr)'!$C:$FB,125)</f>
        <v>0.47</v>
      </c>
      <c r="S217" s="75">
        <f>VLOOKUP($A217,'Data Vlaue (Cr)'!$C:$FB,128)*100</f>
        <v>-6</v>
      </c>
    </row>
    <row r="218" spans="1:19" x14ac:dyDescent="0.25">
      <c r="A218" s="96" t="str">
        <f>'Data Vlaue (Cr)'!C209</f>
        <v>UNIONBANK</v>
      </c>
      <c r="B218" s="75">
        <f>VLOOKUP($A218,'Data Vlaue (Cr)'!$C:$FB,2)</f>
        <v>4425</v>
      </c>
      <c r="C218" s="75">
        <f>VLOOKUP($A218,'Data Vlaue (Cr)'!$C:$FB,8)</f>
        <v>188.91</v>
      </c>
      <c r="D218" s="75">
        <f>VLOOKUP($A218,'Data Vlaue (Cr)'!$C:$FB,4)</f>
        <v>188.51</v>
      </c>
      <c r="E218" s="75">
        <f>VLOOKUP($A218,'Data Vlaue (Cr)'!$C:$FB,5)</f>
        <v>188.18</v>
      </c>
      <c r="F218" s="75">
        <f t="shared" si="36"/>
        <v>-0.40000000000000568</v>
      </c>
      <c r="G218" s="75">
        <f t="shared" si="37"/>
        <v>0.17505702615245031</v>
      </c>
      <c r="H218" s="75">
        <f>VLOOKUP($A218,'Data Vlaue (Cr)'!$C:$FB,99)</f>
        <v>3376</v>
      </c>
      <c r="I218" s="75">
        <f>VLOOKUP($A218,'Data Vlaue (Cr)'!$C:$FB,100)</f>
        <v>3307</v>
      </c>
      <c r="J218" s="75">
        <f t="shared" si="38"/>
        <v>69</v>
      </c>
      <c r="K218" s="75">
        <f t="shared" si="39"/>
        <v>2.0438388625592419</v>
      </c>
      <c r="L218" s="75">
        <f>VLOOKUP($A218,'Data Vlaue (Cr)'!$C:$FB,67)</f>
        <v>1063</v>
      </c>
      <c r="M218" s="75">
        <f>VLOOKUP($A218,'Data Vlaue (Cr)'!$C:$FB,68)</f>
        <v>1291</v>
      </c>
      <c r="N218" s="75">
        <f t="shared" si="40"/>
        <v>-228</v>
      </c>
      <c r="O218" s="75">
        <f t="shared" si="41"/>
        <v>-21.448730009407338</v>
      </c>
      <c r="P218" s="75">
        <f>VLOOKUP($A218,'Data Vlaue (Cr)'!$C:$FB,119)</f>
        <v>0.79</v>
      </c>
      <c r="Q218" s="75">
        <f>VLOOKUP($A218,'Data Vlaue (Cr)'!$C:$FB,122)*100</f>
        <v>-1.25</v>
      </c>
      <c r="R218" s="75">
        <f>VLOOKUP($A218,'Data Vlaue (Cr)'!$C:$FB,125)</f>
        <v>0.56000000000000005</v>
      </c>
      <c r="S218" s="75">
        <f>VLOOKUP($A218,'Data Vlaue (Cr)'!$C:$FB,128)*100</f>
        <v>-12.5</v>
      </c>
    </row>
    <row r="219" spans="1:19" x14ac:dyDescent="0.25">
      <c r="A219" s="96" t="str">
        <f>'Data Vlaue (Cr)'!C210</f>
        <v>UNITDSPR</v>
      </c>
      <c r="B219" s="75">
        <f>VLOOKUP($A219,'Data Vlaue (Cr)'!$C:$FB,2)</f>
        <v>400</v>
      </c>
      <c r="C219" s="75">
        <f>VLOOKUP($A219,'Data Vlaue (Cr)'!$C:$FB,8)</f>
        <v>1302.9000000000001</v>
      </c>
      <c r="D219" s="75">
        <f>VLOOKUP($A219,'Data Vlaue (Cr)'!$C:$FB,4)</f>
        <v>1305.7</v>
      </c>
      <c r="E219" s="75">
        <f>VLOOKUP($A219,'Data Vlaue (Cr)'!$C:$FB,5)</f>
        <v>1257.7</v>
      </c>
      <c r="F219" s="75">
        <f t="shared" si="36"/>
        <v>2.7999999999999545</v>
      </c>
      <c r="G219" s="75">
        <f t="shared" si="37"/>
        <v>3.6761890173853105</v>
      </c>
      <c r="H219" s="75">
        <f>VLOOKUP($A219,'Data Vlaue (Cr)'!$C:$FB,99)</f>
        <v>2689</v>
      </c>
      <c r="I219" s="75">
        <f>VLOOKUP($A219,'Data Vlaue (Cr)'!$C:$FB,100)</f>
        <v>2690</v>
      </c>
      <c r="J219" s="75">
        <f t="shared" si="38"/>
        <v>-1</v>
      </c>
      <c r="K219" s="75">
        <f t="shared" si="39"/>
        <v>-3.718854592785422E-2</v>
      </c>
      <c r="L219" s="75">
        <f>VLOOKUP($A219,'Data Vlaue (Cr)'!$C:$FB,67)</f>
        <v>2918</v>
      </c>
      <c r="M219" s="75">
        <f>VLOOKUP($A219,'Data Vlaue (Cr)'!$C:$FB,68)</f>
        <v>883</v>
      </c>
      <c r="N219" s="75">
        <f t="shared" si="40"/>
        <v>2035</v>
      </c>
      <c r="O219" s="75">
        <f t="shared" si="41"/>
        <v>69.739547635366691</v>
      </c>
      <c r="P219" s="75">
        <f>VLOOKUP($A219,'Data Vlaue (Cr)'!$C:$FB,119)</f>
        <v>0.65</v>
      </c>
      <c r="Q219" s="75">
        <f>VLOOKUP($A219,'Data Vlaue (Cr)'!$C:$FB,122)*100</f>
        <v>16.07</v>
      </c>
      <c r="R219" s="75">
        <f>VLOOKUP($A219,'Data Vlaue (Cr)'!$C:$FB,125)</f>
        <v>0.27</v>
      </c>
      <c r="S219" s="75">
        <f>VLOOKUP($A219,'Data Vlaue (Cr)'!$C:$FB,128)*100</f>
        <v>12.5</v>
      </c>
    </row>
    <row r="220" spans="1:19" x14ac:dyDescent="0.25">
      <c r="A220" s="96" t="str">
        <f>'Data Vlaue (Cr)'!C211</f>
        <v>UNOMINDA</v>
      </c>
      <c r="B220" s="75">
        <f>VLOOKUP($A220,'Data Vlaue (Cr)'!$C:$FB,2)</f>
        <v>550</v>
      </c>
      <c r="C220" s="75">
        <f>VLOOKUP($A220,'Data Vlaue (Cr)'!$C:$FB,8)</f>
        <v>1097.8</v>
      </c>
      <c r="D220" s="75">
        <f>VLOOKUP($A220,'Data Vlaue (Cr)'!$C:$FB,4)</f>
        <v>1098.0999999999999</v>
      </c>
      <c r="E220" s="75">
        <f>VLOOKUP($A220,'Data Vlaue (Cr)'!$C:$FB,5)</f>
        <v>1109.0999999999999</v>
      </c>
      <c r="F220" s="75">
        <f t="shared" si="36"/>
        <v>0.29999999999995453</v>
      </c>
      <c r="G220" s="75">
        <f t="shared" si="37"/>
        <v>-1.0017302613605319</v>
      </c>
      <c r="H220" s="75">
        <f>VLOOKUP($A220,'Data Vlaue (Cr)'!$C:$FB,99)</f>
        <v>781</v>
      </c>
      <c r="I220" s="75">
        <f>VLOOKUP($A220,'Data Vlaue (Cr)'!$C:$FB,100)</f>
        <v>761</v>
      </c>
      <c r="J220" s="75">
        <f t="shared" si="38"/>
        <v>20</v>
      </c>
      <c r="K220" s="75">
        <f t="shared" si="39"/>
        <v>2.5608194622279128</v>
      </c>
      <c r="L220" s="75">
        <f>VLOOKUP($A220,'Data Vlaue (Cr)'!$C:$FB,67)</f>
        <v>223</v>
      </c>
      <c r="M220" s="75">
        <f>VLOOKUP($A220,'Data Vlaue (Cr)'!$C:$FB,68)</f>
        <v>185</v>
      </c>
      <c r="N220" s="75">
        <f t="shared" si="40"/>
        <v>38</v>
      </c>
      <c r="O220" s="75">
        <f t="shared" si="41"/>
        <v>17.040358744394617</v>
      </c>
      <c r="P220" s="75">
        <f>VLOOKUP($A220,'Data Vlaue (Cr)'!$C:$FB,119)</f>
        <v>0.41</v>
      </c>
      <c r="Q220" s="75">
        <f>VLOOKUP($A220,'Data Vlaue (Cr)'!$C:$FB,122)*100</f>
        <v>-2.3800000000000003</v>
      </c>
      <c r="R220" s="75">
        <f>VLOOKUP($A220,'Data Vlaue (Cr)'!$C:$FB,125)</f>
        <v>0.22</v>
      </c>
      <c r="S220" s="75">
        <f>VLOOKUP($A220,'Data Vlaue (Cr)'!$C:$FB,128)*100</f>
        <v>0</v>
      </c>
    </row>
    <row r="221" spans="1:19" x14ac:dyDescent="0.25">
      <c r="A221" s="96" t="str">
        <f>'Data Vlaue (Cr)'!C212</f>
        <v>UPL</v>
      </c>
      <c r="B221" s="75">
        <f>VLOOKUP($A221,'Data Vlaue (Cr)'!$C:$FB,2)</f>
        <v>1355</v>
      </c>
      <c r="C221" s="75">
        <f>VLOOKUP($A221,'Data Vlaue (Cr)'!$C:$FB,8)</f>
        <v>664.7</v>
      </c>
      <c r="D221" s="75">
        <f>VLOOKUP($A221,'Data Vlaue (Cr)'!$C:$FB,4)</f>
        <v>666.35</v>
      </c>
      <c r="E221" s="75">
        <f>VLOOKUP($A221,'Data Vlaue (Cr)'!$C:$FB,5)</f>
        <v>662.3</v>
      </c>
      <c r="F221" s="75">
        <f t="shared" si="36"/>
        <v>1.6499999999999773</v>
      </c>
      <c r="G221" s="75">
        <f t="shared" si="37"/>
        <v>0.60778869963233562</v>
      </c>
      <c r="H221" s="75">
        <f>VLOOKUP($A221,'Data Vlaue (Cr)'!$C:$FB,99)</f>
        <v>3153</v>
      </c>
      <c r="I221" s="75">
        <f>VLOOKUP($A221,'Data Vlaue (Cr)'!$C:$FB,100)</f>
        <v>3176</v>
      </c>
      <c r="J221" s="75">
        <f t="shared" si="38"/>
        <v>-23</v>
      </c>
      <c r="K221" s="75">
        <f t="shared" si="39"/>
        <v>-0.72946400253726618</v>
      </c>
      <c r="L221" s="75">
        <f>VLOOKUP($A221,'Data Vlaue (Cr)'!$C:$FB,67)</f>
        <v>989</v>
      </c>
      <c r="M221" s="75">
        <f>VLOOKUP($A221,'Data Vlaue (Cr)'!$C:$FB,68)</f>
        <v>1485</v>
      </c>
      <c r="N221" s="75">
        <f t="shared" si="40"/>
        <v>-496</v>
      </c>
      <c r="O221" s="75">
        <f t="shared" si="41"/>
        <v>-50.151668351870569</v>
      </c>
      <c r="P221" s="75">
        <f>VLOOKUP($A221,'Data Vlaue (Cr)'!$C:$FB,119)</f>
        <v>0.75</v>
      </c>
      <c r="Q221" s="75">
        <f>VLOOKUP($A221,'Data Vlaue (Cr)'!$C:$FB,122)*100</f>
        <v>8.6999999999999993</v>
      </c>
      <c r="R221" s="75">
        <f>VLOOKUP($A221,'Data Vlaue (Cr)'!$C:$FB,125)</f>
        <v>0.72</v>
      </c>
      <c r="S221" s="75">
        <f>VLOOKUP($A221,'Data Vlaue (Cr)'!$C:$FB,128)*100</f>
        <v>44</v>
      </c>
    </row>
    <row r="222" spans="1:19" x14ac:dyDescent="0.25">
      <c r="A222" s="96" t="str">
        <f>'Data Vlaue (Cr)'!C213</f>
        <v>VBL</v>
      </c>
      <c r="B222" s="75">
        <f>VLOOKUP($A222,'Data Vlaue (Cr)'!$C:$FB,2)</f>
        <v>1125</v>
      </c>
      <c r="C222" s="75">
        <f>VLOOKUP($A222,'Data Vlaue (Cr)'!$C:$FB,8)</f>
        <v>473.9</v>
      </c>
      <c r="D222" s="75">
        <f>VLOOKUP($A222,'Data Vlaue (Cr)'!$C:$FB,4)</f>
        <v>473.65</v>
      </c>
      <c r="E222" s="75">
        <f>VLOOKUP($A222,'Data Vlaue (Cr)'!$C:$FB,5)</f>
        <v>462.2</v>
      </c>
      <c r="F222" s="75">
        <f t="shared" ref="F222:F229" si="42">D222-C222</f>
        <v>-0.25</v>
      </c>
      <c r="G222" s="75">
        <f t="shared" ref="G222:G229" si="43">(D222-E222)/D222*100</f>
        <v>2.4173968119919746</v>
      </c>
      <c r="H222" s="75">
        <f>VLOOKUP($A222,'Data Vlaue (Cr)'!$C:$FB,99)</f>
        <v>3505</v>
      </c>
      <c r="I222" s="75">
        <f>VLOOKUP($A222,'Data Vlaue (Cr)'!$C:$FB,100)</f>
        <v>3449</v>
      </c>
      <c r="J222" s="75">
        <f t="shared" ref="J222:J229" si="44">H222-I222</f>
        <v>56</v>
      </c>
      <c r="K222" s="75">
        <f t="shared" ref="K222:K229" si="45">J222/H222*100</f>
        <v>1.5977175463623396</v>
      </c>
      <c r="L222" s="75">
        <f>VLOOKUP($A222,'Data Vlaue (Cr)'!$C:$FB,67)</f>
        <v>3080</v>
      </c>
      <c r="M222" s="75">
        <f>VLOOKUP($A222,'Data Vlaue (Cr)'!$C:$FB,68)</f>
        <v>2751</v>
      </c>
      <c r="N222" s="75">
        <f t="shared" ref="N222:N229" si="46">L222-M222</f>
        <v>329</v>
      </c>
      <c r="O222" s="75">
        <f t="shared" ref="O222:O229" si="47">N222/L222*100</f>
        <v>10.681818181818182</v>
      </c>
      <c r="P222" s="75">
        <f>VLOOKUP($A222,'Data Vlaue (Cr)'!$C:$FB,119)</f>
        <v>0.62</v>
      </c>
      <c r="Q222" s="75">
        <f>VLOOKUP($A222,'Data Vlaue (Cr)'!$C:$FB,122)*100</f>
        <v>3.3300000000000005</v>
      </c>
      <c r="R222" s="75">
        <f>VLOOKUP($A222,'Data Vlaue (Cr)'!$C:$FB,125)</f>
        <v>0.45</v>
      </c>
      <c r="S222" s="75">
        <f>VLOOKUP($A222,'Data Vlaue (Cr)'!$C:$FB,128)*100</f>
        <v>-8.16</v>
      </c>
    </row>
    <row r="223" spans="1:19" x14ac:dyDescent="0.25">
      <c r="A223" s="96" t="str">
        <f>'Data Vlaue (Cr)'!C214</f>
        <v>VEDL</v>
      </c>
      <c r="B223" s="75">
        <f>VLOOKUP($A223,'Data Vlaue (Cr)'!$C:$FB,2)</f>
        <v>1150</v>
      </c>
      <c r="C223" s="75">
        <f>VLOOKUP($A223,'Data Vlaue (Cr)'!$C:$FB,8)</f>
        <v>787.5</v>
      </c>
      <c r="D223" s="75">
        <f>VLOOKUP($A223,'Data Vlaue (Cr)'!$C:$FB,4)</f>
        <v>788.75</v>
      </c>
      <c r="E223" s="75">
        <f>VLOOKUP($A223,'Data Vlaue (Cr)'!$C:$FB,5)</f>
        <v>784.35</v>
      </c>
      <c r="F223" s="75">
        <f t="shared" si="42"/>
        <v>1.25</v>
      </c>
      <c r="G223" s="75">
        <f t="shared" si="43"/>
        <v>0.55784469096671663</v>
      </c>
      <c r="H223" s="75">
        <f>VLOOKUP($A223,'Data Vlaue (Cr)'!$C:$FB,99)</f>
        <v>8974</v>
      </c>
      <c r="I223" s="75">
        <f>VLOOKUP($A223,'Data Vlaue (Cr)'!$C:$FB,100)</f>
        <v>8623</v>
      </c>
      <c r="J223" s="75">
        <f t="shared" si="44"/>
        <v>351</v>
      </c>
      <c r="K223" s="75">
        <f t="shared" si="45"/>
        <v>3.9112993091152215</v>
      </c>
      <c r="L223" s="75">
        <f>VLOOKUP($A223,'Data Vlaue (Cr)'!$C:$FB,67)</f>
        <v>7122</v>
      </c>
      <c r="M223" s="75">
        <f>VLOOKUP($A223,'Data Vlaue (Cr)'!$C:$FB,68)</f>
        <v>9008</v>
      </c>
      <c r="N223" s="75">
        <f t="shared" si="46"/>
        <v>-1886</v>
      </c>
      <c r="O223" s="75">
        <f t="shared" si="47"/>
        <v>-26.481325470373491</v>
      </c>
      <c r="P223" s="75">
        <f>VLOOKUP($A223,'Data Vlaue (Cr)'!$C:$FB,119)</f>
        <v>0.98</v>
      </c>
      <c r="Q223" s="75">
        <f>VLOOKUP($A223,'Data Vlaue (Cr)'!$C:$FB,122)*100</f>
        <v>-2</v>
      </c>
      <c r="R223" s="75">
        <f>VLOOKUP($A223,'Data Vlaue (Cr)'!$C:$FB,125)</f>
        <v>0.7</v>
      </c>
      <c r="S223" s="75">
        <f>VLOOKUP($A223,'Data Vlaue (Cr)'!$C:$FB,128)*100</f>
        <v>11.110000000000001</v>
      </c>
    </row>
    <row r="224" spans="1:19" x14ac:dyDescent="0.25">
      <c r="A224" s="96" t="str">
        <f>'Data Vlaue (Cr)'!C215</f>
        <v>VMM</v>
      </c>
      <c r="B224" s="75">
        <f>VLOOKUP($A224,'Data Vlaue (Cr)'!$C:$FB,2)</f>
        <v>4850</v>
      </c>
      <c r="C224" s="75">
        <f>VLOOKUP($A224,'Data Vlaue (Cr)'!$C:$FB,8)</f>
        <v>118.95</v>
      </c>
      <c r="D224" s="75">
        <f>VLOOKUP($A224,'Data Vlaue (Cr)'!$C:$FB,4)</f>
        <v>118.85</v>
      </c>
      <c r="E224" s="75">
        <f>VLOOKUP($A224,'Data Vlaue (Cr)'!$C:$FB,5)</f>
        <v>117.97</v>
      </c>
      <c r="F224" s="75">
        <f t="shared" si="42"/>
        <v>-0.10000000000000853</v>
      </c>
      <c r="G224" s="75">
        <f t="shared" si="43"/>
        <v>0.74042911232645814</v>
      </c>
      <c r="H224" s="75">
        <f>VLOOKUP($A224,'Data Vlaue (Cr)'!$C:$FB,99)</f>
        <v>453</v>
      </c>
      <c r="I224" s="75">
        <f>VLOOKUP($A224,'Data Vlaue (Cr)'!$C:$FB,100)</f>
        <v>388</v>
      </c>
      <c r="J224" s="75">
        <f t="shared" si="44"/>
        <v>65</v>
      </c>
      <c r="K224" s="75">
        <f t="shared" si="45"/>
        <v>14.348785871964681</v>
      </c>
      <c r="L224" s="75">
        <f>VLOOKUP($A224,'Data Vlaue (Cr)'!$C:$FB,67)</f>
        <v>331</v>
      </c>
      <c r="M224" s="75">
        <f>VLOOKUP($A224,'Data Vlaue (Cr)'!$C:$FB,68)</f>
        <v>91</v>
      </c>
      <c r="N224" s="75">
        <f t="shared" si="46"/>
        <v>240</v>
      </c>
      <c r="O224" s="75">
        <f t="shared" si="47"/>
        <v>72.507552870090635</v>
      </c>
      <c r="P224" s="75">
        <f>VLOOKUP($A224,'Data Vlaue (Cr)'!$C:$FB,119)</f>
        <v>0.61</v>
      </c>
      <c r="Q224" s="75">
        <f>VLOOKUP($A224,'Data Vlaue (Cr)'!$C:$FB,122)*100</f>
        <v>-12.86</v>
      </c>
      <c r="R224" s="75">
        <f>VLOOKUP($A224,'Data Vlaue (Cr)'!$C:$FB,125)</f>
        <v>0.17</v>
      </c>
      <c r="S224" s="75">
        <f>VLOOKUP($A224,'Data Vlaue (Cr)'!$C:$FB,128)*100</f>
        <v>-64.58</v>
      </c>
    </row>
    <row r="225" spans="1:19" x14ac:dyDescent="0.25">
      <c r="A225" s="96" t="str">
        <f>'Data Vlaue (Cr)'!C216</f>
        <v>VOLTAS</v>
      </c>
      <c r="B225" s="75">
        <f>VLOOKUP($A225,'Data Vlaue (Cr)'!$C:$FB,2)</f>
        <v>375</v>
      </c>
      <c r="C225" s="75">
        <f>VLOOKUP($A225,'Data Vlaue (Cr)'!$C:$FB,8)</f>
        <v>1440.1</v>
      </c>
      <c r="D225" s="75">
        <f>VLOOKUP($A225,'Data Vlaue (Cr)'!$C:$FB,4)</f>
        <v>1441.5</v>
      </c>
      <c r="E225" s="75">
        <f>VLOOKUP($A225,'Data Vlaue (Cr)'!$C:$FB,5)</f>
        <v>1408.8</v>
      </c>
      <c r="F225" s="75">
        <f t="shared" si="42"/>
        <v>1.4000000000000909</v>
      </c>
      <c r="G225" s="75">
        <f t="shared" si="43"/>
        <v>2.2684703433923028</v>
      </c>
      <c r="H225" s="75">
        <f>VLOOKUP($A225,'Data Vlaue (Cr)'!$C:$FB,99)</f>
        <v>2979</v>
      </c>
      <c r="I225" s="75">
        <f>VLOOKUP($A225,'Data Vlaue (Cr)'!$C:$FB,100)</f>
        <v>2986</v>
      </c>
      <c r="J225" s="75">
        <f t="shared" si="44"/>
        <v>-7</v>
      </c>
      <c r="K225" s="75">
        <f t="shared" si="45"/>
        <v>-0.23497818059751593</v>
      </c>
      <c r="L225" s="75">
        <f>VLOOKUP($A225,'Data Vlaue (Cr)'!$C:$FB,67)</f>
        <v>2165</v>
      </c>
      <c r="M225" s="75">
        <f>VLOOKUP($A225,'Data Vlaue (Cr)'!$C:$FB,68)</f>
        <v>1910</v>
      </c>
      <c r="N225" s="75">
        <f t="shared" si="46"/>
        <v>255</v>
      </c>
      <c r="O225" s="75">
        <f t="shared" si="47"/>
        <v>11.778290993071593</v>
      </c>
      <c r="P225" s="75">
        <f>VLOOKUP($A225,'Data Vlaue (Cr)'!$C:$FB,119)</f>
        <v>0.95</v>
      </c>
      <c r="Q225" s="75">
        <f>VLOOKUP($A225,'Data Vlaue (Cr)'!$C:$FB,122)*100</f>
        <v>20.25</v>
      </c>
      <c r="R225" s="75">
        <f>VLOOKUP($A225,'Data Vlaue (Cr)'!$C:$FB,125)</f>
        <v>0.52</v>
      </c>
      <c r="S225" s="75">
        <f>VLOOKUP($A225,'Data Vlaue (Cr)'!$C:$FB,128)*100</f>
        <v>0</v>
      </c>
    </row>
    <row r="226" spans="1:19" x14ac:dyDescent="0.25">
      <c r="A226" s="96" t="str">
        <f>'Data Vlaue (Cr)'!C217</f>
        <v>WAAREEENER</v>
      </c>
      <c r="B226" s="75">
        <f>VLOOKUP($A226,'Data Vlaue (Cr)'!$C:$FB,2)</f>
        <v>175</v>
      </c>
      <c r="C226" s="75">
        <f>VLOOKUP($A226,'Data Vlaue (Cr)'!$C:$FB,8)</f>
        <v>3466.2</v>
      </c>
      <c r="D226" s="75">
        <f>VLOOKUP($A226,'Data Vlaue (Cr)'!$C:$FB,4)</f>
        <v>3470.3</v>
      </c>
      <c r="E226" s="75">
        <f>VLOOKUP($A226,'Data Vlaue (Cr)'!$C:$FB,5)</f>
        <v>3450.9</v>
      </c>
      <c r="F226" s="75">
        <f t="shared" si="42"/>
        <v>4.1000000000003638</v>
      </c>
      <c r="G226" s="75">
        <f t="shared" si="43"/>
        <v>0.55902947871942166</v>
      </c>
      <c r="H226" s="75">
        <f>VLOOKUP($A226,'Data Vlaue (Cr)'!$C:$FB,99)</f>
        <v>2953</v>
      </c>
      <c r="I226" s="75">
        <f>VLOOKUP($A226,'Data Vlaue (Cr)'!$C:$FB,100)</f>
        <v>3004</v>
      </c>
      <c r="J226" s="75">
        <f t="shared" si="44"/>
        <v>-51</v>
      </c>
      <c r="K226" s="75">
        <f t="shared" si="45"/>
        <v>-1.7270572299356586</v>
      </c>
      <c r="L226" s="75">
        <f>VLOOKUP($A226,'Data Vlaue (Cr)'!$C:$FB,67)</f>
        <v>4305</v>
      </c>
      <c r="M226" s="75">
        <f>VLOOKUP($A226,'Data Vlaue (Cr)'!$C:$FB,68)</f>
        <v>2201</v>
      </c>
      <c r="N226" s="75">
        <f t="shared" si="46"/>
        <v>2104</v>
      </c>
      <c r="O226" s="75">
        <f t="shared" si="47"/>
        <v>48.87340301974448</v>
      </c>
      <c r="P226" s="75">
        <f>VLOOKUP($A226,'Data Vlaue (Cr)'!$C:$FB,119)</f>
        <v>0.74</v>
      </c>
      <c r="Q226" s="75">
        <f>VLOOKUP($A226,'Data Vlaue (Cr)'!$C:$FB,122)*100</f>
        <v>-9.76</v>
      </c>
      <c r="R226" s="75">
        <f>VLOOKUP($A226,'Data Vlaue (Cr)'!$C:$FB,125)</f>
        <v>0.49</v>
      </c>
      <c r="S226" s="75">
        <f>VLOOKUP($A226,'Data Vlaue (Cr)'!$C:$FB,128)*100</f>
        <v>-31.94</v>
      </c>
    </row>
    <row r="227" spans="1:19" x14ac:dyDescent="0.25">
      <c r="A227" s="96" t="str">
        <f>'Data Vlaue (Cr)'!C218</f>
        <v>WIPRO</v>
      </c>
      <c r="B227" s="75">
        <f>VLOOKUP($A227,'Data Vlaue (Cr)'!$C:$FB,2)</f>
        <v>3000</v>
      </c>
      <c r="C227" s="75">
        <f>VLOOKUP($A227,'Data Vlaue (Cr)'!$C:$FB,8)</f>
        <v>204.32</v>
      </c>
      <c r="D227" s="75">
        <f>VLOOKUP($A227,'Data Vlaue (Cr)'!$C:$FB,4)</f>
        <v>202.37</v>
      </c>
      <c r="E227" s="75">
        <f>VLOOKUP($A227,'Data Vlaue (Cr)'!$C:$FB,5)</f>
        <v>204.81</v>
      </c>
      <c r="F227" s="75">
        <f t="shared" si="42"/>
        <v>-1.9499999999999886</v>
      </c>
      <c r="G227" s="75">
        <f t="shared" si="43"/>
        <v>-1.2057123091367286</v>
      </c>
      <c r="H227" s="75">
        <f>VLOOKUP($A227,'Data Vlaue (Cr)'!$C:$FB,99)</f>
        <v>11649</v>
      </c>
      <c r="I227" s="75">
        <f>VLOOKUP($A227,'Data Vlaue (Cr)'!$C:$FB,100)</f>
        <v>9964</v>
      </c>
      <c r="J227" s="75">
        <f t="shared" si="44"/>
        <v>1685</v>
      </c>
      <c r="K227" s="75">
        <f t="shared" si="45"/>
        <v>14.464760923684436</v>
      </c>
      <c r="L227" s="75">
        <f>VLOOKUP($A227,'Data Vlaue (Cr)'!$C:$FB,67)</f>
        <v>16170</v>
      </c>
      <c r="M227" s="75">
        <f>VLOOKUP($A227,'Data Vlaue (Cr)'!$C:$FB,68)</f>
        <v>8697</v>
      </c>
      <c r="N227" s="75">
        <f t="shared" si="46"/>
        <v>7473</v>
      </c>
      <c r="O227" s="75">
        <f t="shared" si="47"/>
        <v>46.2152133580705</v>
      </c>
      <c r="P227" s="75">
        <f>VLOOKUP($A227,'Data Vlaue (Cr)'!$C:$FB,119)</f>
        <v>0.49</v>
      </c>
      <c r="Q227" s="75">
        <f>VLOOKUP($A227,'Data Vlaue (Cr)'!$C:$FB,122)*100</f>
        <v>-3.92</v>
      </c>
      <c r="R227" s="75">
        <f>VLOOKUP($A227,'Data Vlaue (Cr)'!$C:$FB,125)</f>
        <v>0.52</v>
      </c>
      <c r="S227" s="75">
        <f>VLOOKUP($A227,'Data Vlaue (Cr)'!$C:$FB,128)*100</f>
        <v>18.18</v>
      </c>
    </row>
    <row r="228" spans="1:19" x14ac:dyDescent="0.25">
      <c r="A228" s="96" t="str">
        <f>'Data Vlaue (Cr)'!C219</f>
        <v>YESBANK</v>
      </c>
      <c r="B228" s="75">
        <f>VLOOKUP($A228,'Data Vlaue (Cr)'!$C:$FB,2)</f>
        <v>31100</v>
      </c>
      <c r="C228" s="75">
        <f>VLOOKUP($A228,'Data Vlaue (Cr)'!$C:$FB,8)</f>
        <v>20.190000000000001</v>
      </c>
      <c r="D228" s="75">
        <f>VLOOKUP($A228,'Data Vlaue (Cr)'!$C:$FB,4)</f>
        <v>20.260000000000002</v>
      </c>
      <c r="E228" s="75">
        <f>VLOOKUP($A228,'Data Vlaue (Cr)'!$C:$FB,5)</f>
        <v>20</v>
      </c>
      <c r="F228" s="75">
        <f t="shared" si="42"/>
        <v>7.0000000000000284E-2</v>
      </c>
      <c r="G228" s="75">
        <f t="shared" si="43"/>
        <v>1.283316880552821</v>
      </c>
      <c r="H228" s="75">
        <f>VLOOKUP($A228,'Data Vlaue (Cr)'!$C:$FB,99)</f>
        <v>4170</v>
      </c>
      <c r="I228" s="75">
        <f>VLOOKUP($A228,'Data Vlaue (Cr)'!$C:$FB,100)</f>
        <v>3606</v>
      </c>
      <c r="J228" s="75">
        <f t="shared" si="44"/>
        <v>564</v>
      </c>
      <c r="K228" s="75">
        <f t="shared" si="45"/>
        <v>13.525179856115107</v>
      </c>
      <c r="L228" s="75">
        <f>VLOOKUP($A228,'Data Vlaue (Cr)'!$C:$FB,67)</f>
        <v>3656</v>
      </c>
      <c r="M228" s="75">
        <f>VLOOKUP($A228,'Data Vlaue (Cr)'!$C:$FB,68)</f>
        <v>2764</v>
      </c>
      <c r="N228" s="75">
        <f t="shared" si="46"/>
        <v>892</v>
      </c>
      <c r="O228" s="75">
        <f t="shared" si="47"/>
        <v>24.398249452954047</v>
      </c>
      <c r="P228" s="75">
        <f>VLOOKUP($A228,'Data Vlaue (Cr)'!$C:$FB,119)</f>
        <v>0.63</v>
      </c>
      <c r="Q228" s="75">
        <f>VLOOKUP($A228,'Data Vlaue (Cr)'!$C:$FB,122)*100</f>
        <v>-26.740000000000002</v>
      </c>
      <c r="R228" s="75">
        <f>VLOOKUP($A228,'Data Vlaue (Cr)'!$C:$FB,125)</f>
        <v>0.21</v>
      </c>
      <c r="S228" s="75">
        <f>VLOOKUP($A228,'Data Vlaue (Cr)'!$C:$FB,128)*100</f>
        <v>-38.24</v>
      </c>
    </row>
    <row r="229" spans="1:19" x14ac:dyDescent="0.25">
      <c r="A229" s="96" t="str">
        <f>'Data Vlaue (Cr)'!C220</f>
        <v>ZYDUSLIFE</v>
      </c>
      <c r="B229" s="75">
        <f>VLOOKUP($A229,'Data Vlaue (Cr)'!$C:$FB,2)</f>
        <v>900</v>
      </c>
      <c r="C229" s="75">
        <f>VLOOKUP($A229,'Data Vlaue (Cr)'!$C:$FB,8)</f>
        <v>943.95</v>
      </c>
      <c r="D229" s="75">
        <f>VLOOKUP($A229,'Data Vlaue (Cr)'!$C:$FB,4)</f>
        <v>946.25</v>
      </c>
      <c r="E229" s="75">
        <f>VLOOKUP($A229,'Data Vlaue (Cr)'!$C:$FB,5)</f>
        <v>939.15</v>
      </c>
      <c r="F229" s="75">
        <f t="shared" si="42"/>
        <v>2.2999999999999545</v>
      </c>
      <c r="G229" s="75">
        <f t="shared" si="43"/>
        <v>0.75033025099075534</v>
      </c>
      <c r="H229" s="75">
        <f>VLOOKUP($A229,'Data Vlaue (Cr)'!$C:$FB,99)</f>
        <v>1372</v>
      </c>
      <c r="I229" s="75">
        <f>VLOOKUP($A229,'Data Vlaue (Cr)'!$C:$FB,100)</f>
        <v>1396</v>
      </c>
      <c r="J229" s="75">
        <f t="shared" si="44"/>
        <v>-24</v>
      </c>
      <c r="K229" s="75">
        <f t="shared" si="45"/>
        <v>-1.749271137026239</v>
      </c>
      <c r="L229" s="75">
        <f>VLOOKUP($A229,'Data Vlaue (Cr)'!$C:$FB,67)</f>
        <v>546</v>
      </c>
      <c r="M229" s="75">
        <f>VLOOKUP($A229,'Data Vlaue (Cr)'!$C:$FB,68)</f>
        <v>457</v>
      </c>
      <c r="N229" s="75">
        <f t="shared" si="46"/>
        <v>89</v>
      </c>
      <c r="O229" s="75">
        <f t="shared" si="47"/>
        <v>16.300366300366299</v>
      </c>
      <c r="P229" s="75">
        <f>VLOOKUP($A229,'Data Vlaue (Cr)'!$C:$FB,119)</f>
        <v>0.77</v>
      </c>
      <c r="Q229" s="75">
        <f>VLOOKUP($A229,'Data Vlaue (Cr)'!$C:$FB,122)*100</f>
        <v>-1.28</v>
      </c>
      <c r="R229" s="75">
        <f>VLOOKUP($A229,'Data Vlaue (Cr)'!$C:$FB,125)</f>
        <v>0.36</v>
      </c>
      <c r="S229" s="75">
        <f>VLOOKUP($A229,'Data Vlaue (Cr)'!$C:$FB,128)*100</f>
        <v>20</v>
      </c>
    </row>
    <row r="230" spans="1:19" x14ac:dyDescent="0.25">
      <c r="A230" s="96"/>
      <c r="B230" s="75"/>
      <c r="C230" s="75"/>
      <c r="D230" s="75"/>
      <c r="E230" s="75"/>
      <c r="F230" s="75"/>
      <c r="G230" s="75"/>
      <c r="H230" s="75"/>
      <c r="I230" s="75"/>
      <c r="J230" s="75"/>
      <c r="K230" s="75"/>
      <c r="L230" s="75"/>
      <c r="M230" s="75"/>
      <c r="N230" s="75"/>
      <c r="O230" s="75"/>
      <c r="P230" s="75"/>
      <c r="Q230" s="75"/>
      <c r="R230" s="75"/>
      <c r="S230" s="75"/>
    </row>
    <row r="231" spans="1:19" x14ac:dyDescent="0.25">
      <c r="A231" s="96"/>
      <c r="B231" s="75"/>
      <c r="C231" s="75"/>
      <c r="D231" s="75"/>
      <c r="E231" s="75"/>
      <c r="F231" s="75"/>
      <c r="G231" s="75"/>
      <c r="H231" s="75"/>
      <c r="I231" s="75"/>
      <c r="J231" s="75"/>
      <c r="K231" s="75"/>
      <c r="L231" s="75"/>
      <c r="M231" s="75"/>
      <c r="N231" s="75"/>
      <c r="O231" s="75"/>
      <c r="P231" s="75"/>
      <c r="Q231" s="75"/>
      <c r="R231" s="75"/>
      <c r="S231" s="75"/>
    </row>
    <row r="232" spans="1:19" x14ac:dyDescent="0.25">
      <c r="A232" s="96"/>
      <c r="B232" s="75"/>
      <c r="C232" s="75"/>
      <c r="D232" s="75"/>
      <c r="E232" s="75"/>
      <c r="F232" s="75"/>
      <c r="G232" s="75"/>
      <c r="H232" s="75"/>
      <c r="I232" s="75"/>
      <c r="J232" s="75"/>
      <c r="K232" s="75"/>
      <c r="L232" s="75"/>
      <c r="M232" s="75"/>
      <c r="N232" s="75"/>
      <c r="O232" s="75"/>
      <c r="P232" s="75"/>
      <c r="Q232" s="75"/>
      <c r="R232" s="75"/>
      <c r="S232" s="75"/>
    </row>
    <row r="233" spans="1:19" x14ac:dyDescent="0.25">
      <c r="A233" s="96"/>
      <c r="B233" s="75"/>
      <c r="C233" s="75"/>
      <c r="D233" s="75"/>
      <c r="E233" s="75"/>
      <c r="F233" s="75"/>
      <c r="G233" s="75"/>
      <c r="H233" s="75"/>
      <c r="I233" s="75"/>
      <c r="J233" s="75"/>
      <c r="K233" s="75"/>
      <c r="L233" s="75"/>
      <c r="M233" s="75"/>
      <c r="N233" s="75"/>
      <c r="O233" s="75"/>
      <c r="P233" s="75"/>
      <c r="Q233" s="75"/>
      <c r="R233" s="75"/>
      <c r="S233" s="75"/>
    </row>
    <row r="234" spans="1:19" x14ac:dyDescent="0.25">
      <c r="A234" s="96"/>
      <c r="B234" s="75"/>
      <c r="C234" s="75"/>
      <c r="D234" s="75"/>
      <c r="E234" s="75"/>
      <c r="F234" s="75"/>
      <c r="G234" s="75"/>
      <c r="H234" s="75"/>
      <c r="I234" s="75"/>
      <c r="J234" s="75"/>
      <c r="K234" s="75"/>
      <c r="L234" s="75"/>
      <c r="M234" s="75"/>
      <c r="N234" s="75"/>
      <c r="O234" s="75"/>
      <c r="P234" s="75"/>
      <c r="Q234" s="75"/>
      <c r="R234" s="75"/>
      <c r="S234" s="75"/>
    </row>
    <row r="235" spans="1:19" x14ac:dyDescent="0.25">
      <c r="A235" s="96"/>
      <c r="B235" s="75"/>
      <c r="C235" s="75"/>
      <c r="D235" s="75"/>
      <c r="E235" s="75"/>
      <c r="F235" s="75"/>
      <c r="G235" s="75"/>
      <c r="H235" s="75"/>
      <c r="I235" s="75"/>
      <c r="J235" s="75"/>
      <c r="K235" s="75"/>
      <c r="L235" s="75"/>
      <c r="M235" s="75"/>
      <c r="N235" s="75"/>
      <c r="O235" s="75"/>
      <c r="P235" s="75"/>
      <c r="Q235" s="75"/>
      <c r="R235" s="75"/>
      <c r="S235" s="75"/>
    </row>
    <row r="236" spans="1:19" x14ac:dyDescent="0.25">
      <c r="A236" s="96"/>
      <c r="B236" s="75"/>
      <c r="C236" s="75"/>
      <c r="D236" s="75"/>
      <c r="E236" s="75"/>
      <c r="F236" s="75"/>
      <c r="G236" s="75"/>
      <c r="H236" s="75"/>
      <c r="I236" s="75"/>
      <c r="J236" s="75"/>
      <c r="K236" s="75"/>
      <c r="L236" s="75"/>
      <c r="M236" s="75"/>
      <c r="N236" s="75"/>
      <c r="O236" s="75"/>
      <c r="P236" s="75"/>
      <c r="Q236" s="75"/>
      <c r="R236" s="75"/>
      <c r="S236" s="75"/>
    </row>
    <row r="237" spans="1:19" x14ac:dyDescent="0.25">
      <c r="A237" s="98"/>
      <c r="B237" s="75"/>
      <c r="C237" s="75"/>
      <c r="D237" s="75"/>
      <c r="E237" s="75"/>
      <c r="F237" s="75"/>
      <c r="G237" s="75"/>
      <c r="H237" s="75"/>
      <c r="I237" s="75"/>
      <c r="J237" s="75"/>
      <c r="K237" s="75"/>
      <c r="L237" s="75"/>
      <c r="M237" s="75"/>
      <c r="N237" s="75"/>
      <c r="O237" s="75"/>
      <c r="P237" s="75"/>
      <c r="Q237" s="75"/>
      <c r="R237" s="75"/>
      <c r="S237" s="75"/>
    </row>
    <row r="238" spans="1:19" x14ac:dyDescent="0.25">
      <c r="A238" s="98"/>
      <c r="B238" s="75"/>
      <c r="C238" s="75"/>
      <c r="D238" s="75"/>
      <c r="E238" s="75"/>
      <c r="F238" s="75"/>
      <c r="G238" s="75"/>
      <c r="H238" s="75"/>
      <c r="I238" s="75"/>
      <c r="J238" s="75"/>
      <c r="K238" s="75"/>
      <c r="L238" s="75"/>
      <c r="M238" s="75"/>
      <c r="N238" s="75"/>
      <c r="O238" s="75"/>
      <c r="P238" s="75"/>
      <c r="Q238" s="75"/>
      <c r="R238" s="75"/>
      <c r="S238" s="75"/>
    </row>
    <row r="239" spans="1:19" x14ac:dyDescent="0.25">
      <c r="A239" s="98"/>
      <c r="B239" s="75"/>
      <c r="C239" s="75"/>
      <c r="D239" s="75"/>
      <c r="E239" s="75"/>
      <c r="F239" s="75"/>
      <c r="G239" s="75"/>
      <c r="H239" s="75"/>
      <c r="I239" s="75"/>
      <c r="J239" s="75"/>
      <c r="K239" s="75"/>
      <c r="L239" s="75"/>
      <c r="M239" s="75"/>
      <c r="N239" s="75"/>
      <c r="O239" s="75"/>
      <c r="P239" s="75"/>
      <c r="Q239" s="75"/>
      <c r="R239" s="75"/>
      <c r="S239" s="75"/>
    </row>
    <row r="240" spans="1:19" x14ac:dyDescent="0.25">
      <c r="A240" s="257"/>
      <c r="B240" s="257"/>
      <c r="C240" s="257"/>
      <c r="D240" s="257"/>
      <c r="E240" s="257"/>
      <c r="F240" s="257"/>
      <c r="G240" s="15"/>
      <c r="H240" s="16"/>
      <c r="I240" s="257"/>
      <c r="J240" s="257"/>
      <c r="K240" s="257"/>
      <c r="L240" s="257"/>
      <c r="M240" s="257"/>
      <c r="N240" s="16"/>
      <c r="O240" s="16"/>
      <c r="P240" s="16"/>
      <c r="Q240" s="257"/>
      <c r="R240" s="257"/>
      <c r="S240" s="257"/>
    </row>
    <row r="241" spans="1:19" x14ac:dyDescent="0.25">
      <c r="A241" s="254" t="s">
        <v>391</v>
      </c>
      <c r="B241" s="255"/>
      <c r="C241" s="255"/>
      <c r="D241" s="255"/>
      <c r="E241" s="255"/>
      <c r="F241" s="256"/>
      <c r="G241" s="18"/>
      <c r="H241" s="18">
        <f>SUM(H11:H236)</f>
        <v>2394298</v>
      </c>
      <c r="I241" s="18">
        <f>SUM(I11:I236)</f>
        <v>2195498</v>
      </c>
      <c r="J241" s="18">
        <f>H241-I241</f>
        <v>198800</v>
      </c>
      <c r="K241" s="19">
        <f>J241/I241</f>
        <v>9.0548932406224011E-2</v>
      </c>
      <c r="L241" s="18">
        <f>SUM(L11:L236)</f>
        <v>12185283</v>
      </c>
      <c r="M241" s="18">
        <f>SUM(M11:M236)</f>
        <v>8117335</v>
      </c>
      <c r="N241" s="18">
        <f>L241-M241</f>
        <v>4067948</v>
      </c>
      <c r="O241" s="19">
        <f>N241/M241</f>
        <v>0.50114329395053914</v>
      </c>
      <c r="P241" s="254"/>
      <c r="Q241" s="255"/>
      <c r="R241" s="255"/>
      <c r="S241" s="256"/>
    </row>
    <row r="245" spans="1:19" x14ac:dyDescent="0.25">
      <c r="A245" s="250" t="s">
        <v>334</v>
      </c>
      <c r="B245" s="250"/>
      <c r="C245" s="250"/>
      <c r="D245" s="6"/>
      <c r="E245" s="6"/>
      <c r="F245" s="6"/>
      <c r="G245" s="6"/>
      <c r="H245" s="8" t="s">
        <v>385</v>
      </c>
      <c r="J245" s="7"/>
      <c r="K245" s="7"/>
      <c r="L245" s="7"/>
      <c r="M245" s="7"/>
    </row>
    <row r="246" spans="1:19" x14ac:dyDescent="0.25">
      <c r="A246" s="22"/>
      <c r="B246" s="23" t="s">
        <v>182</v>
      </c>
      <c r="C246" s="24" t="s">
        <v>386</v>
      </c>
      <c r="D246" s="25" t="s">
        <v>266</v>
      </c>
      <c r="E246" s="24" t="s">
        <v>386</v>
      </c>
      <c r="F246" s="23" t="s">
        <v>461</v>
      </c>
      <c r="G246" s="23" t="s">
        <v>387</v>
      </c>
      <c r="H246" s="24" t="s">
        <v>386</v>
      </c>
    </row>
    <row r="247" spans="1:19" x14ac:dyDescent="0.25">
      <c r="A247" s="26" t="s">
        <v>388</v>
      </c>
      <c r="B247" s="9">
        <f>VLOOKUP(B246,'OI(Value)'!A7:E232,5,0)</f>
        <v>14747</v>
      </c>
      <c r="C247" s="146">
        <f>VLOOKUP(B246,'OI(Value)'!A7:G232,7,0)</f>
        <v>-1.3899999999999999E-2</v>
      </c>
      <c r="D247" s="9">
        <f>VLOOKUP(D246,'OI(Value)'!A7:E232,5,0)</f>
        <v>50062</v>
      </c>
      <c r="E247" s="147">
        <f>VLOOKUP(D246,'OI(Value)'!A7:G232,7,0)</f>
        <v>-1.14E-2</v>
      </c>
      <c r="F247" s="9">
        <f>G247-D247-B247</f>
        <v>524051</v>
      </c>
      <c r="G247" s="10">
        <f>'OI(Value)'!E233</f>
        <v>588860</v>
      </c>
      <c r="H247" s="147">
        <f>'OI(Value)'!D240</f>
        <v>4.6632476310158608E-3</v>
      </c>
    </row>
    <row r="248" spans="1:19" x14ac:dyDescent="0.25">
      <c r="A248" s="26" t="s">
        <v>389</v>
      </c>
      <c r="B248" s="9">
        <f>VLOOKUP(B246,'OI(Value)'!A7:H232,8,0)</f>
        <v>112916</v>
      </c>
      <c r="C248" s="146">
        <f>VLOOKUP(B246,'OI(Value)'!A7:J232,10,0)</f>
        <v>3.1099999999999999E-2</v>
      </c>
      <c r="D248" s="9">
        <f>VLOOKUP(D246,'OI(Value)'!A1:O233,8,0)</f>
        <v>579699</v>
      </c>
      <c r="E248" s="147">
        <f>VLOOKUP(D246,'OI(Value)'!A1:J232,10,0)</f>
        <v>9.06E-2</v>
      </c>
      <c r="F248" s="9">
        <f>G248-D248-B248</f>
        <v>211072</v>
      </c>
      <c r="G248" s="9">
        <f>'OI(Value)'!H233</f>
        <v>903687</v>
      </c>
      <c r="H248" s="147">
        <f>'OI(Value)'!D241</f>
        <v>6.9266239306308486E-2</v>
      </c>
    </row>
    <row r="249" spans="1:19" x14ac:dyDescent="0.25">
      <c r="A249" s="26" t="s">
        <v>390</v>
      </c>
      <c r="B249" s="9">
        <f>VLOOKUP(B246,'OI(Value)'!A7:K232,11,0)</f>
        <v>105317</v>
      </c>
      <c r="C249" s="146">
        <f>VLOOKUP(B246,'OI(Value)'!A7:M232,13,0)</f>
        <v>0.1108</v>
      </c>
      <c r="D249" s="9">
        <f>VLOOKUP(D246,'OI(Value)'!A2:O234,11,0)</f>
        <v>634632</v>
      </c>
      <c r="E249" s="147">
        <f>VLOOKUP(D246,'OI(Value)'!A7:M232,13,0)</f>
        <v>0.21590000000000001</v>
      </c>
      <c r="F249" s="9">
        <f>G249-D249-B249</f>
        <v>161791</v>
      </c>
      <c r="G249" s="9">
        <f>'OI(Value)'!K233</f>
        <v>901740</v>
      </c>
      <c r="H249" s="147">
        <f>'OI(Volume)'!D247</f>
        <v>5.9779127685530099E-2</v>
      </c>
    </row>
    <row r="250" spans="1:19" x14ac:dyDescent="0.25">
      <c r="A250" s="22" t="s">
        <v>391</v>
      </c>
      <c r="B250" s="62">
        <f>SUM(B247:B249)</f>
        <v>232980</v>
      </c>
      <c r="C250" s="148">
        <f>VLOOKUP(B246,'OI(Value)'!A7:D148,4,0)</f>
        <v>6.25E-2</v>
      </c>
      <c r="D250" s="62">
        <f>SUM(D247:D249)</f>
        <v>1264393</v>
      </c>
      <c r="E250" s="148">
        <f>VLOOKUP(D246,'OI(Value)'!A1:D233,4,0)</f>
        <v>0.1452</v>
      </c>
      <c r="F250" s="62">
        <f>SUM(F247:F249)</f>
        <v>896914</v>
      </c>
      <c r="G250" s="62">
        <f>SUM(G247:G249)</f>
        <v>2394287</v>
      </c>
      <c r="H250" s="151">
        <f>'OI(Value)'!D243</f>
        <v>8.3027222718078497E-2</v>
      </c>
    </row>
    <row r="254" spans="1:19" x14ac:dyDescent="0.25">
      <c r="A254" s="20" t="s">
        <v>392</v>
      </c>
      <c r="B254" s="11"/>
      <c r="C254" s="11"/>
      <c r="D254" s="11"/>
      <c r="E254" s="11"/>
      <c r="F254" s="11"/>
      <c r="G254" s="11"/>
      <c r="H254" s="12"/>
    </row>
    <row r="255" spans="1:19" x14ac:dyDescent="0.25">
      <c r="A255" s="27"/>
      <c r="B255" s="27"/>
      <c r="C255" s="251" t="s">
        <v>459</v>
      </c>
      <c r="D255" s="252"/>
      <c r="E255" s="253"/>
      <c r="F255" s="251" t="s">
        <v>460</v>
      </c>
      <c r="G255" s="252"/>
      <c r="H255" s="253"/>
    </row>
    <row r="256" spans="1:19" x14ac:dyDescent="0.25">
      <c r="A256" s="28"/>
      <c r="B256" s="27"/>
      <c r="C256" s="31">
        <f>D10</f>
        <v>46129</v>
      </c>
      <c r="D256" s="31" t="s">
        <v>397</v>
      </c>
      <c r="E256" s="32" t="s">
        <v>321</v>
      </c>
      <c r="F256" s="31">
        <f>C256</f>
        <v>46129</v>
      </c>
      <c r="G256" s="31" t="str">
        <f>D256</f>
        <v>Preious</v>
      </c>
      <c r="H256" s="32" t="s">
        <v>386</v>
      </c>
    </row>
    <row r="257" spans="1:8" x14ac:dyDescent="0.25">
      <c r="A257" s="29" t="s">
        <v>393</v>
      </c>
      <c r="B257" s="30"/>
      <c r="C257" s="13">
        <f>FII!N3</f>
        <v>10446</v>
      </c>
      <c r="D257" s="13">
        <f>FII!J3</f>
        <v>10312</v>
      </c>
      <c r="E257" s="14">
        <f>(C257-D257)/C257</f>
        <v>1.2827876699215011E-2</v>
      </c>
      <c r="F257" s="13">
        <f>FII!M3</f>
        <v>61407</v>
      </c>
      <c r="G257" s="13">
        <f>FII!I3</f>
        <v>61116</v>
      </c>
      <c r="H257" s="14">
        <f>(F257-G257)/F257</f>
        <v>4.7388734183399289E-3</v>
      </c>
    </row>
    <row r="258" spans="1:8" x14ac:dyDescent="0.25">
      <c r="A258" s="248" t="s">
        <v>394</v>
      </c>
      <c r="B258" s="249"/>
      <c r="C258" s="13">
        <f>FII!N4</f>
        <v>84881</v>
      </c>
      <c r="D258" s="13">
        <f>FII!J4</f>
        <v>80046</v>
      </c>
      <c r="E258" s="14">
        <f>(C258-D258)/C258</f>
        <v>5.6962099881009885E-2</v>
      </c>
      <c r="F258" s="13">
        <f>FII!M4</f>
        <v>500191</v>
      </c>
      <c r="G258" s="13">
        <f>FII!I4</f>
        <v>475729</v>
      </c>
      <c r="H258" s="14">
        <f>(F258-G258)/F258</f>
        <v>4.8905318168459645E-2</v>
      </c>
    </row>
    <row r="259" spans="1:8" x14ac:dyDescent="0.25">
      <c r="A259" s="248" t="s">
        <v>395</v>
      </c>
      <c r="B259" s="249"/>
      <c r="C259" s="13">
        <f>FII!N15</f>
        <v>468159</v>
      </c>
      <c r="D259" s="13">
        <f>FII!J15</f>
        <v>464418</v>
      </c>
      <c r="E259" s="14">
        <f>(C259-D259)/C259</f>
        <v>7.9908748950677008E-3</v>
      </c>
      <c r="F259" s="13">
        <f>FII!M15</f>
        <v>7270105</v>
      </c>
      <c r="G259" s="13">
        <f>FII!I15</f>
        <v>7270548</v>
      </c>
      <c r="H259" s="14">
        <f>(F259-G259)/F259</f>
        <v>-6.0934470685086389E-5</v>
      </c>
    </row>
    <row r="260" spans="1:8" x14ac:dyDescent="0.25">
      <c r="A260" s="248" t="s">
        <v>396</v>
      </c>
      <c r="B260" s="249"/>
      <c r="C260" s="13">
        <f>FII!N16</f>
        <v>70097</v>
      </c>
      <c r="D260" s="13">
        <f>FII!J16</f>
        <v>64245</v>
      </c>
      <c r="E260" s="14">
        <f>(C260-D260)/C260</f>
        <v>8.3484314592635916E-2</v>
      </c>
      <c r="F260" s="13">
        <f>FII!M16</f>
        <v>1045489</v>
      </c>
      <c r="G260" s="13">
        <f>FII!I16</f>
        <v>961958</v>
      </c>
      <c r="H260" s="14">
        <f>(F260-G260)/F260</f>
        <v>7.9896584277787716E-2</v>
      </c>
    </row>
    <row r="261" spans="1:8" x14ac:dyDescent="0.25">
      <c r="A261" s="248" t="s">
        <v>391</v>
      </c>
      <c r="B261" s="249"/>
      <c r="C261" s="155">
        <f>SUM(C257:C260)</f>
        <v>633583</v>
      </c>
      <c r="D261" s="155">
        <f>SUM(D257:D260)</f>
        <v>619021</v>
      </c>
      <c r="E261" s="156">
        <f>(C261-D261)/C261</f>
        <v>2.2983571213242779E-2</v>
      </c>
      <c r="F261" s="157">
        <f>SUM(F257:F260)</f>
        <v>8877192</v>
      </c>
      <c r="G261" s="158">
        <f>SUM(G257:G260)</f>
        <v>8769351</v>
      </c>
      <c r="H261" s="156">
        <f>(F261-G261)/F261</f>
        <v>1.2148098182398218E-2</v>
      </c>
    </row>
  </sheetData>
  <mergeCells count="24">
    <mergeCell ref="P241:S241"/>
    <mergeCell ref="A241:F241"/>
    <mergeCell ref="Q240:S240"/>
    <mergeCell ref="I240:M240"/>
    <mergeCell ref="A240:F240"/>
    <mergeCell ref="A260:B260"/>
    <mergeCell ref="A261:B261"/>
    <mergeCell ref="A245:C245"/>
    <mergeCell ref="C255:E255"/>
    <mergeCell ref="F255:H255"/>
    <mergeCell ref="A258:B258"/>
    <mergeCell ref="A259:B259"/>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6"/>
  <sheetViews>
    <sheetView workbookViewId="0">
      <pane ySplit="5" topLeftCell="A210" activePane="bottomLeft" state="frozen"/>
      <selection pane="bottomLeft" activeCell="K229" sqref="K229"/>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10" t="s">
        <v>456</v>
      </c>
      <c r="B3" s="311"/>
      <c r="C3" s="311"/>
      <c r="D3" s="311"/>
      <c r="E3" s="311"/>
      <c r="F3" s="311"/>
      <c r="G3" s="312"/>
      <c r="H3" s="46"/>
    </row>
    <row r="4" spans="1:8" x14ac:dyDescent="0.25">
      <c r="A4" s="286" t="s">
        <v>366</v>
      </c>
      <c r="B4" s="106" t="s">
        <v>312</v>
      </c>
      <c r="C4" s="106" t="s">
        <v>313</v>
      </c>
      <c r="D4" s="286" t="s">
        <v>367</v>
      </c>
      <c r="E4" s="286"/>
      <c r="F4" s="286"/>
      <c r="G4" s="286"/>
      <c r="H4" s="47"/>
    </row>
    <row r="5" spans="1:8" x14ac:dyDescent="0.25">
      <c r="A5" s="305"/>
      <c r="B5" s="3">
        <f>PCR!B6</f>
        <v>46129</v>
      </c>
      <c r="C5" s="3">
        <f>B5</f>
        <v>46129</v>
      </c>
      <c r="D5" s="76" t="s">
        <v>367</v>
      </c>
      <c r="E5" s="76" t="s">
        <v>321</v>
      </c>
      <c r="F5" s="76" t="s">
        <v>368</v>
      </c>
      <c r="G5" s="76" t="s">
        <v>369</v>
      </c>
      <c r="H5" s="48"/>
    </row>
    <row r="6" spans="1:8" x14ac:dyDescent="0.25">
      <c r="A6" s="101" t="str">
        <f>'Data shares'!C2</f>
        <v>360ONE</v>
      </c>
      <c r="B6" s="144">
        <f>VLOOKUP($A6,'Data shares'!$C:$FA,7)</f>
        <v>1113.3</v>
      </c>
      <c r="C6" s="144">
        <f>VLOOKUP($A6,'Data shares'!$C:$FA,3)</f>
        <v>1114.6500000000001</v>
      </c>
      <c r="D6" s="144">
        <f>VLOOKUP($A6,'Data shares'!$C:$FA,23)</f>
        <v>1.35</v>
      </c>
      <c r="E6" s="145">
        <f>VLOOKUP($A6,'Data shares'!$C:$FA,26)*100</f>
        <v>0.12</v>
      </c>
      <c r="F6" s="144">
        <f>VLOOKUP($A6,'Data shares'!$C:$FA,24)</f>
        <v>-1.6</v>
      </c>
      <c r="G6" s="144">
        <f>VLOOKUP($A6,'Data shares'!$C:$FA,25)</f>
        <v>2.95</v>
      </c>
    </row>
    <row r="7" spans="1:8" x14ac:dyDescent="0.25">
      <c r="A7" s="101" t="str">
        <f>'Data shares'!C3</f>
        <v>ABB</v>
      </c>
      <c r="B7" s="144">
        <f>VLOOKUP($A7,'Data shares'!$C:$FA,7)</f>
        <v>7029.5</v>
      </c>
      <c r="C7" s="144">
        <f>VLOOKUP($A7,'Data shares'!$C:$FA,3)</f>
        <v>7037</v>
      </c>
      <c r="D7" s="144">
        <f>VLOOKUP($A7,'Data shares'!$C:$FA,23)</f>
        <v>7.5</v>
      </c>
      <c r="E7" s="145">
        <f>VLOOKUP($A7,'Data shares'!$C:$FA,26)*100</f>
        <v>0.11</v>
      </c>
      <c r="F7" s="144">
        <f>VLOOKUP($A7,'Data shares'!$C:$FA,24)</f>
        <v>1.5</v>
      </c>
      <c r="G7" s="144">
        <f>VLOOKUP($A7,'Data shares'!$C:$FA,25)</f>
        <v>6</v>
      </c>
    </row>
    <row r="8" spans="1:8" x14ac:dyDescent="0.25">
      <c r="A8" s="101" t="str">
        <f>'Data shares'!C4</f>
        <v>ABCAPITAL</v>
      </c>
      <c r="B8" s="144">
        <f>VLOOKUP($A8,'Data shares'!$C:$FA,7)</f>
        <v>340.4</v>
      </c>
      <c r="C8" s="144">
        <f>VLOOKUP($A8,'Data shares'!$C:$FA,3)</f>
        <v>340.8</v>
      </c>
      <c r="D8" s="144">
        <f>VLOOKUP($A8,'Data shares'!$C:$FA,23)</f>
        <v>0.4</v>
      </c>
      <c r="E8" s="145">
        <f>VLOOKUP($A8,'Data shares'!$C:$FA,26)*100</f>
        <v>0.12</v>
      </c>
      <c r="F8" s="144">
        <f>VLOOKUP($A8,'Data shares'!$C:$FA,24)</f>
        <v>0.1</v>
      </c>
      <c r="G8" s="144">
        <f>VLOOKUP($A8,'Data shares'!$C:$FA,25)</f>
        <v>0.3</v>
      </c>
    </row>
    <row r="9" spans="1:8" x14ac:dyDescent="0.25">
      <c r="A9" s="101" t="str">
        <f>'Data shares'!C5</f>
        <v>ADANIENSOL</v>
      </c>
      <c r="B9" s="144">
        <f>VLOOKUP($A9,'Data shares'!$C:$FA,7)</f>
        <v>1259.8</v>
      </c>
      <c r="C9" s="144">
        <f>VLOOKUP($A9,'Data shares'!$C:$FA,3)</f>
        <v>1261.7</v>
      </c>
      <c r="D9" s="144">
        <f>VLOOKUP($A9,'Data shares'!$C:$FA,23)</f>
        <v>1.9</v>
      </c>
      <c r="E9" s="145">
        <f>VLOOKUP($A9,'Data shares'!$C:$FA,26)*100</f>
        <v>0.15</v>
      </c>
      <c r="F9" s="144">
        <f>VLOOKUP($A9,'Data shares'!$C:$FA,24)</f>
        <v>5.15</v>
      </c>
      <c r="G9" s="144">
        <f>VLOOKUP($A9,'Data shares'!$C:$FA,25)</f>
        <v>-3.25</v>
      </c>
    </row>
    <row r="10" spans="1:8" x14ac:dyDescent="0.25">
      <c r="A10" s="101" t="str">
        <f>'Data shares'!C6</f>
        <v>ADANIENT</v>
      </c>
      <c r="B10" s="144">
        <f>VLOOKUP($A10,'Data shares'!$C:$FA,7)</f>
        <v>2218.3000000000002</v>
      </c>
      <c r="C10" s="144">
        <f>VLOOKUP($A10,'Data shares'!$C:$FA,3)</f>
        <v>2224.9</v>
      </c>
      <c r="D10" s="144">
        <f>VLOOKUP($A10,'Data shares'!$C:$FA,23)</f>
        <v>6.6</v>
      </c>
      <c r="E10" s="145">
        <f>VLOOKUP($A10,'Data shares'!$C:$FA,26)*100</f>
        <v>0.3</v>
      </c>
      <c r="F10" s="144">
        <f>VLOOKUP($A10,'Data shares'!$C:$FA,24)</f>
        <v>7.4</v>
      </c>
      <c r="G10" s="144">
        <f>VLOOKUP($A10,'Data shares'!$C:$FA,25)</f>
        <v>-0.8</v>
      </c>
    </row>
    <row r="11" spans="1:8" x14ac:dyDescent="0.25">
      <c r="A11" s="101" t="str">
        <f>'Data shares'!C7</f>
        <v>ADANIGREEN</v>
      </c>
      <c r="B11" s="144">
        <f>VLOOKUP($A11,'Data shares'!$C:$FA,7)</f>
        <v>1127.3</v>
      </c>
      <c r="C11" s="144">
        <f>VLOOKUP($A11,'Data shares'!$C:$FA,3)</f>
        <v>1129.1500000000001</v>
      </c>
      <c r="D11" s="144">
        <f>VLOOKUP($A11,'Data shares'!$C:$FA,23)</f>
        <v>1.85</v>
      </c>
      <c r="E11" s="145">
        <f>VLOOKUP($A11,'Data shares'!$C:$FA,26)*100</f>
        <v>0.16</v>
      </c>
      <c r="F11" s="144">
        <f>VLOOKUP($A11,'Data shares'!$C:$FA,24)</f>
        <v>3.4</v>
      </c>
      <c r="G11" s="144">
        <f>VLOOKUP($A11,'Data shares'!$C:$FA,25)</f>
        <v>-1.55</v>
      </c>
    </row>
    <row r="12" spans="1:8" x14ac:dyDescent="0.25">
      <c r="A12" s="101" t="str">
        <f>'Data shares'!C8</f>
        <v>ADANIPORTS</v>
      </c>
      <c r="B12" s="144">
        <f>VLOOKUP($A12,'Data shares'!$C:$FA,7)</f>
        <v>1573.4</v>
      </c>
      <c r="C12" s="144">
        <f>VLOOKUP($A12,'Data shares'!$C:$FA,3)</f>
        <v>1573.2</v>
      </c>
      <c r="D12" s="144">
        <f>VLOOKUP($A12,'Data shares'!$C:$FA,23)</f>
        <v>-0.2</v>
      </c>
      <c r="E12" s="145">
        <f>VLOOKUP($A12,'Data shares'!$C:$FA,26)*100</f>
        <v>-0.01</v>
      </c>
      <c r="F12" s="144">
        <f>VLOOKUP($A12,'Data shares'!$C:$FA,24)</f>
        <v>0.9</v>
      </c>
      <c r="G12" s="144">
        <f>VLOOKUP($A12,'Data shares'!$C:$FA,25)</f>
        <v>-1.1000000000000001</v>
      </c>
    </row>
    <row r="13" spans="1:8" x14ac:dyDescent="0.25">
      <c r="A13" s="101" t="str">
        <f>'Data shares'!C9</f>
        <v>ADANIPOWER</v>
      </c>
      <c r="B13" s="144">
        <f>VLOOKUP($A13,'Data shares'!$C:$FA,7)</f>
        <v>198.5</v>
      </c>
      <c r="C13" s="144">
        <f>VLOOKUP($A13,'Data shares'!$C:$FA,3)</f>
        <v>199.23</v>
      </c>
      <c r="D13" s="144">
        <f>VLOOKUP($A13,'Data shares'!$C:$FA,23)</f>
        <v>0.73</v>
      </c>
      <c r="E13" s="145">
        <f>VLOOKUP($A13,'Data shares'!$C:$FA,26)*100</f>
        <v>0.37</v>
      </c>
      <c r="F13" s="144">
        <f>VLOOKUP($A13,'Data shares'!$C:$FA,24)</f>
        <v>0.49</v>
      </c>
      <c r="G13" s="144">
        <f>VLOOKUP($A13,'Data shares'!$C:$FA,25)</f>
        <v>0.24</v>
      </c>
    </row>
    <row r="14" spans="1:8" x14ac:dyDescent="0.25">
      <c r="A14" s="101" t="str">
        <f>'Data shares'!C10</f>
        <v>ALKEM</v>
      </c>
      <c r="B14" s="144">
        <f>VLOOKUP($A14,'Data shares'!$C:$FA,7)</f>
        <v>5582</v>
      </c>
      <c r="C14" s="144">
        <f>VLOOKUP($A14,'Data shares'!$C:$FA,3)</f>
        <v>5579</v>
      </c>
      <c r="D14" s="144">
        <f>VLOOKUP($A14,'Data shares'!$C:$FA,23)</f>
        <v>-3</v>
      </c>
      <c r="E14" s="145">
        <f>VLOOKUP($A14,'Data shares'!$C:$FA,26)*100</f>
        <v>-0.05</v>
      </c>
      <c r="F14" s="144">
        <f>VLOOKUP($A14,'Data shares'!$C:$FA,24)</f>
        <v>-4.5</v>
      </c>
      <c r="G14" s="144">
        <f>VLOOKUP($A14,'Data shares'!$C:$FA,25)</f>
        <v>1.5</v>
      </c>
    </row>
    <row r="15" spans="1:8" x14ac:dyDescent="0.25">
      <c r="A15" s="101" t="str">
        <f>'Data shares'!C11</f>
        <v>AMBER</v>
      </c>
      <c r="B15" s="144">
        <f>VLOOKUP($A15,'Data shares'!$C:$FA,7)</f>
        <v>7958.5</v>
      </c>
      <c r="C15" s="144">
        <f>VLOOKUP($A15,'Data shares'!$C:$FA,3)</f>
        <v>7941.5</v>
      </c>
      <c r="D15" s="144">
        <f>VLOOKUP($A15,'Data shares'!$C:$FA,23)</f>
        <v>-17</v>
      </c>
      <c r="E15" s="145">
        <f>VLOOKUP($A15,'Data shares'!$C:$FA,26)*100</f>
        <v>-0.21</v>
      </c>
      <c r="F15" s="144">
        <f>VLOOKUP($A15,'Data shares'!$C:$FA,24)</f>
        <v>20</v>
      </c>
      <c r="G15" s="144">
        <f>VLOOKUP($A15,'Data shares'!$C:$FA,25)</f>
        <v>-37</v>
      </c>
    </row>
    <row r="16" spans="1:8" x14ac:dyDescent="0.25">
      <c r="A16" s="101" t="str">
        <f>'Data shares'!C12</f>
        <v>AMBUJACEM</v>
      </c>
      <c r="B16" s="144">
        <f>VLOOKUP($A16,'Data shares'!$C:$FA,7)</f>
        <v>459</v>
      </c>
      <c r="C16" s="144">
        <f>VLOOKUP($A16,'Data shares'!$C:$FA,3)</f>
        <v>458.8</v>
      </c>
      <c r="D16" s="144">
        <f>VLOOKUP($A16,'Data shares'!$C:$FA,23)</f>
        <v>-0.2</v>
      </c>
      <c r="E16" s="145">
        <f>VLOOKUP($A16,'Data shares'!$C:$FA,26)*100</f>
        <v>-0.04</v>
      </c>
      <c r="F16" s="144">
        <f>VLOOKUP($A16,'Data shares'!$C:$FA,24)</f>
        <v>1.4</v>
      </c>
      <c r="G16" s="144">
        <f>VLOOKUP($A16,'Data shares'!$C:$FA,25)</f>
        <v>-1.6</v>
      </c>
    </row>
    <row r="17" spans="1:7" x14ac:dyDescent="0.25">
      <c r="A17" s="101" t="str">
        <f>'Data shares'!C13</f>
        <v>ANGELONE</v>
      </c>
      <c r="B17" s="144">
        <f>VLOOKUP($A17,'Data shares'!$C:$FA,7)</f>
        <v>322.47000000000003</v>
      </c>
      <c r="C17" s="144">
        <f>VLOOKUP($A17,'Data shares'!$C:$FA,3)</f>
        <v>322.60000000000002</v>
      </c>
      <c r="D17" s="144">
        <f>VLOOKUP($A17,'Data shares'!$C:$FA,23)</f>
        <v>0.13</v>
      </c>
      <c r="E17" s="145">
        <f>VLOOKUP($A17,'Data shares'!$C:$FA,26)*100</f>
        <v>0.04</v>
      </c>
      <c r="F17" s="144">
        <f>VLOOKUP($A17,'Data shares'!$C:$FA,24)</f>
        <v>-2.81</v>
      </c>
      <c r="G17" s="144">
        <f>VLOOKUP($A17,'Data shares'!$C:$FA,25)</f>
        <v>2.94</v>
      </c>
    </row>
    <row r="18" spans="1:7" x14ac:dyDescent="0.25">
      <c r="A18" s="101" t="str">
        <f>'Data shares'!C14</f>
        <v>APLAPOLLO</v>
      </c>
      <c r="B18" s="144">
        <f>VLOOKUP($A18,'Data shares'!$C:$FA,7)</f>
        <v>2105.6999999999998</v>
      </c>
      <c r="C18" s="144">
        <f>VLOOKUP($A18,'Data shares'!$C:$FA,3)</f>
        <v>2105.9</v>
      </c>
      <c r="D18" s="144">
        <f>VLOOKUP($A18,'Data shares'!$C:$FA,23)</f>
        <v>0.2</v>
      </c>
      <c r="E18" s="145">
        <f>VLOOKUP($A18,'Data shares'!$C:$FA,26)*100</f>
        <v>0.01</v>
      </c>
      <c r="F18" s="144">
        <f>VLOOKUP($A18,'Data shares'!$C:$FA,24)</f>
        <v>7.8</v>
      </c>
      <c r="G18" s="144">
        <f>VLOOKUP($A18,'Data shares'!$C:$FA,25)</f>
        <v>-7.6</v>
      </c>
    </row>
    <row r="19" spans="1:7" x14ac:dyDescent="0.25">
      <c r="A19" s="101" t="str">
        <f>'Data shares'!C15</f>
        <v>APOLLOHOSP</v>
      </c>
      <c r="B19" s="144">
        <f>VLOOKUP($A19,'Data shares'!$C:$FA,7)</f>
        <v>7699</v>
      </c>
      <c r="C19" s="144">
        <f>VLOOKUP($A19,'Data shares'!$C:$FA,3)</f>
        <v>7698</v>
      </c>
      <c r="D19" s="144">
        <f>VLOOKUP($A19,'Data shares'!$C:$FA,23)</f>
        <v>-1</v>
      </c>
      <c r="E19" s="145">
        <f>VLOOKUP($A19,'Data shares'!$C:$FA,26)*100</f>
        <v>-0.01</v>
      </c>
      <c r="F19" s="144">
        <f>VLOOKUP($A19,'Data shares'!$C:$FA,24)</f>
        <v>3</v>
      </c>
      <c r="G19" s="144">
        <f>VLOOKUP($A19,'Data shares'!$C:$FA,25)</f>
        <v>-4</v>
      </c>
    </row>
    <row r="20" spans="1:7" x14ac:dyDescent="0.25">
      <c r="A20" s="101" t="str">
        <f>'Data shares'!C16</f>
        <v>ASHOKLEY</v>
      </c>
      <c r="B20" s="144">
        <f>VLOOKUP($A20,'Data shares'!$C:$FA,7)</f>
        <v>174.78</v>
      </c>
      <c r="C20" s="144">
        <f>VLOOKUP($A20,'Data shares'!$C:$FA,3)</f>
        <v>174.97</v>
      </c>
      <c r="D20" s="144">
        <f>VLOOKUP($A20,'Data shares'!$C:$FA,23)</f>
        <v>0.19</v>
      </c>
      <c r="E20" s="145">
        <f>VLOOKUP($A20,'Data shares'!$C:$FA,26)*100</f>
        <v>0.11</v>
      </c>
      <c r="F20" s="144">
        <f>VLOOKUP($A20,'Data shares'!$C:$FA,24)</f>
        <v>-0.43</v>
      </c>
      <c r="G20" s="144">
        <f>VLOOKUP($A20,'Data shares'!$C:$FA,25)</f>
        <v>0.62</v>
      </c>
    </row>
    <row r="21" spans="1:7" x14ac:dyDescent="0.25">
      <c r="A21" s="101" t="str">
        <f>'Data shares'!C17</f>
        <v>ASIANPAINT</v>
      </c>
      <c r="B21" s="144">
        <f>VLOOKUP($A21,'Data shares'!$C:$FA,7)</f>
        <v>2464</v>
      </c>
      <c r="C21" s="144">
        <f>VLOOKUP($A21,'Data shares'!$C:$FA,3)</f>
        <v>2464.3000000000002</v>
      </c>
      <c r="D21" s="144">
        <f>VLOOKUP($A21,'Data shares'!$C:$FA,23)</f>
        <v>0.3</v>
      </c>
      <c r="E21" s="145">
        <f>VLOOKUP($A21,'Data shares'!$C:$FA,26)*100</f>
        <v>0.01</v>
      </c>
      <c r="F21" s="144">
        <f>VLOOKUP($A21,'Data shares'!$C:$FA,24)</f>
        <v>2.1</v>
      </c>
      <c r="G21" s="144">
        <f>VLOOKUP($A21,'Data shares'!$C:$FA,25)</f>
        <v>-1.8</v>
      </c>
    </row>
    <row r="22" spans="1:7" x14ac:dyDescent="0.25">
      <c r="A22" s="101" t="str">
        <f>'Data shares'!C18</f>
        <v>ASTRAL</v>
      </c>
      <c r="B22" s="144">
        <f>VLOOKUP($A22,'Data shares'!$C:$FA,7)</f>
        <v>1605</v>
      </c>
      <c r="C22" s="144">
        <f>VLOOKUP($A22,'Data shares'!$C:$FA,3)</f>
        <v>1544.7</v>
      </c>
      <c r="D22" s="144">
        <f>VLOOKUP($A22,'Data shares'!$C:$FA,23)</f>
        <v>-60.3</v>
      </c>
      <c r="E22" s="145">
        <f>VLOOKUP($A22,'Data shares'!$C:$FA,26)*100</f>
        <v>-3.7600000000000002</v>
      </c>
      <c r="F22" s="144">
        <f>VLOOKUP($A22,'Data shares'!$C:$FA,24)</f>
        <v>-53.2</v>
      </c>
      <c r="G22" s="144">
        <f>VLOOKUP($A22,'Data shares'!$C:$FA,25)</f>
        <v>-7.1</v>
      </c>
    </row>
    <row r="23" spans="1:7" x14ac:dyDescent="0.25">
      <c r="A23" s="101" t="str">
        <f>'Data shares'!C19</f>
        <v>AUBANK</v>
      </c>
      <c r="B23" s="144">
        <f>VLOOKUP($A23,'Data shares'!$C:$FA,7)</f>
        <v>990.6</v>
      </c>
      <c r="C23" s="144">
        <f>VLOOKUP($A23,'Data shares'!$C:$FA,3)</f>
        <v>993.2</v>
      </c>
      <c r="D23" s="144">
        <f>VLOOKUP($A23,'Data shares'!$C:$FA,23)</f>
        <v>2.6</v>
      </c>
      <c r="E23" s="145">
        <f>VLOOKUP($A23,'Data shares'!$C:$FA,26)*100</f>
        <v>0.26</v>
      </c>
      <c r="F23" s="144">
        <f>VLOOKUP($A23,'Data shares'!$C:$FA,24)</f>
        <v>3.05</v>
      </c>
      <c r="G23" s="144">
        <f>VLOOKUP($A23,'Data shares'!$C:$FA,25)</f>
        <v>-0.45</v>
      </c>
    </row>
    <row r="24" spans="1:7" x14ac:dyDescent="0.25">
      <c r="A24" s="101" t="str">
        <f>'Data shares'!C20</f>
        <v>AUROPHARMA</v>
      </c>
      <c r="B24" s="144">
        <f>VLOOKUP($A24,'Data shares'!$C:$FA,7)</f>
        <v>1386</v>
      </c>
      <c r="C24" s="144">
        <f>VLOOKUP($A24,'Data shares'!$C:$FA,3)</f>
        <v>1388.6</v>
      </c>
      <c r="D24" s="144">
        <f>VLOOKUP($A24,'Data shares'!$C:$FA,23)</f>
        <v>2.6</v>
      </c>
      <c r="E24" s="145">
        <f>VLOOKUP($A24,'Data shares'!$C:$FA,26)*100</f>
        <v>0.19</v>
      </c>
      <c r="F24" s="144">
        <f>VLOOKUP($A24,'Data shares'!$C:$FA,24)</f>
        <v>-1.1000000000000001</v>
      </c>
      <c r="G24" s="144">
        <f>VLOOKUP($A24,'Data shares'!$C:$FA,25)</f>
        <v>3.7</v>
      </c>
    </row>
    <row r="25" spans="1:7" x14ac:dyDescent="0.25">
      <c r="A25" s="101" t="str">
        <f>'Data shares'!C21</f>
        <v>AXISBANK</v>
      </c>
      <c r="B25" s="144">
        <f>VLOOKUP($A25,'Data shares'!$C:$FA,7)</f>
        <v>1359.1</v>
      </c>
      <c r="C25" s="144">
        <f>VLOOKUP($A25,'Data shares'!$C:$FA,3)</f>
        <v>1363.3</v>
      </c>
      <c r="D25" s="144">
        <f>VLOOKUP($A25,'Data shares'!$C:$FA,23)</f>
        <v>4.2</v>
      </c>
      <c r="E25" s="145">
        <f>VLOOKUP($A25,'Data shares'!$C:$FA,26)*100</f>
        <v>0.31</v>
      </c>
      <c r="F25" s="144">
        <f>VLOOKUP($A25,'Data shares'!$C:$FA,24)</f>
        <v>0.8</v>
      </c>
      <c r="G25" s="144">
        <f>VLOOKUP($A25,'Data shares'!$C:$FA,25)</f>
        <v>3.4</v>
      </c>
    </row>
    <row r="26" spans="1:7" x14ac:dyDescent="0.25">
      <c r="A26" s="101" t="str">
        <f>'Data shares'!C22</f>
        <v>BAJAJ-AUTO</v>
      </c>
      <c r="B26" s="144">
        <f>VLOOKUP($A26,'Data shares'!$C:$FA,7)</f>
        <v>9773.5</v>
      </c>
      <c r="C26" s="144">
        <f>VLOOKUP($A26,'Data shares'!$C:$FA,3)</f>
        <v>9761.5</v>
      </c>
      <c r="D26" s="144">
        <f>VLOOKUP($A26,'Data shares'!$C:$FA,23)</f>
        <v>-12</v>
      </c>
      <c r="E26" s="145">
        <f>VLOOKUP($A26,'Data shares'!$C:$FA,26)*100</f>
        <v>-0.12</v>
      </c>
      <c r="F26" s="144">
        <f>VLOOKUP($A26,'Data shares'!$C:$FA,24)</f>
        <v>28</v>
      </c>
      <c r="G26" s="144">
        <f>VLOOKUP($A26,'Data shares'!$C:$FA,25)</f>
        <v>-40</v>
      </c>
    </row>
    <row r="27" spans="1:7" x14ac:dyDescent="0.25">
      <c r="A27" s="101" t="str">
        <f>'Data shares'!C23</f>
        <v>BAJAJFINSV</v>
      </c>
      <c r="B27" s="144">
        <f>VLOOKUP($A27,'Data shares'!$C:$FA,7)</f>
        <v>1838.9</v>
      </c>
      <c r="C27" s="144">
        <f>VLOOKUP($A27,'Data shares'!$C:$FA,3)</f>
        <v>1839.4</v>
      </c>
      <c r="D27" s="144">
        <f>VLOOKUP($A27,'Data shares'!$C:$FA,23)</f>
        <v>0.5</v>
      </c>
      <c r="E27" s="145">
        <f>VLOOKUP($A27,'Data shares'!$C:$FA,26)*100</f>
        <v>0.03</v>
      </c>
      <c r="F27" s="144">
        <f>VLOOKUP($A27,'Data shares'!$C:$FA,24)</f>
        <v>-0.1</v>
      </c>
      <c r="G27" s="144">
        <f>VLOOKUP($A27,'Data shares'!$C:$FA,25)</f>
        <v>0.6</v>
      </c>
    </row>
    <row r="28" spans="1:7" x14ac:dyDescent="0.25">
      <c r="A28" s="101" t="str">
        <f>'Data shares'!C24</f>
        <v>BAJAJHLDNG</v>
      </c>
      <c r="B28" s="144">
        <f>VLOOKUP($A28,'Data shares'!$C:$FA,7)</f>
        <v>10355.5</v>
      </c>
      <c r="C28" s="144">
        <f>VLOOKUP($A28,'Data shares'!$C:$FA,3)</f>
        <v>10358</v>
      </c>
      <c r="D28" s="144">
        <f>VLOOKUP($A28,'Data shares'!$C:$FA,23)</f>
        <v>2.5</v>
      </c>
      <c r="E28" s="145">
        <f>VLOOKUP($A28,'Data shares'!$C:$FA,26)*100</f>
        <v>0.02</v>
      </c>
      <c r="F28" s="144">
        <f>VLOOKUP($A28,'Data shares'!$C:$FA,24)</f>
        <v>1.5</v>
      </c>
      <c r="G28" s="144">
        <f>VLOOKUP($A28,'Data shares'!$C:$FA,25)</f>
        <v>1</v>
      </c>
    </row>
    <row r="29" spans="1:7" x14ac:dyDescent="0.25">
      <c r="A29" s="101" t="str">
        <f>'Data shares'!C25</f>
        <v>BAJFINANCE</v>
      </c>
      <c r="B29" s="144">
        <f>VLOOKUP($A29,'Data shares'!$C:$FA,7)</f>
        <v>908.25</v>
      </c>
      <c r="C29" s="144">
        <f>VLOOKUP($A29,'Data shares'!$C:$FA,3)</f>
        <v>910.95</v>
      </c>
      <c r="D29" s="144">
        <f>VLOOKUP($A29,'Data shares'!$C:$FA,23)</f>
        <v>2.7</v>
      </c>
      <c r="E29" s="145">
        <f>VLOOKUP($A29,'Data shares'!$C:$FA,26)*100</f>
        <v>0.3</v>
      </c>
      <c r="F29" s="144">
        <f>VLOOKUP($A29,'Data shares'!$C:$FA,24)</f>
        <v>2.95</v>
      </c>
      <c r="G29" s="144">
        <f>VLOOKUP($A29,'Data shares'!$C:$FA,25)</f>
        <v>-0.25</v>
      </c>
    </row>
    <row r="30" spans="1:7" x14ac:dyDescent="0.25">
      <c r="A30" s="101" t="str">
        <f>'Data shares'!C26</f>
        <v>BANDHANBNK</v>
      </c>
      <c r="B30" s="144">
        <f>VLOOKUP($A30,'Data shares'!$C:$FA,7)</f>
        <v>174.47</v>
      </c>
      <c r="C30" s="144">
        <f>VLOOKUP($A30,'Data shares'!$C:$FA,3)</f>
        <v>175.02</v>
      </c>
      <c r="D30" s="144">
        <f>VLOOKUP($A30,'Data shares'!$C:$FA,23)</f>
        <v>0.55000000000000004</v>
      </c>
      <c r="E30" s="145">
        <f>VLOOKUP($A30,'Data shares'!$C:$FA,26)*100</f>
        <v>0.32</v>
      </c>
      <c r="F30" s="144">
        <f>VLOOKUP($A30,'Data shares'!$C:$FA,24)</f>
        <v>0.17</v>
      </c>
      <c r="G30" s="144">
        <f>VLOOKUP($A30,'Data shares'!$C:$FA,25)</f>
        <v>0.38</v>
      </c>
    </row>
    <row r="31" spans="1:7" x14ac:dyDescent="0.25">
      <c r="A31" s="101" t="str">
        <f>'Data shares'!C27</f>
        <v>BANKBARODA</v>
      </c>
      <c r="B31" s="144">
        <f>VLOOKUP($A31,'Data shares'!$C:$FA,7)</f>
        <v>280.44</v>
      </c>
      <c r="C31" s="144">
        <f>VLOOKUP($A31,'Data shares'!$C:$FA,3)</f>
        <v>281.16000000000003</v>
      </c>
      <c r="D31" s="144">
        <f>VLOOKUP($A31,'Data shares'!$C:$FA,23)</f>
        <v>0.72</v>
      </c>
      <c r="E31" s="145">
        <f>VLOOKUP($A31,'Data shares'!$C:$FA,26)*100</f>
        <v>0.26</v>
      </c>
      <c r="F31" s="144">
        <f>VLOOKUP($A31,'Data shares'!$C:$FA,24)</f>
        <v>0.23</v>
      </c>
      <c r="G31" s="144">
        <f>VLOOKUP($A31,'Data shares'!$C:$FA,25)</f>
        <v>0.49</v>
      </c>
    </row>
    <row r="32" spans="1:7" x14ac:dyDescent="0.25">
      <c r="A32" s="101" t="str">
        <f>'Data shares'!C28</f>
        <v>BANKINDIA</v>
      </c>
      <c r="B32" s="144">
        <f>VLOOKUP($A32,'Data shares'!$C:$FA,7)</f>
        <v>148.1</v>
      </c>
      <c r="C32" s="144">
        <f>VLOOKUP($A32,'Data shares'!$C:$FA,3)</f>
        <v>148.28</v>
      </c>
      <c r="D32" s="144">
        <f>VLOOKUP($A32,'Data shares'!$C:$FA,23)</f>
        <v>0.18</v>
      </c>
      <c r="E32" s="145">
        <f>VLOOKUP($A32,'Data shares'!$C:$FA,26)*100</f>
        <v>0.12</v>
      </c>
      <c r="F32" s="144">
        <f>VLOOKUP($A32,'Data shares'!$C:$FA,24)</f>
        <v>0.34</v>
      </c>
      <c r="G32" s="144">
        <f>VLOOKUP($A32,'Data shares'!$C:$FA,25)</f>
        <v>-0.16</v>
      </c>
    </row>
    <row r="33" spans="1:7" x14ac:dyDescent="0.25">
      <c r="A33" s="101" t="str">
        <f>'Data shares'!C29</f>
        <v>BANKNIFTY</v>
      </c>
      <c r="B33" s="144">
        <f>VLOOKUP($A33,'Data shares'!$C:$FA,7)</f>
        <v>56565.7</v>
      </c>
      <c r="C33" s="144">
        <f>VLOOKUP($A33,'Data shares'!$C:$FA,3)</f>
        <v>56666.8</v>
      </c>
      <c r="D33" s="144">
        <f>VLOOKUP($A33,'Data shares'!$C:$FA,23)</f>
        <v>101.1</v>
      </c>
      <c r="E33" s="145">
        <f>VLOOKUP($A33,'Data shares'!$C:$FA,26)*100</f>
        <v>0.18</v>
      </c>
      <c r="F33" s="144">
        <f>VLOOKUP($A33,'Data shares'!$C:$FA,24)</f>
        <v>122.8</v>
      </c>
      <c r="G33" s="144">
        <f>VLOOKUP($A33,'Data shares'!$C:$FA,25)</f>
        <v>-21.7</v>
      </c>
    </row>
    <row r="34" spans="1:7" x14ac:dyDescent="0.25">
      <c r="A34" s="101" t="str">
        <f>'Data shares'!C30</f>
        <v>BDL</v>
      </c>
      <c r="B34" s="144">
        <f>VLOOKUP($A34,'Data shares'!$C:$FA,7)</f>
        <v>1380.7</v>
      </c>
      <c r="C34" s="144">
        <f>VLOOKUP($A34,'Data shares'!$C:$FA,3)</f>
        <v>1380.8</v>
      </c>
      <c r="D34" s="144">
        <f>VLOOKUP($A34,'Data shares'!$C:$FA,23)</f>
        <v>0.1</v>
      </c>
      <c r="E34" s="145">
        <f>VLOOKUP($A34,'Data shares'!$C:$FA,26)*100</f>
        <v>0.01</v>
      </c>
      <c r="F34" s="144">
        <f>VLOOKUP($A34,'Data shares'!$C:$FA,24)</f>
        <v>0.3</v>
      </c>
      <c r="G34" s="144">
        <f>VLOOKUP($A34,'Data shares'!$C:$FA,25)</f>
        <v>-0.2</v>
      </c>
    </row>
    <row r="35" spans="1:7" x14ac:dyDescent="0.25">
      <c r="A35" s="101" t="str">
        <f>'Data shares'!C31</f>
        <v>BEL</v>
      </c>
      <c r="B35" s="144">
        <f>VLOOKUP($A35,'Data shares'!$C:$FA,7)</f>
        <v>462.75</v>
      </c>
      <c r="C35" s="144">
        <f>VLOOKUP($A35,'Data shares'!$C:$FA,3)</f>
        <v>462.9</v>
      </c>
      <c r="D35" s="144">
        <f>VLOOKUP($A35,'Data shares'!$C:$FA,23)</f>
        <v>0.15</v>
      </c>
      <c r="E35" s="145">
        <f>VLOOKUP($A35,'Data shares'!$C:$FA,26)*100</f>
        <v>0.03</v>
      </c>
      <c r="F35" s="144">
        <f>VLOOKUP($A35,'Data shares'!$C:$FA,24)</f>
        <v>0.9</v>
      </c>
      <c r="G35" s="144">
        <f>VLOOKUP($A35,'Data shares'!$C:$FA,25)</f>
        <v>-0.75</v>
      </c>
    </row>
    <row r="36" spans="1:7" x14ac:dyDescent="0.25">
      <c r="A36" s="101" t="str">
        <f>'Data shares'!C32</f>
        <v>BHARATFORG</v>
      </c>
      <c r="B36" s="144">
        <f>VLOOKUP($A36,'Data shares'!$C:$FA,7)</f>
        <v>1860.5</v>
      </c>
      <c r="C36" s="144">
        <f>VLOOKUP($A36,'Data shares'!$C:$FA,3)</f>
        <v>1858.1</v>
      </c>
      <c r="D36" s="144">
        <f>VLOOKUP($A36,'Data shares'!$C:$FA,23)</f>
        <v>-2.4</v>
      </c>
      <c r="E36" s="145">
        <f>VLOOKUP($A36,'Data shares'!$C:$FA,26)*100</f>
        <v>-0.13</v>
      </c>
      <c r="F36" s="144">
        <f>VLOOKUP($A36,'Data shares'!$C:$FA,24)</f>
        <v>-8.5</v>
      </c>
      <c r="G36" s="144">
        <f>VLOOKUP($A36,'Data shares'!$C:$FA,25)</f>
        <v>6.1</v>
      </c>
    </row>
    <row r="37" spans="1:7" x14ac:dyDescent="0.25">
      <c r="A37" s="101" t="str">
        <f>'Data shares'!C33</f>
        <v>BHARTIARTL</v>
      </c>
      <c r="B37" s="144">
        <f>VLOOKUP($A37,'Data shares'!$C:$FA,7)</f>
        <v>1846.9</v>
      </c>
      <c r="C37" s="144">
        <f>VLOOKUP($A37,'Data shares'!$C:$FA,3)</f>
        <v>1849</v>
      </c>
      <c r="D37" s="144">
        <f>VLOOKUP($A37,'Data shares'!$C:$FA,23)</f>
        <v>2.1</v>
      </c>
      <c r="E37" s="145">
        <f>VLOOKUP($A37,'Data shares'!$C:$FA,26)*100</f>
        <v>0.11</v>
      </c>
      <c r="F37" s="144">
        <f>VLOOKUP($A37,'Data shares'!$C:$FA,24)</f>
        <v>3.4</v>
      </c>
      <c r="G37" s="144">
        <f>VLOOKUP($A37,'Data shares'!$C:$FA,25)</f>
        <v>-1.3</v>
      </c>
    </row>
    <row r="38" spans="1:7" x14ac:dyDescent="0.25">
      <c r="A38" s="101" t="str">
        <f>'Data shares'!C34</f>
        <v>BHEL</v>
      </c>
      <c r="B38" s="144">
        <f>VLOOKUP($A38,'Data shares'!$C:$FA,7)</f>
        <v>316.79000000000002</v>
      </c>
      <c r="C38" s="144">
        <f>VLOOKUP($A38,'Data shares'!$C:$FA,3)</f>
        <v>317.22000000000003</v>
      </c>
      <c r="D38" s="144">
        <f>VLOOKUP($A38,'Data shares'!$C:$FA,23)</f>
        <v>0.43</v>
      </c>
      <c r="E38" s="145">
        <f>VLOOKUP($A38,'Data shares'!$C:$FA,26)*100</f>
        <v>0.13999999999999999</v>
      </c>
      <c r="F38" s="144">
        <f>VLOOKUP($A38,'Data shares'!$C:$FA,24)</f>
        <v>0.72</v>
      </c>
      <c r="G38" s="144">
        <f>VLOOKUP($A38,'Data shares'!$C:$FA,25)</f>
        <v>-0.28999999999999998</v>
      </c>
    </row>
    <row r="39" spans="1:7" x14ac:dyDescent="0.25">
      <c r="A39" s="101" t="str">
        <f>'Data shares'!C35</f>
        <v>BIOCON</v>
      </c>
      <c r="B39" s="144">
        <f>VLOOKUP($A39,'Data shares'!$C:$FA,7)</f>
        <v>358.1</v>
      </c>
      <c r="C39" s="144">
        <f>VLOOKUP($A39,'Data shares'!$C:$FA,3)</f>
        <v>358.45</v>
      </c>
      <c r="D39" s="144">
        <f>VLOOKUP($A39,'Data shares'!$C:$FA,23)</f>
        <v>0.35</v>
      </c>
      <c r="E39" s="145">
        <f>VLOOKUP($A39,'Data shares'!$C:$FA,26)*100</f>
        <v>0.1</v>
      </c>
      <c r="F39" s="144">
        <f>VLOOKUP($A39,'Data shares'!$C:$FA,24)</f>
        <v>0.05</v>
      </c>
      <c r="G39" s="144">
        <f>VLOOKUP($A39,'Data shares'!$C:$FA,25)</f>
        <v>0.3</v>
      </c>
    </row>
    <row r="40" spans="1:7" x14ac:dyDescent="0.25">
      <c r="A40" s="101" t="str">
        <f>'Data shares'!C36</f>
        <v>BLUESTARCO</v>
      </c>
      <c r="B40" s="144">
        <f>VLOOKUP($A40,'Data shares'!$C:$FA,7)</f>
        <v>1866.1</v>
      </c>
      <c r="C40" s="144">
        <f>VLOOKUP($A40,'Data shares'!$C:$FA,3)</f>
        <v>1856.5</v>
      </c>
      <c r="D40" s="144">
        <f>VLOOKUP($A40,'Data shares'!$C:$FA,23)</f>
        <v>-9.6</v>
      </c>
      <c r="E40" s="145">
        <f>VLOOKUP($A40,'Data shares'!$C:$FA,26)*100</f>
        <v>-0.51</v>
      </c>
      <c r="F40" s="144">
        <f>VLOOKUP($A40,'Data shares'!$C:$FA,24)</f>
        <v>-9.8000000000000007</v>
      </c>
      <c r="G40" s="144">
        <f>VLOOKUP($A40,'Data shares'!$C:$FA,25)</f>
        <v>0.2</v>
      </c>
    </row>
    <row r="41" spans="1:7" x14ac:dyDescent="0.25">
      <c r="A41" s="101" t="str">
        <f>'Data shares'!C37</f>
        <v>BOSCHLTD</v>
      </c>
      <c r="B41" s="144">
        <f>VLOOKUP($A41,'Data shares'!$C:$FA,7)</f>
        <v>37505</v>
      </c>
      <c r="C41" s="144">
        <f>VLOOKUP($A41,'Data shares'!$C:$FA,3)</f>
        <v>37580</v>
      </c>
      <c r="D41" s="144">
        <f>VLOOKUP($A41,'Data shares'!$C:$FA,23)</f>
        <v>75</v>
      </c>
      <c r="E41" s="145">
        <f>VLOOKUP($A41,'Data shares'!$C:$FA,26)*100</f>
        <v>0.2</v>
      </c>
      <c r="F41" s="144">
        <f>VLOOKUP($A41,'Data shares'!$C:$FA,24)</f>
        <v>130</v>
      </c>
      <c r="G41" s="144">
        <f>VLOOKUP($A41,'Data shares'!$C:$FA,25)</f>
        <v>-55</v>
      </c>
    </row>
    <row r="42" spans="1:7" x14ac:dyDescent="0.25">
      <c r="A42" s="101" t="str">
        <f>'Data shares'!C38</f>
        <v>BPCL</v>
      </c>
      <c r="B42" s="144">
        <f>VLOOKUP($A42,'Data shares'!$C:$FA,7)</f>
        <v>312.10000000000002</v>
      </c>
      <c r="C42" s="144">
        <f>VLOOKUP($A42,'Data shares'!$C:$FA,3)</f>
        <v>313.05</v>
      </c>
      <c r="D42" s="144">
        <f>VLOOKUP($A42,'Data shares'!$C:$FA,23)</f>
        <v>0.95</v>
      </c>
      <c r="E42" s="145">
        <f>VLOOKUP($A42,'Data shares'!$C:$FA,26)*100</f>
        <v>0.3</v>
      </c>
      <c r="F42" s="144">
        <f>VLOOKUP($A42,'Data shares'!$C:$FA,24)</f>
        <v>0.9</v>
      </c>
      <c r="G42" s="144">
        <f>VLOOKUP($A42,'Data shares'!$C:$FA,25)</f>
        <v>0.05</v>
      </c>
    </row>
    <row r="43" spans="1:7" x14ac:dyDescent="0.25">
      <c r="A43" s="101" t="str">
        <f>'Data shares'!C39</f>
        <v>BRITANNIA</v>
      </c>
      <c r="B43" s="144">
        <f>VLOOKUP($A43,'Data shares'!$C:$FA,7)</f>
        <v>5735.5</v>
      </c>
      <c r="C43" s="144">
        <f>VLOOKUP($A43,'Data shares'!$C:$FA,3)</f>
        <v>5737.5</v>
      </c>
      <c r="D43" s="144">
        <f>VLOOKUP($A43,'Data shares'!$C:$FA,23)</f>
        <v>2</v>
      </c>
      <c r="E43" s="145">
        <f>VLOOKUP($A43,'Data shares'!$C:$FA,26)*100</f>
        <v>0.03</v>
      </c>
      <c r="F43" s="144">
        <f>VLOOKUP($A43,'Data shares'!$C:$FA,24)</f>
        <v>2</v>
      </c>
      <c r="G43" s="144">
        <f>VLOOKUP($A43,'Data shares'!$C:$FA,25)</f>
        <v>0</v>
      </c>
    </row>
    <row r="44" spans="1:7" x14ac:dyDescent="0.25">
      <c r="A44" s="101" t="str">
        <f>'Data shares'!C40</f>
        <v>BSE</v>
      </c>
      <c r="B44" s="144">
        <f>VLOOKUP($A44,'Data shares'!$C:$FA,7)</f>
        <v>3531.5</v>
      </c>
      <c r="C44" s="144">
        <f>VLOOKUP($A44,'Data shares'!$C:$FA,3)</f>
        <v>3540.9</v>
      </c>
      <c r="D44" s="144">
        <f>VLOOKUP($A44,'Data shares'!$C:$FA,23)</f>
        <v>9.4</v>
      </c>
      <c r="E44" s="145">
        <f>VLOOKUP($A44,'Data shares'!$C:$FA,26)*100</f>
        <v>0.27</v>
      </c>
      <c r="F44" s="144">
        <f>VLOOKUP($A44,'Data shares'!$C:$FA,24)</f>
        <v>-3.4</v>
      </c>
      <c r="G44" s="144">
        <f>VLOOKUP($A44,'Data shares'!$C:$FA,25)</f>
        <v>12.8</v>
      </c>
    </row>
    <row r="45" spans="1:7" x14ac:dyDescent="0.25">
      <c r="A45" s="101" t="str">
        <f>'Data shares'!C41</f>
        <v>CAMS</v>
      </c>
      <c r="B45" s="144">
        <f>VLOOKUP($A45,'Data shares'!$C:$FA,7)</f>
        <v>750.15</v>
      </c>
      <c r="C45" s="144">
        <f>VLOOKUP($A45,'Data shares'!$C:$FA,3)</f>
        <v>752.35</v>
      </c>
      <c r="D45" s="144">
        <f>VLOOKUP($A45,'Data shares'!$C:$FA,23)</f>
        <v>2.2000000000000002</v>
      </c>
      <c r="E45" s="145">
        <f>VLOOKUP($A45,'Data shares'!$C:$FA,26)*100</f>
        <v>0.28999999999999998</v>
      </c>
      <c r="F45" s="144">
        <f>VLOOKUP($A45,'Data shares'!$C:$FA,24)</f>
        <v>-0.3</v>
      </c>
      <c r="G45" s="144">
        <f>VLOOKUP($A45,'Data shares'!$C:$FA,25)</f>
        <v>2.5</v>
      </c>
    </row>
    <row r="46" spans="1:7" x14ac:dyDescent="0.25">
      <c r="A46" s="101" t="str">
        <f>'Data shares'!C42</f>
        <v>CANBK</v>
      </c>
      <c r="B46" s="144">
        <f>VLOOKUP($A46,'Data shares'!$C:$FA,7)</f>
        <v>142.37</v>
      </c>
      <c r="C46" s="144">
        <f>VLOOKUP($A46,'Data shares'!$C:$FA,3)</f>
        <v>142.61000000000001</v>
      </c>
      <c r="D46" s="144">
        <f>VLOOKUP($A46,'Data shares'!$C:$FA,23)</f>
        <v>0.24</v>
      </c>
      <c r="E46" s="145">
        <f>VLOOKUP($A46,'Data shares'!$C:$FA,26)*100</f>
        <v>0.16999999999999998</v>
      </c>
      <c r="F46" s="144">
        <f>VLOOKUP($A46,'Data shares'!$C:$FA,24)</f>
        <v>0.43</v>
      </c>
      <c r="G46" s="144">
        <f>VLOOKUP($A46,'Data shares'!$C:$FA,25)</f>
        <v>-0.19</v>
      </c>
    </row>
    <row r="47" spans="1:7" x14ac:dyDescent="0.25">
      <c r="A47" s="101" t="str">
        <f>'Data shares'!C43</f>
        <v>CDSL</v>
      </c>
      <c r="B47" s="144">
        <f>VLOOKUP($A47,'Data shares'!$C:$FA,7)</f>
        <v>1393.2</v>
      </c>
      <c r="C47" s="144">
        <f>VLOOKUP($A47,'Data shares'!$C:$FA,3)</f>
        <v>1396.1</v>
      </c>
      <c r="D47" s="144">
        <f>VLOOKUP($A47,'Data shares'!$C:$FA,23)</f>
        <v>2.9</v>
      </c>
      <c r="E47" s="145">
        <f>VLOOKUP($A47,'Data shares'!$C:$FA,26)*100</f>
        <v>0.21</v>
      </c>
      <c r="F47" s="144">
        <f>VLOOKUP($A47,'Data shares'!$C:$FA,24)</f>
        <v>4.5</v>
      </c>
      <c r="G47" s="144">
        <f>VLOOKUP($A47,'Data shares'!$C:$FA,25)</f>
        <v>-1.6</v>
      </c>
    </row>
    <row r="48" spans="1:7" x14ac:dyDescent="0.25">
      <c r="A48" s="101" t="str">
        <f>'Data shares'!C44</f>
        <v>CGPOWER</v>
      </c>
      <c r="B48" s="144">
        <f>VLOOKUP($A48,'Data shares'!$C:$FA,7)</f>
        <v>774.8</v>
      </c>
      <c r="C48" s="144">
        <f>VLOOKUP($A48,'Data shares'!$C:$FA,3)</f>
        <v>774.65</v>
      </c>
      <c r="D48" s="144">
        <f>VLOOKUP($A48,'Data shares'!$C:$FA,23)</f>
        <v>-0.15</v>
      </c>
      <c r="E48" s="145">
        <f>VLOOKUP($A48,'Data shares'!$C:$FA,26)*100</f>
        <v>-0.02</v>
      </c>
      <c r="F48" s="144">
        <f>VLOOKUP($A48,'Data shares'!$C:$FA,24)</f>
        <v>1.95</v>
      </c>
      <c r="G48" s="144">
        <f>VLOOKUP($A48,'Data shares'!$C:$FA,25)</f>
        <v>-2.1</v>
      </c>
    </row>
    <row r="49" spans="1:7" x14ac:dyDescent="0.25">
      <c r="A49" s="101" t="str">
        <f>'Data shares'!C45</f>
        <v>CHOLAFIN</v>
      </c>
      <c r="B49" s="144">
        <f>VLOOKUP($A49,'Data shares'!$C:$FA,7)</f>
        <v>1579</v>
      </c>
      <c r="C49" s="144">
        <f>VLOOKUP($A49,'Data shares'!$C:$FA,3)</f>
        <v>1578.4</v>
      </c>
      <c r="D49" s="144">
        <f>VLOOKUP($A49,'Data shares'!$C:$FA,23)</f>
        <v>-0.6</v>
      </c>
      <c r="E49" s="145">
        <f>VLOOKUP($A49,'Data shares'!$C:$FA,26)*100</f>
        <v>-0.04</v>
      </c>
      <c r="F49" s="144">
        <f>VLOOKUP($A49,'Data shares'!$C:$FA,24)</f>
        <v>2.2000000000000002</v>
      </c>
      <c r="G49" s="144">
        <f>VLOOKUP($A49,'Data shares'!$C:$FA,25)</f>
        <v>-2.8</v>
      </c>
    </row>
    <row r="50" spans="1:7" x14ac:dyDescent="0.25">
      <c r="A50" s="101" t="str">
        <f>'Data shares'!C46</f>
        <v>CIPLA</v>
      </c>
      <c r="B50" s="144">
        <f>VLOOKUP($A50,'Data shares'!$C:$FA,7)</f>
        <v>1240.8</v>
      </c>
      <c r="C50" s="144">
        <f>VLOOKUP($A50,'Data shares'!$C:$FA,3)</f>
        <v>1245.0999999999999</v>
      </c>
      <c r="D50" s="144">
        <f>VLOOKUP($A50,'Data shares'!$C:$FA,23)</f>
        <v>4.3</v>
      </c>
      <c r="E50" s="145">
        <f>VLOOKUP($A50,'Data shares'!$C:$FA,26)*100</f>
        <v>0.35000000000000003</v>
      </c>
      <c r="F50" s="144">
        <f>VLOOKUP($A50,'Data shares'!$C:$FA,24)</f>
        <v>1.6</v>
      </c>
      <c r="G50" s="144">
        <f>VLOOKUP($A50,'Data shares'!$C:$FA,25)</f>
        <v>2.7</v>
      </c>
    </row>
    <row r="51" spans="1:7" x14ac:dyDescent="0.25">
      <c r="A51" s="101" t="str">
        <f>'Data shares'!C47</f>
        <v>COALINDIA</v>
      </c>
      <c r="B51" s="144">
        <f>VLOOKUP($A51,'Data shares'!$C:$FA,7)</f>
        <v>438.75</v>
      </c>
      <c r="C51" s="144">
        <f>VLOOKUP($A51,'Data shares'!$C:$FA,3)</f>
        <v>439.55</v>
      </c>
      <c r="D51" s="144">
        <f>VLOOKUP($A51,'Data shares'!$C:$FA,23)</f>
        <v>0.8</v>
      </c>
      <c r="E51" s="145">
        <f>VLOOKUP($A51,'Data shares'!$C:$FA,26)*100</f>
        <v>0.18</v>
      </c>
      <c r="F51" s="144">
        <f>VLOOKUP($A51,'Data shares'!$C:$FA,24)</f>
        <v>-0.4</v>
      </c>
      <c r="G51" s="144">
        <f>VLOOKUP($A51,'Data shares'!$C:$FA,25)</f>
        <v>1.2</v>
      </c>
    </row>
    <row r="52" spans="1:7" x14ac:dyDescent="0.25">
      <c r="A52" s="101" t="str">
        <f>'Data shares'!C48</f>
        <v>COCHINSHIP</v>
      </c>
      <c r="B52" s="144">
        <f>VLOOKUP($A52,'Data shares'!$C:$FA,7)</f>
        <v>1561.1</v>
      </c>
      <c r="C52" s="144">
        <f>VLOOKUP($A52,'Data shares'!$C:$FA,3)</f>
        <v>1566.2</v>
      </c>
      <c r="D52" s="144">
        <f>VLOOKUP($A52,'Data shares'!$C:$FA,23)</f>
        <v>5.0999999999999996</v>
      </c>
      <c r="E52" s="145">
        <f>VLOOKUP($A52,'Data shares'!$C:$FA,26)*100</f>
        <v>0.33</v>
      </c>
      <c r="F52" s="144">
        <f>VLOOKUP($A52,'Data shares'!$C:$FA,24)</f>
        <v>5.0999999999999996</v>
      </c>
      <c r="G52" s="144">
        <f>VLOOKUP($A52,'Data shares'!$C:$FA,25)</f>
        <v>0</v>
      </c>
    </row>
    <row r="53" spans="1:7" x14ac:dyDescent="0.25">
      <c r="A53" s="101" t="str">
        <f>'Data shares'!C49</f>
        <v>COFORGE</v>
      </c>
      <c r="B53" s="144">
        <f>VLOOKUP($A53,'Data shares'!$C:$FA,7)</f>
        <v>1316.8</v>
      </c>
      <c r="C53" s="144">
        <f>VLOOKUP($A53,'Data shares'!$C:$FA,3)</f>
        <v>1316.8</v>
      </c>
      <c r="D53" s="144">
        <f>VLOOKUP($A53,'Data shares'!$C:$FA,23)</f>
        <v>0</v>
      </c>
      <c r="E53" s="145">
        <f>VLOOKUP($A53,'Data shares'!$C:$FA,26)*100</f>
        <v>0</v>
      </c>
      <c r="F53" s="144">
        <f>VLOOKUP($A53,'Data shares'!$C:$FA,24)</f>
        <v>-0.2</v>
      </c>
      <c r="G53" s="144">
        <f>VLOOKUP($A53,'Data shares'!$C:$FA,25)</f>
        <v>0.2</v>
      </c>
    </row>
    <row r="54" spans="1:7" x14ac:dyDescent="0.25">
      <c r="A54" s="101" t="str">
        <f>'Data shares'!C50</f>
        <v>COLPAL</v>
      </c>
      <c r="B54" s="144">
        <f>VLOOKUP($A54,'Data shares'!$C:$FA,7)</f>
        <v>2106</v>
      </c>
      <c r="C54" s="144">
        <f>VLOOKUP($A54,'Data shares'!$C:$FA,3)</f>
        <v>2109.1999999999998</v>
      </c>
      <c r="D54" s="144">
        <f>VLOOKUP($A54,'Data shares'!$C:$FA,23)</f>
        <v>3.2</v>
      </c>
      <c r="E54" s="145">
        <f>VLOOKUP($A54,'Data shares'!$C:$FA,26)*100</f>
        <v>0.15</v>
      </c>
      <c r="F54" s="144">
        <f>VLOOKUP($A54,'Data shares'!$C:$FA,24)</f>
        <v>5.4</v>
      </c>
      <c r="G54" s="144">
        <f>VLOOKUP($A54,'Data shares'!$C:$FA,25)</f>
        <v>-2.2000000000000002</v>
      </c>
    </row>
    <row r="55" spans="1:7" x14ac:dyDescent="0.25">
      <c r="A55" s="101" t="str">
        <f>'Data shares'!C51</f>
        <v>CONCOR</v>
      </c>
      <c r="B55" s="144">
        <f>VLOOKUP($A55,'Data shares'!$C:$FA,7)</f>
        <v>503.1</v>
      </c>
      <c r="C55" s="144">
        <f>VLOOKUP($A55,'Data shares'!$C:$FA,3)</f>
        <v>504.5</v>
      </c>
      <c r="D55" s="144">
        <f>VLOOKUP($A55,'Data shares'!$C:$FA,23)</f>
        <v>1.4</v>
      </c>
      <c r="E55" s="145">
        <f>VLOOKUP($A55,'Data shares'!$C:$FA,26)*100</f>
        <v>0.27999999999999997</v>
      </c>
      <c r="F55" s="144">
        <f>VLOOKUP($A55,'Data shares'!$C:$FA,24)</f>
        <v>0.3</v>
      </c>
      <c r="G55" s="144">
        <f>VLOOKUP($A55,'Data shares'!$C:$FA,25)</f>
        <v>1.1000000000000001</v>
      </c>
    </row>
    <row r="56" spans="1:7" x14ac:dyDescent="0.25">
      <c r="A56" s="101" t="str">
        <f>'Data shares'!C52</f>
        <v>CROMPTON</v>
      </c>
      <c r="B56" s="144">
        <f>VLOOKUP($A56,'Data shares'!$C:$FA,7)</f>
        <v>261.45</v>
      </c>
      <c r="C56" s="144">
        <f>VLOOKUP($A56,'Data shares'!$C:$FA,3)</f>
        <v>261.39</v>
      </c>
      <c r="D56" s="144">
        <f>VLOOKUP($A56,'Data shares'!$C:$FA,23)</f>
        <v>-0.06</v>
      </c>
      <c r="E56" s="145">
        <f>VLOOKUP($A56,'Data shares'!$C:$FA,26)*100</f>
        <v>-0.02</v>
      </c>
      <c r="F56" s="144">
        <f>VLOOKUP($A56,'Data shares'!$C:$FA,24)</f>
        <v>0.25</v>
      </c>
      <c r="G56" s="144">
        <f>VLOOKUP($A56,'Data shares'!$C:$FA,25)</f>
        <v>-0.31</v>
      </c>
    </row>
    <row r="57" spans="1:7" x14ac:dyDescent="0.25">
      <c r="A57" s="101" t="str">
        <f>'Data shares'!C53</f>
        <v>CUMMINSIND</v>
      </c>
      <c r="B57" s="144">
        <f>VLOOKUP($A57,'Data shares'!$C:$FA,7)</f>
        <v>5140.8999999999996</v>
      </c>
      <c r="C57" s="144">
        <f>VLOOKUP($A57,'Data shares'!$C:$FA,3)</f>
        <v>5151.7</v>
      </c>
      <c r="D57" s="144">
        <f>VLOOKUP($A57,'Data shares'!$C:$FA,23)</f>
        <v>10.8</v>
      </c>
      <c r="E57" s="145">
        <f>VLOOKUP($A57,'Data shares'!$C:$FA,26)*100</f>
        <v>0.21</v>
      </c>
      <c r="F57" s="144">
        <f>VLOOKUP($A57,'Data shares'!$C:$FA,24)</f>
        <v>18.600000000000001</v>
      </c>
      <c r="G57" s="144">
        <f>VLOOKUP($A57,'Data shares'!$C:$FA,25)</f>
        <v>-7.8</v>
      </c>
    </row>
    <row r="58" spans="1:7" x14ac:dyDescent="0.25">
      <c r="A58" s="101" t="str">
        <f>'Data shares'!C54</f>
        <v>DABUR</v>
      </c>
      <c r="B58" s="144">
        <f>VLOOKUP($A58,'Data shares'!$C:$FA,7)</f>
        <v>442.85</v>
      </c>
      <c r="C58" s="144">
        <f>VLOOKUP($A58,'Data shares'!$C:$FA,3)</f>
        <v>442.75</v>
      </c>
      <c r="D58" s="144">
        <f>VLOOKUP($A58,'Data shares'!$C:$FA,23)</f>
        <v>-0.1</v>
      </c>
      <c r="E58" s="145">
        <f>VLOOKUP($A58,'Data shares'!$C:$FA,26)*100</f>
        <v>-0.02</v>
      </c>
      <c r="F58" s="144">
        <f>VLOOKUP($A58,'Data shares'!$C:$FA,24)</f>
        <v>-0.1</v>
      </c>
      <c r="G58" s="144">
        <f>VLOOKUP($A58,'Data shares'!$C:$FA,25)</f>
        <v>0</v>
      </c>
    </row>
    <row r="59" spans="1:7" x14ac:dyDescent="0.25">
      <c r="A59" s="101" t="str">
        <f>'Data shares'!C55</f>
        <v>DALBHARAT</v>
      </c>
      <c r="B59" s="144">
        <f>VLOOKUP($A59,'Data shares'!$C:$FA,7)</f>
        <v>1971.7</v>
      </c>
      <c r="C59" s="144">
        <f>VLOOKUP($A59,'Data shares'!$C:$FA,3)</f>
        <v>1978.1</v>
      </c>
      <c r="D59" s="144">
        <f>VLOOKUP($A59,'Data shares'!$C:$FA,23)</f>
        <v>6.4</v>
      </c>
      <c r="E59" s="145">
        <f>VLOOKUP($A59,'Data shares'!$C:$FA,26)*100</f>
        <v>0.32</v>
      </c>
      <c r="F59" s="144">
        <f>VLOOKUP($A59,'Data shares'!$C:$FA,24)</f>
        <v>-0.5</v>
      </c>
      <c r="G59" s="144">
        <f>VLOOKUP($A59,'Data shares'!$C:$FA,25)</f>
        <v>6.9</v>
      </c>
    </row>
    <row r="60" spans="1:7" x14ac:dyDescent="0.25">
      <c r="A60" s="101" t="str">
        <f>'Data shares'!C56</f>
        <v>DELHIVERY</v>
      </c>
      <c r="B60" s="144">
        <f>VLOOKUP($A60,'Data shares'!$C:$FA,7)</f>
        <v>463</v>
      </c>
      <c r="C60" s="144">
        <f>VLOOKUP($A60,'Data shares'!$C:$FA,3)</f>
        <v>464.5</v>
      </c>
      <c r="D60" s="144">
        <f>VLOOKUP($A60,'Data shares'!$C:$FA,23)</f>
        <v>1.5</v>
      </c>
      <c r="E60" s="145">
        <f>VLOOKUP($A60,'Data shares'!$C:$FA,26)*100</f>
        <v>0.32</v>
      </c>
      <c r="F60" s="144">
        <f>VLOOKUP($A60,'Data shares'!$C:$FA,24)</f>
        <v>1.4</v>
      </c>
      <c r="G60" s="144">
        <f>VLOOKUP($A60,'Data shares'!$C:$FA,25)</f>
        <v>0.1</v>
      </c>
    </row>
    <row r="61" spans="1:7" x14ac:dyDescent="0.25">
      <c r="A61" s="101" t="str">
        <f>'Data shares'!C57</f>
        <v>DIVISLAB</v>
      </c>
      <c r="B61" s="144">
        <f>VLOOKUP($A61,'Data shares'!$C:$FA,7)</f>
        <v>6229</v>
      </c>
      <c r="C61" s="144">
        <f>VLOOKUP($A61,'Data shares'!$C:$FA,3)</f>
        <v>6238</v>
      </c>
      <c r="D61" s="144">
        <f>VLOOKUP($A61,'Data shares'!$C:$FA,23)</f>
        <v>9</v>
      </c>
      <c r="E61" s="145">
        <f>VLOOKUP($A61,'Data shares'!$C:$FA,26)*100</f>
        <v>0.13999999999999999</v>
      </c>
      <c r="F61" s="144">
        <f>VLOOKUP($A61,'Data shares'!$C:$FA,24)</f>
        <v>-1.5</v>
      </c>
      <c r="G61" s="144">
        <f>VLOOKUP($A61,'Data shares'!$C:$FA,25)</f>
        <v>10.5</v>
      </c>
    </row>
    <row r="62" spans="1:7" x14ac:dyDescent="0.25">
      <c r="A62" s="101" t="str">
        <f>'Data shares'!C58</f>
        <v>DIXON</v>
      </c>
      <c r="B62" s="144">
        <f>VLOOKUP($A62,'Data shares'!$C:$FA,7)</f>
        <v>11371.5</v>
      </c>
      <c r="C62" s="144">
        <f>VLOOKUP($A62,'Data shares'!$C:$FA,3)</f>
        <v>11377.5</v>
      </c>
      <c r="D62" s="144">
        <f>VLOOKUP($A62,'Data shares'!$C:$FA,23)</f>
        <v>6</v>
      </c>
      <c r="E62" s="145">
        <f>VLOOKUP($A62,'Data shares'!$C:$FA,26)*100</f>
        <v>0.05</v>
      </c>
      <c r="F62" s="144">
        <f>VLOOKUP($A62,'Data shares'!$C:$FA,24)</f>
        <v>-64.5</v>
      </c>
      <c r="G62" s="144">
        <f>VLOOKUP($A62,'Data shares'!$C:$FA,25)</f>
        <v>70.5</v>
      </c>
    </row>
    <row r="63" spans="1:7" x14ac:dyDescent="0.25">
      <c r="A63" s="101" t="str">
        <f>'Data shares'!C59</f>
        <v>DLF</v>
      </c>
      <c r="B63" s="144">
        <f>VLOOKUP($A63,'Data shares'!$C:$FA,7)</f>
        <v>601.75</v>
      </c>
      <c r="C63" s="144">
        <f>VLOOKUP($A63,'Data shares'!$C:$FA,3)</f>
        <v>601.54999999999995</v>
      </c>
      <c r="D63" s="144">
        <f>VLOOKUP($A63,'Data shares'!$C:$FA,23)</f>
        <v>-0.2</v>
      </c>
      <c r="E63" s="145">
        <f>VLOOKUP($A63,'Data shares'!$C:$FA,26)*100</f>
        <v>-0.03</v>
      </c>
      <c r="F63" s="144">
        <f>VLOOKUP($A63,'Data shares'!$C:$FA,24)</f>
        <v>0.1</v>
      </c>
      <c r="G63" s="144">
        <f>VLOOKUP($A63,'Data shares'!$C:$FA,25)</f>
        <v>-0.3</v>
      </c>
    </row>
    <row r="64" spans="1:7" x14ac:dyDescent="0.25">
      <c r="A64" s="101" t="str">
        <f>'Data shares'!C60</f>
        <v>DMART</v>
      </c>
      <c r="B64" s="144">
        <f>VLOOKUP($A64,'Data shares'!$C:$FA,7)</f>
        <v>4628.5</v>
      </c>
      <c r="C64" s="144">
        <f>VLOOKUP($A64,'Data shares'!$C:$FA,3)</f>
        <v>4644.8999999999996</v>
      </c>
      <c r="D64" s="144">
        <f>VLOOKUP($A64,'Data shares'!$C:$FA,23)</f>
        <v>16.399999999999999</v>
      </c>
      <c r="E64" s="145">
        <f>VLOOKUP($A64,'Data shares'!$C:$FA,26)*100</f>
        <v>0.35000000000000003</v>
      </c>
      <c r="F64" s="144">
        <f>VLOOKUP($A64,'Data shares'!$C:$FA,24)</f>
        <v>0.7</v>
      </c>
      <c r="G64" s="144">
        <f>VLOOKUP($A64,'Data shares'!$C:$FA,25)</f>
        <v>15.7</v>
      </c>
    </row>
    <row r="65" spans="1:7" x14ac:dyDescent="0.25">
      <c r="A65" s="101" t="str">
        <f>'Data shares'!C61</f>
        <v>DRREDDY</v>
      </c>
      <c r="B65" s="144">
        <f>VLOOKUP($A65,'Data shares'!$C:$FA,7)</f>
        <v>1235.7</v>
      </c>
      <c r="C65" s="144">
        <f>VLOOKUP($A65,'Data shares'!$C:$FA,3)</f>
        <v>1231.8</v>
      </c>
      <c r="D65" s="144">
        <f>VLOOKUP($A65,'Data shares'!$C:$FA,23)</f>
        <v>-3.9</v>
      </c>
      <c r="E65" s="145">
        <f>VLOOKUP($A65,'Data shares'!$C:$FA,26)*100</f>
        <v>-0.32</v>
      </c>
      <c r="F65" s="144">
        <f>VLOOKUP($A65,'Data shares'!$C:$FA,24)</f>
        <v>-0.4</v>
      </c>
      <c r="G65" s="144">
        <f>VLOOKUP($A65,'Data shares'!$C:$FA,25)</f>
        <v>-3.5</v>
      </c>
    </row>
    <row r="66" spans="1:7" x14ac:dyDescent="0.25">
      <c r="A66" s="101" t="str">
        <f>'Data shares'!C62</f>
        <v>EICHERMOT</v>
      </c>
      <c r="B66" s="144">
        <f>VLOOKUP($A66,'Data shares'!$C:$FA,7)</f>
        <v>7189.5</v>
      </c>
      <c r="C66" s="144">
        <f>VLOOKUP($A66,'Data shares'!$C:$FA,3)</f>
        <v>7189.5</v>
      </c>
      <c r="D66" s="144">
        <f>VLOOKUP($A66,'Data shares'!$C:$FA,23)</f>
        <v>0</v>
      </c>
      <c r="E66" s="145">
        <f>VLOOKUP($A66,'Data shares'!$C:$FA,26)*100</f>
        <v>0</v>
      </c>
      <c r="F66" s="144">
        <f>VLOOKUP($A66,'Data shares'!$C:$FA,24)</f>
        <v>1.5</v>
      </c>
      <c r="G66" s="144">
        <f>VLOOKUP($A66,'Data shares'!$C:$FA,25)</f>
        <v>-1.5</v>
      </c>
    </row>
    <row r="67" spans="1:7" x14ac:dyDescent="0.25">
      <c r="A67" s="101" t="str">
        <f>'Data shares'!C63</f>
        <v>ETERNAL</v>
      </c>
      <c r="B67" s="144">
        <f>VLOOKUP($A67,'Data shares'!$C:$FA,7)</f>
        <v>252.61</v>
      </c>
      <c r="C67" s="144">
        <f>VLOOKUP($A67,'Data shares'!$C:$FA,3)</f>
        <v>252.59</v>
      </c>
      <c r="D67" s="144">
        <f>VLOOKUP($A67,'Data shares'!$C:$FA,23)</f>
        <v>-0.02</v>
      </c>
      <c r="E67" s="145">
        <f>VLOOKUP($A67,'Data shares'!$C:$FA,26)*100</f>
        <v>-0.01</v>
      </c>
      <c r="F67" s="144">
        <f>VLOOKUP($A67,'Data shares'!$C:$FA,24)</f>
        <v>0.09</v>
      </c>
      <c r="G67" s="144">
        <f>VLOOKUP($A67,'Data shares'!$C:$FA,25)</f>
        <v>-0.11</v>
      </c>
    </row>
    <row r="68" spans="1:7" x14ac:dyDescent="0.25">
      <c r="A68" s="101" t="str">
        <f>'Data shares'!C64</f>
        <v>EXIDEIND</v>
      </c>
      <c r="B68" s="144">
        <f>VLOOKUP($A68,'Data shares'!$C:$FA,7)</f>
        <v>330</v>
      </c>
      <c r="C68" s="144">
        <f>VLOOKUP($A68,'Data shares'!$C:$FA,3)</f>
        <v>330.25</v>
      </c>
      <c r="D68" s="144">
        <f>VLOOKUP($A68,'Data shares'!$C:$FA,23)</f>
        <v>0.25</v>
      </c>
      <c r="E68" s="145">
        <f>VLOOKUP($A68,'Data shares'!$C:$FA,26)*100</f>
        <v>0.08</v>
      </c>
      <c r="F68" s="144">
        <f>VLOOKUP($A68,'Data shares'!$C:$FA,24)</f>
        <v>0.2</v>
      </c>
      <c r="G68" s="144">
        <f>VLOOKUP($A68,'Data shares'!$C:$FA,25)</f>
        <v>0.05</v>
      </c>
    </row>
    <row r="69" spans="1:7" x14ac:dyDescent="0.25">
      <c r="A69" s="101" t="str">
        <f>'Data shares'!C65</f>
        <v>FEDERALBNK</v>
      </c>
      <c r="B69" s="144">
        <f>VLOOKUP($A69,'Data shares'!$C:$FA,7)</f>
        <v>293.75</v>
      </c>
      <c r="C69" s="144">
        <f>VLOOKUP($A69,'Data shares'!$C:$FA,3)</f>
        <v>293.60000000000002</v>
      </c>
      <c r="D69" s="144">
        <f>VLOOKUP($A69,'Data shares'!$C:$FA,23)</f>
        <v>-0.15</v>
      </c>
      <c r="E69" s="145">
        <f>VLOOKUP($A69,'Data shares'!$C:$FA,26)*100</f>
        <v>-0.05</v>
      </c>
      <c r="F69" s="144">
        <f>VLOOKUP($A69,'Data shares'!$C:$FA,24)</f>
        <v>0.7</v>
      </c>
      <c r="G69" s="144">
        <f>VLOOKUP($A69,'Data shares'!$C:$FA,25)</f>
        <v>-0.85</v>
      </c>
    </row>
    <row r="70" spans="1:7" x14ac:dyDescent="0.25">
      <c r="A70" s="101" t="str">
        <f>'Data shares'!C66</f>
        <v>FINNIFTY</v>
      </c>
      <c r="B70" s="144">
        <f>VLOOKUP($A70,'Data shares'!$C:$FA,7)</f>
        <v>26521.25</v>
      </c>
      <c r="C70" s="144">
        <f>VLOOKUP($A70,'Data shares'!$C:$FA,3)</f>
        <v>26566.3</v>
      </c>
      <c r="D70" s="144">
        <f>VLOOKUP($A70,'Data shares'!$C:$FA,23)</f>
        <v>45.05</v>
      </c>
      <c r="E70" s="145">
        <f>VLOOKUP($A70,'Data shares'!$C:$FA,26)*100</f>
        <v>0.16999999999999998</v>
      </c>
      <c r="F70" s="144">
        <f>VLOOKUP($A70,'Data shares'!$C:$FA,24)</f>
        <v>48.65</v>
      </c>
      <c r="G70" s="144">
        <f>VLOOKUP($A70,'Data shares'!$C:$FA,25)</f>
        <v>-3.6</v>
      </c>
    </row>
    <row r="71" spans="1:7" x14ac:dyDescent="0.25">
      <c r="A71" s="101" t="str">
        <f>'Data shares'!C67</f>
        <v>FORCEMOT</v>
      </c>
      <c r="B71" s="144">
        <f>VLOOKUP($A71,'Data shares'!$C:$FA,7)</f>
        <v>22378</v>
      </c>
      <c r="C71" s="144">
        <f>VLOOKUP($A71,'Data shares'!$C:$FA,3)</f>
        <v>22371</v>
      </c>
      <c r="D71" s="144">
        <f>VLOOKUP($A71,'Data shares'!$C:$FA,23)</f>
        <v>-7</v>
      </c>
      <c r="E71" s="145">
        <f>VLOOKUP($A71,'Data shares'!$C:$FA,26)*100</f>
        <v>-0.03</v>
      </c>
      <c r="F71" s="144">
        <f>VLOOKUP($A71,'Data shares'!$C:$FA,24)</f>
        <v>36</v>
      </c>
      <c r="G71" s="144">
        <f>VLOOKUP($A71,'Data shares'!$C:$FA,25)</f>
        <v>-43</v>
      </c>
    </row>
    <row r="72" spans="1:7" x14ac:dyDescent="0.25">
      <c r="A72" s="101" t="str">
        <f>'Data shares'!C68</f>
        <v>FORTIS</v>
      </c>
      <c r="B72" s="144">
        <f>VLOOKUP($A72,'Data shares'!$C:$FA,7)</f>
        <v>890.2</v>
      </c>
      <c r="C72" s="144">
        <f>VLOOKUP($A72,'Data shares'!$C:$FA,3)</f>
        <v>890.9</v>
      </c>
      <c r="D72" s="144">
        <f>VLOOKUP($A72,'Data shares'!$C:$FA,23)</f>
        <v>0.7</v>
      </c>
      <c r="E72" s="145">
        <f>VLOOKUP($A72,'Data shares'!$C:$FA,26)*100</f>
        <v>0.08</v>
      </c>
      <c r="F72" s="144">
        <f>VLOOKUP($A72,'Data shares'!$C:$FA,24)</f>
        <v>-0.1</v>
      </c>
      <c r="G72" s="144">
        <f>VLOOKUP($A72,'Data shares'!$C:$FA,25)</f>
        <v>0.8</v>
      </c>
    </row>
    <row r="73" spans="1:7" x14ac:dyDescent="0.25">
      <c r="A73" s="101" t="str">
        <f>'Data shares'!C69</f>
        <v>GAIL</v>
      </c>
      <c r="B73" s="144">
        <f>VLOOKUP($A73,'Data shares'!$C:$FA,7)</f>
        <v>157.82</v>
      </c>
      <c r="C73" s="144">
        <f>VLOOKUP($A73,'Data shares'!$C:$FA,3)</f>
        <v>158.33000000000001</v>
      </c>
      <c r="D73" s="144">
        <f>VLOOKUP($A73,'Data shares'!$C:$FA,23)</f>
        <v>0.51</v>
      </c>
      <c r="E73" s="145">
        <f>VLOOKUP($A73,'Data shares'!$C:$FA,26)*100</f>
        <v>0.32</v>
      </c>
      <c r="F73" s="144">
        <f>VLOOKUP($A73,'Data shares'!$C:$FA,24)</f>
        <v>0.05</v>
      </c>
      <c r="G73" s="144">
        <f>VLOOKUP($A73,'Data shares'!$C:$FA,25)</f>
        <v>0.46</v>
      </c>
    </row>
    <row r="74" spans="1:7" x14ac:dyDescent="0.25">
      <c r="A74" s="101" t="str">
        <f>'Data shares'!C70</f>
        <v>GLENMARK</v>
      </c>
      <c r="B74" s="144">
        <f>VLOOKUP($A74,'Data shares'!$C:$FA,7)</f>
        <v>2249.5</v>
      </c>
      <c r="C74" s="144">
        <f>VLOOKUP($A74,'Data shares'!$C:$FA,3)</f>
        <v>2253.8000000000002</v>
      </c>
      <c r="D74" s="144">
        <f>VLOOKUP($A74,'Data shares'!$C:$FA,23)</f>
        <v>4.3</v>
      </c>
      <c r="E74" s="145">
        <f>VLOOKUP($A74,'Data shares'!$C:$FA,26)*100</f>
        <v>0.19</v>
      </c>
      <c r="F74" s="144">
        <f>VLOOKUP($A74,'Data shares'!$C:$FA,24)</f>
        <v>6.1</v>
      </c>
      <c r="G74" s="144">
        <f>VLOOKUP($A74,'Data shares'!$C:$FA,25)</f>
        <v>-1.8</v>
      </c>
    </row>
    <row r="75" spans="1:7" x14ac:dyDescent="0.25">
      <c r="A75" s="101" t="str">
        <f>'Data shares'!C71</f>
        <v>GMRAIRPORT</v>
      </c>
      <c r="B75" s="144">
        <f>VLOOKUP($A75,'Data shares'!$C:$FA,7)</f>
        <v>96.85</v>
      </c>
      <c r="C75" s="144">
        <f>VLOOKUP($A75,'Data shares'!$C:$FA,3)</f>
        <v>97.16</v>
      </c>
      <c r="D75" s="144">
        <f>VLOOKUP($A75,'Data shares'!$C:$FA,23)</f>
        <v>0.31</v>
      </c>
      <c r="E75" s="145">
        <f>VLOOKUP($A75,'Data shares'!$C:$FA,26)*100</f>
        <v>0.32</v>
      </c>
      <c r="F75" s="144">
        <f>VLOOKUP($A75,'Data shares'!$C:$FA,24)</f>
        <v>0.25</v>
      </c>
      <c r="G75" s="144">
        <f>VLOOKUP($A75,'Data shares'!$C:$FA,25)</f>
        <v>0.06</v>
      </c>
    </row>
    <row r="76" spans="1:7" x14ac:dyDescent="0.25">
      <c r="A76" s="101" t="str">
        <f>'Data shares'!C72</f>
        <v>GODFRYPHLP</v>
      </c>
      <c r="B76" s="144">
        <f>VLOOKUP($A76,'Data shares'!$C:$FA,7)</f>
        <v>2207.6999999999998</v>
      </c>
      <c r="C76" s="144">
        <f>VLOOKUP($A76,'Data shares'!$C:$FA,3)</f>
        <v>2184.1999999999998</v>
      </c>
      <c r="D76" s="144">
        <f>VLOOKUP($A76,'Data shares'!$C:$FA,23)</f>
        <v>-23.5</v>
      </c>
      <c r="E76" s="145">
        <f>VLOOKUP($A76,'Data shares'!$C:$FA,26)*100</f>
        <v>-1.06</v>
      </c>
      <c r="F76" s="144">
        <f>VLOOKUP($A76,'Data shares'!$C:$FA,24)</f>
        <v>7.9</v>
      </c>
      <c r="G76" s="144">
        <f>VLOOKUP($A76,'Data shares'!$C:$FA,25)</f>
        <v>-31.4</v>
      </c>
    </row>
    <row r="77" spans="1:7" x14ac:dyDescent="0.25">
      <c r="A77" s="101" t="str">
        <f>'Data shares'!C73</f>
        <v>GODREJCP</v>
      </c>
      <c r="B77" s="144">
        <f>VLOOKUP($A77,'Data shares'!$C:$FA,7)</f>
        <v>1109.4000000000001</v>
      </c>
      <c r="C77" s="144">
        <f>VLOOKUP($A77,'Data shares'!$C:$FA,3)</f>
        <v>1112.6500000000001</v>
      </c>
      <c r="D77" s="144">
        <f>VLOOKUP($A77,'Data shares'!$C:$FA,23)</f>
        <v>3.25</v>
      </c>
      <c r="E77" s="145">
        <f>VLOOKUP($A77,'Data shares'!$C:$FA,26)*100</f>
        <v>0.28999999999999998</v>
      </c>
      <c r="F77" s="144">
        <f>VLOOKUP($A77,'Data shares'!$C:$FA,24)</f>
        <v>3.6</v>
      </c>
      <c r="G77" s="144">
        <f>VLOOKUP($A77,'Data shares'!$C:$FA,25)</f>
        <v>-0.35</v>
      </c>
    </row>
    <row r="78" spans="1:7" x14ac:dyDescent="0.25">
      <c r="A78" s="101" t="str">
        <f>'Data shares'!C74</f>
        <v>GODREJPROP</v>
      </c>
      <c r="B78" s="144">
        <f>VLOOKUP($A78,'Data shares'!$C:$FA,7)</f>
        <v>1758.8</v>
      </c>
      <c r="C78" s="144">
        <f>VLOOKUP($A78,'Data shares'!$C:$FA,3)</f>
        <v>1764</v>
      </c>
      <c r="D78" s="144">
        <f>VLOOKUP($A78,'Data shares'!$C:$FA,23)</f>
        <v>5.2</v>
      </c>
      <c r="E78" s="145">
        <f>VLOOKUP($A78,'Data shares'!$C:$FA,26)*100</f>
        <v>0.3</v>
      </c>
      <c r="F78" s="144">
        <f>VLOOKUP($A78,'Data shares'!$C:$FA,24)</f>
        <v>1.2</v>
      </c>
      <c r="G78" s="144">
        <f>VLOOKUP($A78,'Data shares'!$C:$FA,25)</f>
        <v>4</v>
      </c>
    </row>
    <row r="79" spans="1:7" x14ac:dyDescent="0.25">
      <c r="A79" s="101" t="str">
        <f>'Data shares'!C75</f>
        <v>GRASIM</v>
      </c>
      <c r="B79" s="144">
        <f>VLOOKUP($A79,'Data shares'!$C:$FA,7)</f>
        <v>2720.5</v>
      </c>
      <c r="C79" s="144">
        <f>VLOOKUP($A79,'Data shares'!$C:$FA,3)</f>
        <v>2726.6</v>
      </c>
      <c r="D79" s="144">
        <f>VLOOKUP($A79,'Data shares'!$C:$FA,23)</f>
        <v>6.1</v>
      </c>
      <c r="E79" s="145">
        <f>VLOOKUP($A79,'Data shares'!$C:$FA,26)*100</f>
        <v>0.22</v>
      </c>
      <c r="F79" s="144">
        <f>VLOOKUP($A79,'Data shares'!$C:$FA,24)</f>
        <v>6.5</v>
      </c>
      <c r="G79" s="144">
        <f>VLOOKUP($A79,'Data shares'!$C:$FA,25)</f>
        <v>-0.4</v>
      </c>
    </row>
    <row r="80" spans="1:7" x14ac:dyDescent="0.25">
      <c r="A80" s="101" t="str">
        <f>'Data shares'!C76</f>
        <v>HAL</v>
      </c>
      <c r="B80" s="144">
        <f>VLOOKUP($A80,'Data shares'!$C:$FA,7)</f>
        <v>4388.1000000000004</v>
      </c>
      <c r="C80" s="144">
        <f>VLOOKUP($A80,'Data shares'!$C:$FA,3)</f>
        <v>4393.3</v>
      </c>
      <c r="D80" s="144">
        <f>VLOOKUP($A80,'Data shares'!$C:$FA,23)</f>
        <v>5.2</v>
      </c>
      <c r="E80" s="145">
        <f>VLOOKUP($A80,'Data shares'!$C:$FA,26)*100</f>
        <v>0.12</v>
      </c>
      <c r="F80" s="144">
        <f>VLOOKUP($A80,'Data shares'!$C:$FA,24)</f>
        <v>13</v>
      </c>
      <c r="G80" s="144">
        <f>VLOOKUP($A80,'Data shares'!$C:$FA,25)</f>
        <v>-7.8</v>
      </c>
    </row>
    <row r="81" spans="1:7" x14ac:dyDescent="0.25">
      <c r="A81" s="101" t="str">
        <f>'Data shares'!C77</f>
        <v>HAVELLS</v>
      </c>
      <c r="B81" s="144">
        <f>VLOOKUP($A81,'Data shares'!$C:$FA,7)</f>
        <v>1306.4000000000001</v>
      </c>
      <c r="C81" s="144">
        <f>VLOOKUP($A81,'Data shares'!$C:$FA,3)</f>
        <v>1309.8</v>
      </c>
      <c r="D81" s="144">
        <f>VLOOKUP($A81,'Data shares'!$C:$FA,23)</f>
        <v>3.4</v>
      </c>
      <c r="E81" s="145">
        <f>VLOOKUP($A81,'Data shares'!$C:$FA,26)*100</f>
        <v>0.26</v>
      </c>
      <c r="F81" s="144">
        <f>VLOOKUP($A81,'Data shares'!$C:$FA,24)</f>
        <v>2.9</v>
      </c>
      <c r="G81" s="144">
        <f>VLOOKUP($A81,'Data shares'!$C:$FA,25)</f>
        <v>0.5</v>
      </c>
    </row>
    <row r="82" spans="1:7" x14ac:dyDescent="0.25">
      <c r="A82" s="101" t="str">
        <f>'Data shares'!C78</f>
        <v>HCLTECH</v>
      </c>
      <c r="B82" s="144">
        <f>VLOOKUP($A82,'Data shares'!$C:$FA,7)</f>
        <v>1442.3</v>
      </c>
      <c r="C82" s="144">
        <f>VLOOKUP($A82,'Data shares'!$C:$FA,3)</f>
        <v>1415.3</v>
      </c>
      <c r="D82" s="144">
        <f>VLOOKUP($A82,'Data shares'!$C:$FA,23)</f>
        <v>-27</v>
      </c>
      <c r="E82" s="145">
        <f>VLOOKUP($A82,'Data shares'!$C:$FA,26)*100</f>
        <v>-1.87</v>
      </c>
      <c r="F82" s="144">
        <f>VLOOKUP($A82,'Data shares'!$C:$FA,24)</f>
        <v>-30.2</v>
      </c>
      <c r="G82" s="144">
        <f>VLOOKUP($A82,'Data shares'!$C:$FA,25)</f>
        <v>3.2</v>
      </c>
    </row>
    <row r="83" spans="1:7" x14ac:dyDescent="0.25">
      <c r="A83" s="101" t="str">
        <f>'Data shares'!C79</f>
        <v>HDFCAMC</v>
      </c>
      <c r="B83" s="144">
        <f>VLOOKUP($A83,'Data shares'!$C:$FA,7)</f>
        <v>2792.4</v>
      </c>
      <c r="C83" s="144">
        <f>VLOOKUP($A83,'Data shares'!$C:$FA,3)</f>
        <v>2791.6</v>
      </c>
      <c r="D83" s="144">
        <f>VLOOKUP($A83,'Data shares'!$C:$FA,23)</f>
        <v>-0.8</v>
      </c>
      <c r="E83" s="145">
        <f>VLOOKUP($A83,'Data shares'!$C:$FA,26)*100</f>
        <v>-0.03</v>
      </c>
      <c r="F83" s="144">
        <f>VLOOKUP($A83,'Data shares'!$C:$FA,24)</f>
        <v>0</v>
      </c>
      <c r="G83" s="144">
        <f>VLOOKUP($A83,'Data shares'!$C:$FA,25)</f>
        <v>-0.8</v>
      </c>
    </row>
    <row r="84" spans="1:7" x14ac:dyDescent="0.25">
      <c r="A84" s="101" t="str">
        <f>'Data shares'!C80</f>
        <v>HDFCBANK</v>
      </c>
      <c r="B84" s="144">
        <f>VLOOKUP($A84,'Data shares'!$C:$FA,7)</f>
        <v>799.9</v>
      </c>
      <c r="C84" s="144">
        <f>VLOOKUP($A84,'Data shares'!$C:$FA,3)</f>
        <v>801.6</v>
      </c>
      <c r="D84" s="144">
        <f>VLOOKUP($A84,'Data shares'!$C:$FA,23)</f>
        <v>1.7</v>
      </c>
      <c r="E84" s="145">
        <f>VLOOKUP($A84,'Data shares'!$C:$FA,26)*100</f>
        <v>0.21</v>
      </c>
      <c r="F84" s="144">
        <f>VLOOKUP($A84,'Data shares'!$C:$FA,24)</f>
        <v>0.4</v>
      </c>
      <c r="G84" s="144">
        <f>VLOOKUP($A84,'Data shares'!$C:$FA,25)</f>
        <v>1.3</v>
      </c>
    </row>
    <row r="85" spans="1:7" x14ac:dyDescent="0.25">
      <c r="A85" s="101" t="str">
        <f>'Data shares'!C81</f>
        <v>HDFCLIFE</v>
      </c>
      <c r="B85" s="144">
        <f>VLOOKUP($A85,'Data shares'!$C:$FA,7)</f>
        <v>616.45000000000005</v>
      </c>
      <c r="C85" s="144">
        <f>VLOOKUP($A85,'Data shares'!$C:$FA,3)</f>
        <v>616.29999999999995</v>
      </c>
      <c r="D85" s="144">
        <f>VLOOKUP($A85,'Data shares'!$C:$FA,23)</f>
        <v>-0.15</v>
      </c>
      <c r="E85" s="145">
        <f>VLOOKUP($A85,'Data shares'!$C:$FA,26)*100</f>
        <v>-0.02</v>
      </c>
      <c r="F85" s="144">
        <f>VLOOKUP($A85,'Data shares'!$C:$FA,24)</f>
        <v>1.6</v>
      </c>
      <c r="G85" s="144">
        <f>VLOOKUP($A85,'Data shares'!$C:$FA,25)</f>
        <v>-1.75</v>
      </c>
    </row>
    <row r="86" spans="1:7" x14ac:dyDescent="0.25">
      <c r="A86" s="101" t="str">
        <f>'Data shares'!C82</f>
        <v>HEROMOTOCO</v>
      </c>
      <c r="B86" s="144">
        <f>VLOOKUP($A86,'Data shares'!$C:$FA,7)</f>
        <v>5230.5</v>
      </c>
      <c r="C86" s="144">
        <f>VLOOKUP($A86,'Data shares'!$C:$FA,3)</f>
        <v>5244.5</v>
      </c>
      <c r="D86" s="144">
        <f>VLOOKUP($A86,'Data shares'!$C:$FA,23)</f>
        <v>14</v>
      </c>
      <c r="E86" s="145">
        <f>VLOOKUP($A86,'Data shares'!$C:$FA,26)*100</f>
        <v>0.27</v>
      </c>
      <c r="F86" s="144">
        <f>VLOOKUP($A86,'Data shares'!$C:$FA,24)</f>
        <v>3</v>
      </c>
      <c r="G86" s="144">
        <f>VLOOKUP($A86,'Data shares'!$C:$FA,25)</f>
        <v>11</v>
      </c>
    </row>
    <row r="87" spans="1:7" x14ac:dyDescent="0.25">
      <c r="A87" s="101" t="str">
        <f>'Data shares'!C83</f>
        <v>HINDALCO</v>
      </c>
      <c r="B87" s="144">
        <f>VLOOKUP($A87,'Data shares'!$C:$FA,7)</f>
        <v>1039</v>
      </c>
      <c r="C87" s="144">
        <f>VLOOKUP($A87,'Data shares'!$C:$FA,3)</f>
        <v>1040.95</v>
      </c>
      <c r="D87" s="144">
        <f>VLOOKUP($A87,'Data shares'!$C:$FA,23)</f>
        <v>1.95</v>
      </c>
      <c r="E87" s="145">
        <f>VLOOKUP($A87,'Data shares'!$C:$FA,26)*100</f>
        <v>0.19</v>
      </c>
      <c r="F87" s="144">
        <f>VLOOKUP($A87,'Data shares'!$C:$FA,24)</f>
        <v>-0.1</v>
      </c>
      <c r="G87" s="144">
        <f>VLOOKUP($A87,'Data shares'!$C:$FA,25)</f>
        <v>2.0499999999999998</v>
      </c>
    </row>
    <row r="88" spans="1:7" x14ac:dyDescent="0.25">
      <c r="A88" s="101" t="str">
        <f>'Data shares'!C84</f>
        <v>HINDPETRO</v>
      </c>
      <c r="B88" s="144">
        <f>VLOOKUP($A88,'Data shares'!$C:$FA,7)</f>
        <v>370.85</v>
      </c>
      <c r="C88" s="144">
        <f>VLOOKUP($A88,'Data shares'!$C:$FA,3)</f>
        <v>372.35</v>
      </c>
      <c r="D88" s="144">
        <f>VLOOKUP($A88,'Data shares'!$C:$FA,23)</f>
        <v>1.5</v>
      </c>
      <c r="E88" s="145">
        <f>VLOOKUP($A88,'Data shares'!$C:$FA,26)*100</f>
        <v>0.4</v>
      </c>
      <c r="F88" s="144">
        <f>VLOOKUP($A88,'Data shares'!$C:$FA,24)</f>
        <v>0</v>
      </c>
      <c r="G88" s="144">
        <f>VLOOKUP($A88,'Data shares'!$C:$FA,25)</f>
        <v>1.5</v>
      </c>
    </row>
    <row r="89" spans="1:7" x14ac:dyDescent="0.25">
      <c r="A89" s="101" t="str">
        <f>'Data shares'!C85</f>
        <v>HINDUNILVR</v>
      </c>
      <c r="B89" s="144">
        <f>VLOOKUP($A89,'Data shares'!$C:$FA,7)</f>
        <v>2240.8000000000002</v>
      </c>
      <c r="C89" s="144">
        <f>VLOOKUP($A89,'Data shares'!$C:$FA,3)</f>
        <v>2240.6999999999998</v>
      </c>
      <c r="D89" s="144">
        <f>VLOOKUP($A89,'Data shares'!$C:$FA,23)</f>
        <v>-0.1</v>
      </c>
      <c r="E89" s="145">
        <f>VLOOKUP($A89,'Data shares'!$C:$FA,26)*100</f>
        <v>0</v>
      </c>
      <c r="F89" s="144">
        <f>VLOOKUP($A89,'Data shares'!$C:$FA,24)</f>
        <v>6.1</v>
      </c>
      <c r="G89" s="144">
        <f>VLOOKUP($A89,'Data shares'!$C:$FA,25)</f>
        <v>-6.2</v>
      </c>
    </row>
    <row r="90" spans="1:7" x14ac:dyDescent="0.25">
      <c r="A90" s="101" t="str">
        <f>'Data shares'!C86</f>
        <v>HINDZINC</v>
      </c>
      <c r="B90" s="144">
        <f>VLOOKUP($A90,'Data shares'!$C:$FA,7)</f>
        <v>592.29999999999995</v>
      </c>
      <c r="C90" s="144">
        <f>VLOOKUP($A90,'Data shares'!$C:$FA,3)</f>
        <v>593.20000000000005</v>
      </c>
      <c r="D90" s="144">
        <f>VLOOKUP($A90,'Data shares'!$C:$FA,23)</f>
        <v>0.9</v>
      </c>
      <c r="E90" s="145">
        <f>VLOOKUP($A90,'Data shares'!$C:$FA,26)*100</f>
        <v>0.15</v>
      </c>
      <c r="F90" s="144">
        <f>VLOOKUP($A90,'Data shares'!$C:$FA,24)</f>
        <v>1.8</v>
      </c>
      <c r="G90" s="144">
        <f>VLOOKUP($A90,'Data shares'!$C:$FA,25)</f>
        <v>-0.9</v>
      </c>
    </row>
    <row r="91" spans="1:7" x14ac:dyDescent="0.25">
      <c r="A91" s="101" t="str">
        <f>'Data shares'!C87</f>
        <v>HUDCO</v>
      </c>
      <c r="B91" s="144">
        <f>VLOOKUP($A91,'Data shares'!$C:$FA,7)</f>
        <v>196.91</v>
      </c>
      <c r="C91" s="144">
        <f>VLOOKUP($A91,'Data shares'!$C:$FA,3)</f>
        <v>197.6</v>
      </c>
      <c r="D91" s="144">
        <f>VLOOKUP($A91,'Data shares'!$C:$FA,23)</f>
        <v>0.69</v>
      </c>
      <c r="E91" s="145">
        <f>VLOOKUP($A91,'Data shares'!$C:$FA,26)*100</f>
        <v>0.35000000000000003</v>
      </c>
      <c r="F91" s="144">
        <f>VLOOKUP($A91,'Data shares'!$C:$FA,24)</f>
        <v>0.87</v>
      </c>
      <c r="G91" s="144">
        <f>VLOOKUP($A91,'Data shares'!$C:$FA,25)</f>
        <v>-0.18</v>
      </c>
    </row>
    <row r="92" spans="1:7" x14ac:dyDescent="0.25">
      <c r="A92" s="101" t="str">
        <f>'Data shares'!C88</f>
        <v>HYUNDAI</v>
      </c>
      <c r="B92" s="144">
        <f>VLOOKUP($A92,'Data shares'!$C:$FA,7)</f>
        <v>1902.8</v>
      </c>
      <c r="C92" s="144">
        <f>VLOOKUP($A92,'Data shares'!$C:$FA,3)</f>
        <v>1869.4</v>
      </c>
      <c r="D92" s="144">
        <f>VLOOKUP($A92,'Data shares'!$C:$FA,23)</f>
        <v>-33.4</v>
      </c>
      <c r="E92" s="145">
        <f>VLOOKUP($A92,'Data shares'!$C:$FA,26)*100</f>
        <v>-1.76</v>
      </c>
      <c r="F92" s="144">
        <f>VLOOKUP($A92,'Data shares'!$C:$FA,24)</f>
        <v>2</v>
      </c>
      <c r="G92" s="144">
        <f>VLOOKUP($A92,'Data shares'!$C:$FA,25)</f>
        <v>-35.4</v>
      </c>
    </row>
    <row r="93" spans="1:7" x14ac:dyDescent="0.25">
      <c r="A93" s="101" t="str">
        <f>'Data shares'!C89</f>
        <v>ICICIBANK</v>
      </c>
      <c r="B93" s="144">
        <f>VLOOKUP($A93,'Data shares'!$C:$FA,7)</f>
        <v>1346.8</v>
      </c>
      <c r="C93" s="144">
        <f>VLOOKUP($A93,'Data shares'!$C:$FA,3)</f>
        <v>1351.6</v>
      </c>
      <c r="D93" s="144">
        <f>VLOOKUP($A93,'Data shares'!$C:$FA,23)</f>
        <v>4.8</v>
      </c>
      <c r="E93" s="145">
        <f>VLOOKUP($A93,'Data shares'!$C:$FA,26)*100</f>
        <v>0.36</v>
      </c>
      <c r="F93" s="144">
        <f>VLOOKUP($A93,'Data shares'!$C:$FA,24)</f>
        <v>2.6</v>
      </c>
      <c r="G93" s="144">
        <f>VLOOKUP($A93,'Data shares'!$C:$FA,25)</f>
        <v>2.2000000000000002</v>
      </c>
    </row>
    <row r="94" spans="1:7" x14ac:dyDescent="0.25">
      <c r="A94" s="101" t="str">
        <f>'Data shares'!C90</f>
        <v>ICICIGI</v>
      </c>
      <c r="B94" s="144">
        <f>VLOOKUP($A94,'Data shares'!$C:$FA,7)</f>
        <v>1891.6</v>
      </c>
      <c r="C94" s="144">
        <f>VLOOKUP($A94,'Data shares'!$C:$FA,3)</f>
        <v>1890.9</v>
      </c>
      <c r="D94" s="144">
        <f>VLOOKUP($A94,'Data shares'!$C:$FA,23)</f>
        <v>-0.7</v>
      </c>
      <c r="E94" s="145">
        <f>VLOOKUP($A94,'Data shares'!$C:$FA,26)*100</f>
        <v>-0.04</v>
      </c>
      <c r="F94" s="144">
        <f>VLOOKUP($A94,'Data shares'!$C:$FA,24)</f>
        <v>-0.5</v>
      </c>
      <c r="G94" s="144">
        <f>VLOOKUP($A94,'Data shares'!$C:$FA,25)</f>
        <v>-0.2</v>
      </c>
    </row>
    <row r="95" spans="1:7" x14ac:dyDescent="0.25">
      <c r="A95" s="101" t="str">
        <f>'Data shares'!C91</f>
        <v>ICICIPRULI</v>
      </c>
      <c r="B95" s="144">
        <f>VLOOKUP($A95,'Data shares'!$C:$FA,7)</f>
        <v>562</v>
      </c>
      <c r="C95" s="144">
        <f>VLOOKUP($A95,'Data shares'!$C:$FA,3)</f>
        <v>562.75</v>
      </c>
      <c r="D95" s="144">
        <f>VLOOKUP($A95,'Data shares'!$C:$FA,23)</f>
        <v>0.75</v>
      </c>
      <c r="E95" s="145">
        <f>VLOOKUP($A95,'Data shares'!$C:$FA,26)*100</f>
        <v>0.13</v>
      </c>
      <c r="F95" s="144">
        <f>VLOOKUP($A95,'Data shares'!$C:$FA,24)</f>
        <v>2.0499999999999998</v>
      </c>
      <c r="G95" s="144">
        <f>VLOOKUP($A95,'Data shares'!$C:$FA,25)</f>
        <v>-1.3</v>
      </c>
    </row>
    <row r="96" spans="1:7" x14ac:dyDescent="0.25">
      <c r="A96" s="101" t="str">
        <f>'Data shares'!C92</f>
        <v>IDEA</v>
      </c>
      <c r="B96" s="144">
        <f>VLOOKUP($A96,'Data shares'!$C:$FA,7)</f>
        <v>9.61</v>
      </c>
      <c r="C96" s="144">
        <f>VLOOKUP($A96,'Data shares'!$C:$FA,3)</f>
        <v>9.61</v>
      </c>
      <c r="D96" s="144">
        <f>VLOOKUP($A96,'Data shares'!$C:$FA,23)</f>
        <v>0</v>
      </c>
      <c r="E96" s="145">
        <f>VLOOKUP($A96,'Data shares'!$C:$FA,26)*100</f>
        <v>0</v>
      </c>
      <c r="F96" s="144">
        <f>VLOOKUP($A96,'Data shares'!$C:$FA,24)</f>
        <v>0</v>
      </c>
      <c r="G96" s="144">
        <f>VLOOKUP($A96,'Data shares'!$C:$FA,25)</f>
        <v>0</v>
      </c>
    </row>
    <row r="97" spans="1:7" x14ac:dyDescent="0.25">
      <c r="A97" s="101" t="str">
        <f>'Data shares'!C93</f>
        <v>IDFCFIRSTB</v>
      </c>
      <c r="B97" s="144">
        <f>VLOOKUP($A97,'Data shares'!$C:$FA,7)</f>
        <v>68.53</v>
      </c>
      <c r="C97" s="144">
        <f>VLOOKUP($A97,'Data shares'!$C:$FA,3)</f>
        <v>68.55</v>
      </c>
      <c r="D97" s="144">
        <f>VLOOKUP($A97,'Data shares'!$C:$FA,23)</f>
        <v>0.02</v>
      </c>
      <c r="E97" s="145">
        <f>VLOOKUP($A97,'Data shares'!$C:$FA,26)*100</f>
        <v>0.03</v>
      </c>
      <c r="F97" s="144">
        <f>VLOOKUP($A97,'Data shares'!$C:$FA,24)</f>
        <v>7.0000000000000007E-2</v>
      </c>
      <c r="G97" s="144">
        <f>VLOOKUP($A97,'Data shares'!$C:$FA,25)</f>
        <v>-0.05</v>
      </c>
    </row>
    <row r="98" spans="1:7" x14ac:dyDescent="0.25">
      <c r="A98" s="101" t="str">
        <f>'Data shares'!C94</f>
        <v>IEX</v>
      </c>
      <c r="B98" s="144">
        <f>VLOOKUP($A98,'Data shares'!$C:$FA,7)</f>
        <v>135.81</v>
      </c>
      <c r="C98" s="144">
        <f>VLOOKUP($A98,'Data shares'!$C:$FA,3)</f>
        <v>135.82</v>
      </c>
      <c r="D98" s="144">
        <f>VLOOKUP($A98,'Data shares'!$C:$FA,23)</f>
        <v>0.01</v>
      </c>
      <c r="E98" s="145">
        <f>VLOOKUP($A98,'Data shares'!$C:$FA,26)*100</f>
        <v>0.01</v>
      </c>
      <c r="F98" s="144">
        <f>VLOOKUP($A98,'Data shares'!$C:$FA,24)</f>
        <v>0.49</v>
      </c>
      <c r="G98" s="144">
        <f>VLOOKUP($A98,'Data shares'!$C:$FA,25)</f>
        <v>-0.48</v>
      </c>
    </row>
    <row r="99" spans="1:7" x14ac:dyDescent="0.25">
      <c r="A99" s="101" t="str">
        <f>'Data shares'!C95</f>
        <v>INDHOTEL</v>
      </c>
      <c r="B99" s="144">
        <f>VLOOKUP($A99,'Data shares'!$C:$FA,7)</f>
        <v>659.3</v>
      </c>
      <c r="C99" s="144">
        <f>VLOOKUP($A99,'Data shares'!$C:$FA,3)</f>
        <v>659.55</v>
      </c>
      <c r="D99" s="144">
        <f>VLOOKUP($A99,'Data shares'!$C:$FA,23)</f>
        <v>0.25</v>
      </c>
      <c r="E99" s="145">
        <f>VLOOKUP($A99,'Data shares'!$C:$FA,26)*100</f>
        <v>0.04</v>
      </c>
      <c r="F99" s="144">
        <f>VLOOKUP($A99,'Data shares'!$C:$FA,24)</f>
        <v>0.3</v>
      </c>
      <c r="G99" s="144">
        <f>VLOOKUP($A99,'Data shares'!$C:$FA,25)</f>
        <v>-0.05</v>
      </c>
    </row>
    <row r="100" spans="1:7" x14ac:dyDescent="0.25">
      <c r="A100" s="101" t="str">
        <f>'Data shares'!C96</f>
        <v>INDIANB</v>
      </c>
      <c r="B100" s="144">
        <f>VLOOKUP($A100,'Data shares'!$C:$FA,7)</f>
        <v>939.45</v>
      </c>
      <c r="C100" s="144">
        <f>VLOOKUP($A100,'Data shares'!$C:$FA,3)</f>
        <v>942.25</v>
      </c>
      <c r="D100" s="144">
        <f>VLOOKUP($A100,'Data shares'!$C:$FA,23)</f>
        <v>2.8</v>
      </c>
      <c r="E100" s="145">
        <f>VLOOKUP($A100,'Data shares'!$C:$FA,26)*100</f>
        <v>0.3</v>
      </c>
      <c r="F100" s="144">
        <f>VLOOKUP($A100,'Data shares'!$C:$FA,24)</f>
        <v>3.55</v>
      </c>
      <c r="G100" s="144">
        <f>VLOOKUP($A100,'Data shares'!$C:$FA,25)</f>
        <v>-0.75</v>
      </c>
    </row>
    <row r="101" spans="1:7" x14ac:dyDescent="0.25">
      <c r="A101" s="101" t="str">
        <f>'Data shares'!C97</f>
        <v>INDIAVIX</v>
      </c>
      <c r="B101" s="144">
        <f>VLOOKUP($A101,'Data shares'!$C:$FA,7)</f>
        <v>17.2</v>
      </c>
      <c r="C101" s="144">
        <f>VLOOKUP($A101,'Data shares'!$C:$FA,3)</f>
        <v>17.2</v>
      </c>
      <c r="D101" s="144">
        <f>VLOOKUP($A101,'Data shares'!$C:$FA,23)</f>
        <v>0</v>
      </c>
      <c r="E101" s="145">
        <f>VLOOKUP($A101,'Data shares'!$C:$FA,26)*100</f>
        <v>0</v>
      </c>
      <c r="F101" s="144">
        <f>VLOOKUP($A101,'Data shares'!$C:$FA,24)</f>
        <v>0</v>
      </c>
      <c r="G101" s="144">
        <f>VLOOKUP($A101,'Data shares'!$C:$FA,25)</f>
        <v>0</v>
      </c>
    </row>
    <row r="102" spans="1:7" x14ac:dyDescent="0.25">
      <c r="A102" s="101" t="str">
        <f>'Data shares'!C98</f>
        <v>INDIGO</v>
      </c>
      <c r="B102" s="144">
        <f>VLOOKUP($A102,'Data shares'!$C:$FA,7)</f>
        <v>4638.3999999999996</v>
      </c>
      <c r="C102" s="144">
        <f>VLOOKUP($A102,'Data shares'!$C:$FA,3)</f>
        <v>4647.8999999999996</v>
      </c>
      <c r="D102" s="144">
        <f>VLOOKUP($A102,'Data shares'!$C:$FA,23)</f>
        <v>9.5</v>
      </c>
      <c r="E102" s="145">
        <f>VLOOKUP($A102,'Data shares'!$C:$FA,26)*100</f>
        <v>0.2</v>
      </c>
      <c r="F102" s="144">
        <f>VLOOKUP($A102,'Data shares'!$C:$FA,24)</f>
        <v>15.5</v>
      </c>
      <c r="G102" s="144">
        <f>VLOOKUP($A102,'Data shares'!$C:$FA,25)</f>
        <v>-6</v>
      </c>
    </row>
    <row r="103" spans="1:7" x14ac:dyDescent="0.25">
      <c r="A103" s="101" t="str">
        <f>'Data shares'!C99</f>
        <v>INDUSINDBK</v>
      </c>
      <c r="B103" s="144">
        <f>VLOOKUP($A103,'Data shares'!$C:$FA,7)</f>
        <v>853.9</v>
      </c>
      <c r="C103" s="144">
        <f>VLOOKUP($A103,'Data shares'!$C:$FA,3)</f>
        <v>852.35</v>
      </c>
      <c r="D103" s="144">
        <f>VLOOKUP($A103,'Data shares'!$C:$FA,23)</f>
        <v>-1.55</v>
      </c>
      <c r="E103" s="145">
        <f>VLOOKUP($A103,'Data shares'!$C:$FA,26)*100</f>
        <v>-0.18</v>
      </c>
      <c r="F103" s="144">
        <f>VLOOKUP($A103,'Data shares'!$C:$FA,24)</f>
        <v>1.65</v>
      </c>
      <c r="G103" s="144">
        <f>VLOOKUP($A103,'Data shares'!$C:$FA,25)</f>
        <v>-3.2</v>
      </c>
    </row>
    <row r="104" spans="1:7" x14ac:dyDescent="0.25">
      <c r="A104" s="101" t="str">
        <f>'Data shares'!C100</f>
        <v>INDUSTOWER</v>
      </c>
      <c r="B104" s="144">
        <f>VLOOKUP($A104,'Data shares'!$C:$FA,7)</f>
        <v>412.25</v>
      </c>
      <c r="C104" s="144">
        <f>VLOOKUP($A104,'Data shares'!$C:$FA,3)</f>
        <v>413.35</v>
      </c>
      <c r="D104" s="144">
        <f>VLOOKUP($A104,'Data shares'!$C:$FA,23)</f>
        <v>1.1000000000000001</v>
      </c>
      <c r="E104" s="145">
        <f>VLOOKUP($A104,'Data shares'!$C:$FA,26)*100</f>
        <v>0.27</v>
      </c>
      <c r="F104" s="144">
        <f>VLOOKUP($A104,'Data shares'!$C:$FA,24)</f>
        <v>1.35</v>
      </c>
      <c r="G104" s="144">
        <f>VLOOKUP($A104,'Data shares'!$C:$FA,25)</f>
        <v>-0.25</v>
      </c>
    </row>
    <row r="105" spans="1:7" x14ac:dyDescent="0.25">
      <c r="A105" s="101" t="str">
        <f>'Data shares'!C101</f>
        <v>INFY</v>
      </c>
      <c r="B105" s="144">
        <f>VLOOKUP($A105,'Data shares'!$C:$FA,7)</f>
        <v>1318.7</v>
      </c>
      <c r="C105" s="144">
        <f>VLOOKUP($A105,'Data shares'!$C:$FA,3)</f>
        <v>1321</v>
      </c>
      <c r="D105" s="144">
        <f>VLOOKUP($A105,'Data shares'!$C:$FA,23)</f>
        <v>2.2999999999999998</v>
      </c>
      <c r="E105" s="145">
        <f>VLOOKUP($A105,'Data shares'!$C:$FA,26)*100</f>
        <v>0.16999999999999998</v>
      </c>
      <c r="F105" s="144">
        <f>VLOOKUP($A105,'Data shares'!$C:$FA,24)</f>
        <v>1.5</v>
      </c>
      <c r="G105" s="144">
        <f>VLOOKUP($A105,'Data shares'!$C:$FA,25)</f>
        <v>0.8</v>
      </c>
    </row>
    <row r="106" spans="1:7" x14ac:dyDescent="0.25">
      <c r="A106" s="101" t="str">
        <f>'Data shares'!C102</f>
        <v>INOXWIND</v>
      </c>
      <c r="B106" s="144">
        <f>VLOOKUP($A106,'Data shares'!$C:$FA,7)</f>
        <v>97.9</v>
      </c>
      <c r="C106" s="144">
        <f>VLOOKUP($A106,'Data shares'!$C:$FA,3)</f>
        <v>97.82</v>
      </c>
      <c r="D106" s="144">
        <f>VLOOKUP($A106,'Data shares'!$C:$FA,23)</f>
        <v>-0.08</v>
      </c>
      <c r="E106" s="145">
        <f>VLOOKUP($A106,'Data shares'!$C:$FA,26)*100</f>
        <v>-0.08</v>
      </c>
      <c r="F106" s="144">
        <f>VLOOKUP($A106,'Data shares'!$C:$FA,24)</f>
        <v>0.33</v>
      </c>
      <c r="G106" s="144">
        <f>VLOOKUP($A106,'Data shares'!$C:$FA,25)</f>
        <v>-0.41</v>
      </c>
    </row>
    <row r="107" spans="1:7" x14ac:dyDescent="0.25">
      <c r="A107" s="101" t="str">
        <f>'Data shares'!C103</f>
        <v>IOC</v>
      </c>
      <c r="B107" s="144">
        <f>VLOOKUP($A107,'Data shares'!$C:$FA,7)</f>
        <v>145.88</v>
      </c>
      <c r="C107" s="144">
        <f>VLOOKUP($A107,'Data shares'!$C:$FA,3)</f>
        <v>146.21</v>
      </c>
      <c r="D107" s="144">
        <f>VLOOKUP($A107,'Data shares'!$C:$FA,23)</f>
        <v>0.33</v>
      </c>
      <c r="E107" s="145">
        <f>VLOOKUP($A107,'Data shares'!$C:$FA,26)*100</f>
        <v>0.22999999999999998</v>
      </c>
      <c r="F107" s="144">
        <f>VLOOKUP($A107,'Data shares'!$C:$FA,24)</f>
        <v>7.0000000000000007E-2</v>
      </c>
      <c r="G107" s="144">
        <f>VLOOKUP($A107,'Data shares'!$C:$FA,25)</f>
        <v>0.26</v>
      </c>
    </row>
    <row r="108" spans="1:7" x14ac:dyDescent="0.25">
      <c r="A108" s="101" t="str">
        <f>'Data shares'!C104</f>
        <v>IREDA</v>
      </c>
      <c r="B108" s="144">
        <f>VLOOKUP($A108,'Data shares'!$C:$FA,7)</f>
        <v>133.01</v>
      </c>
      <c r="C108" s="144">
        <f>VLOOKUP($A108,'Data shares'!$C:$FA,3)</f>
        <v>133.36000000000001</v>
      </c>
      <c r="D108" s="144">
        <f>VLOOKUP($A108,'Data shares'!$C:$FA,23)</f>
        <v>0.35</v>
      </c>
      <c r="E108" s="145">
        <f>VLOOKUP($A108,'Data shares'!$C:$FA,26)*100</f>
        <v>0.26</v>
      </c>
      <c r="F108" s="144">
        <f>VLOOKUP($A108,'Data shares'!$C:$FA,24)</f>
        <v>0.25</v>
      </c>
      <c r="G108" s="144">
        <f>VLOOKUP($A108,'Data shares'!$C:$FA,25)</f>
        <v>0.1</v>
      </c>
    </row>
    <row r="109" spans="1:7" x14ac:dyDescent="0.25">
      <c r="A109" s="101" t="str">
        <f>'Data shares'!C105</f>
        <v>IRFC</v>
      </c>
      <c r="B109" s="144">
        <f>VLOOKUP($A109,'Data shares'!$C:$FA,7)</f>
        <v>104.84</v>
      </c>
      <c r="C109" s="144">
        <f>VLOOKUP($A109,'Data shares'!$C:$FA,3)</f>
        <v>104.84</v>
      </c>
      <c r="D109" s="144">
        <f>VLOOKUP($A109,'Data shares'!$C:$FA,23)</f>
        <v>0</v>
      </c>
      <c r="E109" s="145">
        <f>VLOOKUP($A109,'Data shares'!$C:$FA,26)*100</f>
        <v>0</v>
      </c>
      <c r="F109" s="144">
        <f>VLOOKUP($A109,'Data shares'!$C:$FA,24)</f>
        <v>0.38</v>
      </c>
      <c r="G109" s="144">
        <f>VLOOKUP($A109,'Data shares'!$C:$FA,25)</f>
        <v>-0.38</v>
      </c>
    </row>
    <row r="110" spans="1:7" x14ac:dyDescent="0.25">
      <c r="A110" s="101" t="str">
        <f>'Data shares'!C106</f>
        <v>ITC</v>
      </c>
      <c r="B110" s="144">
        <f>VLOOKUP($A110,'Data shares'!$C:$FA,7)</f>
        <v>306.8</v>
      </c>
      <c r="C110" s="144">
        <f>VLOOKUP($A110,'Data shares'!$C:$FA,3)</f>
        <v>307.5</v>
      </c>
      <c r="D110" s="144">
        <f>VLOOKUP($A110,'Data shares'!$C:$FA,23)</f>
        <v>0.7</v>
      </c>
      <c r="E110" s="145">
        <f>VLOOKUP($A110,'Data shares'!$C:$FA,26)*100</f>
        <v>0.22999999999999998</v>
      </c>
      <c r="F110" s="144">
        <f>VLOOKUP($A110,'Data shares'!$C:$FA,24)</f>
        <v>0.35</v>
      </c>
      <c r="G110" s="144">
        <f>VLOOKUP($A110,'Data shares'!$C:$FA,25)</f>
        <v>0.35</v>
      </c>
    </row>
    <row r="111" spans="1:7" x14ac:dyDescent="0.25">
      <c r="A111" s="101" t="str">
        <f>'Data shares'!C107</f>
        <v>JINDALSTEL</v>
      </c>
      <c r="B111" s="144">
        <f>VLOOKUP($A111,'Data shares'!$C:$FA,7)</f>
        <v>1270</v>
      </c>
      <c r="C111" s="144">
        <f>VLOOKUP($A111,'Data shares'!$C:$FA,3)</f>
        <v>1271.4000000000001</v>
      </c>
      <c r="D111" s="144">
        <f>VLOOKUP($A111,'Data shares'!$C:$FA,23)</f>
        <v>1.4</v>
      </c>
      <c r="E111" s="145">
        <f>VLOOKUP($A111,'Data shares'!$C:$FA,26)*100</f>
        <v>0.11</v>
      </c>
      <c r="F111" s="144">
        <f>VLOOKUP($A111,'Data shares'!$C:$FA,24)</f>
        <v>2.6</v>
      </c>
      <c r="G111" s="144">
        <f>VLOOKUP($A111,'Data shares'!$C:$FA,25)</f>
        <v>-1.2</v>
      </c>
    </row>
    <row r="112" spans="1:7" x14ac:dyDescent="0.25">
      <c r="A112" s="101" t="str">
        <f>'Data shares'!C108</f>
        <v>JIOFIN</v>
      </c>
      <c r="B112" s="144">
        <f>VLOOKUP($A112,'Data shares'!$C:$FA,7)</f>
        <v>243.86</v>
      </c>
      <c r="C112" s="144">
        <f>VLOOKUP($A112,'Data shares'!$C:$FA,3)</f>
        <v>244.6</v>
      </c>
      <c r="D112" s="144">
        <f>VLOOKUP($A112,'Data shares'!$C:$FA,23)</f>
        <v>0.74</v>
      </c>
      <c r="E112" s="145">
        <f>VLOOKUP($A112,'Data shares'!$C:$FA,26)*100</f>
        <v>0.3</v>
      </c>
      <c r="F112" s="144">
        <f>VLOOKUP($A112,'Data shares'!$C:$FA,24)</f>
        <v>0.53</v>
      </c>
      <c r="G112" s="144">
        <f>VLOOKUP($A112,'Data shares'!$C:$FA,25)</f>
        <v>0.21</v>
      </c>
    </row>
    <row r="113" spans="1:7" x14ac:dyDescent="0.25">
      <c r="A113" s="101" t="str">
        <f>'Data shares'!C109</f>
        <v>JSWENERGY</v>
      </c>
      <c r="B113" s="144">
        <f>VLOOKUP($A113,'Data shares'!$C:$FA,7)</f>
        <v>538.04999999999995</v>
      </c>
      <c r="C113" s="144">
        <f>VLOOKUP($A113,'Data shares'!$C:$FA,3)</f>
        <v>538.1</v>
      </c>
      <c r="D113" s="144">
        <f>VLOOKUP($A113,'Data shares'!$C:$FA,23)</f>
        <v>0.05</v>
      </c>
      <c r="E113" s="145">
        <f>VLOOKUP($A113,'Data shares'!$C:$FA,26)*100</f>
        <v>0.01</v>
      </c>
      <c r="F113" s="144">
        <f>VLOOKUP($A113,'Data shares'!$C:$FA,24)</f>
        <v>0</v>
      </c>
      <c r="G113" s="144">
        <f>VLOOKUP($A113,'Data shares'!$C:$FA,25)</f>
        <v>0.05</v>
      </c>
    </row>
    <row r="114" spans="1:7" x14ac:dyDescent="0.25">
      <c r="A114" s="101" t="str">
        <f>'Data shares'!C110</f>
        <v>JSWSTEEL</v>
      </c>
      <c r="B114" s="144">
        <f>VLOOKUP($A114,'Data shares'!$C:$FA,7)</f>
        <v>1240.3</v>
      </c>
      <c r="C114" s="144">
        <f>VLOOKUP($A114,'Data shares'!$C:$FA,3)</f>
        <v>1240.2</v>
      </c>
      <c r="D114" s="144">
        <f>VLOOKUP($A114,'Data shares'!$C:$FA,23)</f>
        <v>-0.1</v>
      </c>
      <c r="E114" s="145">
        <f>VLOOKUP($A114,'Data shares'!$C:$FA,26)*100</f>
        <v>-0.01</v>
      </c>
      <c r="F114" s="144">
        <f>VLOOKUP($A114,'Data shares'!$C:$FA,24)</f>
        <v>2.4</v>
      </c>
      <c r="G114" s="144">
        <f>VLOOKUP($A114,'Data shares'!$C:$FA,25)</f>
        <v>-2.5</v>
      </c>
    </row>
    <row r="115" spans="1:7" x14ac:dyDescent="0.25">
      <c r="A115" s="101" t="str">
        <f>'Data shares'!C111</f>
        <v>JUBLFOOD</v>
      </c>
      <c r="B115" s="144">
        <f>VLOOKUP($A115,'Data shares'!$C:$FA,7)</f>
        <v>458.95</v>
      </c>
      <c r="C115" s="144">
        <f>VLOOKUP($A115,'Data shares'!$C:$FA,3)</f>
        <v>458.8</v>
      </c>
      <c r="D115" s="144">
        <f>VLOOKUP($A115,'Data shares'!$C:$FA,23)</f>
        <v>-0.15</v>
      </c>
      <c r="E115" s="145">
        <f>VLOOKUP($A115,'Data shares'!$C:$FA,26)*100</f>
        <v>-0.03</v>
      </c>
      <c r="F115" s="144">
        <f>VLOOKUP($A115,'Data shares'!$C:$FA,24)</f>
        <v>-0.7</v>
      </c>
      <c r="G115" s="144">
        <f>VLOOKUP($A115,'Data shares'!$C:$FA,25)</f>
        <v>0.55000000000000004</v>
      </c>
    </row>
    <row r="116" spans="1:7" x14ac:dyDescent="0.25">
      <c r="A116" s="101" t="str">
        <f>'Data shares'!C112</f>
        <v>KALYANKJIL</v>
      </c>
      <c r="B116" s="144">
        <f>VLOOKUP($A116,'Data shares'!$C:$FA,7)</f>
        <v>426.85</v>
      </c>
      <c r="C116" s="144">
        <f>VLOOKUP($A116,'Data shares'!$C:$FA,3)</f>
        <v>427.95</v>
      </c>
      <c r="D116" s="144">
        <f>VLOOKUP($A116,'Data shares'!$C:$FA,23)</f>
        <v>1.1000000000000001</v>
      </c>
      <c r="E116" s="145">
        <f>VLOOKUP($A116,'Data shares'!$C:$FA,26)*100</f>
        <v>0.26</v>
      </c>
      <c r="F116" s="144">
        <f>VLOOKUP($A116,'Data shares'!$C:$FA,24)</f>
        <v>1.5</v>
      </c>
      <c r="G116" s="144">
        <f>VLOOKUP($A116,'Data shares'!$C:$FA,25)</f>
        <v>-0.4</v>
      </c>
    </row>
    <row r="117" spans="1:7" x14ac:dyDescent="0.25">
      <c r="A117" s="101" t="str">
        <f>'Data shares'!C113</f>
        <v>KAYNES</v>
      </c>
      <c r="B117" s="144">
        <f>VLOOKUP($A117,'Data shares'!$C:$FA,7)</f>
        <v>4214.3999999999996</v>
      </c>
      <c r="C117" s="144">
        <f>VLOOKUP($A117,'Data shares'!$C:$FA,3)</f>
        <v>4208.7</v>
      </c>
      <c r="D117" s="144">
        <f>VLOOKUP($A117,'Data shares'!$C:$FA,23)</f>
        <v>-5.7</v>
      </c>
      <c r="E117" s="145">
        <f>VLOOKUP($A117,'Data shares'!$C:$FA,26)*100</f>
        <v>-0.13999999999999999</v>
      </c>
      <c r="F117" s="144">
        <f>VLOOKUP($A117,'Data shares'!$C:$FA,24)</f>
        <v>9.4</v>
      </c>
      <c r="G117" s="144">
        <f>VLOOKUP($A117,'Data shares'!$C:$FA,25)</f>
        <v>-15.1</v>
      </c>
    </row>
    <row r="118" spans="1:7" x14ac:dyDescent="0.25">
      <c r="A118" s="101" t="str">
        <f>'Data shares'!C114</f>
        <v>KEI</v>
      </c>
      <c r="B118" s="144">
        <f>VLOOKUP($A118,'Data shares'!$C:$FA,7)</f>
        <v>4839.3</v>
      </c>
      <c r="C118" s="144">
        <f>VLOOKUP($A118,'Data shares'!$C:$FA,3)</f>
        <v>4823.5</v>
      </c>
      <c r="D118" s="144">
        <f>VLOOKUP($A118,'Data shares'!$C:$FA,23)</f>
        <v>-15.8</v>
      </c>
      <c r="E118" s="145">
        <f>VLOOKUP($A118,'Data shares'!$C:$FA,26)*100</f>
        <v>-0.33</v>
      </c>
      <c r="F118" s="144">
        <f>VLOOKUP($A118,'Data shares'!$C:$FA,24)</f>
        <v>1.5</v>
      </c>
      <c r="G118" s="144">
        <f>VLOOKUP($A118,'Data shares'!$C:$FA,25)</f>
        <v>-17.3</v>
      </c>
    </row>
    <row r="119" spans="1:7" x14ac:dyDescent="0.25">
      <c r="A119" s="101" t="str">
        <f>'Data shares'!C115</f>
        <v>KFINTECH</v>
      </c>
      <c r="B119" s="144">
        <f>VLOOKUP($A119,'Data shares'!$C:$FA,7)</f>
        <v>976</v>
      </c>
      <c r="C119" s="144">
        <f>VLOOKUP($A119,'Data shares'!$C:$FA,3)</f>
        <v>977.6</v>
      </c>
      <c r="D119" s="144">
        <f>VLOOKUP($A119,'Data shares'!$C:$FA,23)</f>
        <v>1.6</v>
      </c>
      <c r="E119" s="145">
        <f>VLOOKUP($A119,'Data shares'!$C:$FA,26)*100</f>
        <v>0.16</v>
      </c>
      <c r="F119" s="144">
        <f>VLOOKUP($A119,'Data shares'!$C:$FA,24)</f>
        <v>-2.5499999999999998</v>
      </c>
      <c r="G119" s="144">
        <f>VLOOKUP($A119,'Data shares'!$C:$FA,25)</f>
        <v>4.1500000000000004</v>
      </c>
    </row>
    <row r="120" spans="1:7" x14ac:dyDescent="0.25">
      <c r="A120" s="101" t="str">
        <f>'Data shares'!C116</f>
        <v>KOTAKBANK</v>
      </c>
      <c r="B120" s="144">
        <f>VLOOKUP($A120,'Data shares'!$C:$FA,7)</f>
        <v>383.6</v>
      </c>
      <c r="C120" s="144">
        <f>VLOOKUP($A120,'Data shares'!$C:$FA,3)</f>
        <v>383.6</v>
      </c>
      <c r="D120" s="144">
        <f>VLOOKUP($A120,'Data shares'!$C:$FA,23)</f>
        <v>0</v>
      </c>
      <c r="E120" s="145">
        <f>VLOOKUP($A120,'Data shares'!$C:$FA,26)*100</f>
        <v>0</v>
      </c>
      <c r="F120" s="144">
        <f>VLOOKUP($A120,'Data shares'!$C:$FA,24)</f>
        <v>-0.05</v>
      </c>
      <c r="G120" s="144">
        <f>VLOOKUP($A120,'Data shares'!$C:$FA,25)</f>
        <v>0.05</v>
      </c>
    </row>
    <row r="121" spans="1:7" x14ac:dyDescent="0.25">
      <c r="A121" s="101" t="str">
        <f>'Data shares'!C117</f>
        <v>KPITTECH</v>
      </c>
      <c r="B121" s="144">
        <f>VLOOKUP($A121,'Data shares'!$C:$FA,7)</f>
        <v>747.8</v>
      </c>
      <c r="C121" s="144">
        <f>VLOOKUP($A121,'Data shares'!$C:$FA,3)</f>
        <v>747.85</v>
      </c>
      <c r="D121" s="144">
        <f>VLOOKUP($A121,'Data shares'!$C:$FA,23)</f>
        <v>0.05</v>
      </c>
      <c r="E121" s="145">
        <f>VLOOKUP($A121,'Data shares'!$C:$FA,26)*100</f>
        <v>0.01</v>
      </c>
      <c r="F121" s="144">
        <f>VLOOKUP($A121,'Data shares'!$C:$FA,24)</f>
        <v>2.0499999999999998</v>
      </c>
      <c r="G121" s="144">
        <f>VLOOKUP($A121,'Data shares'!$C:$FA,25)</f>
        <v>-2</v>
      </c>
    </row>
    <row r="122" spans="1:7" x14ac:dyDescent="0.25">
      <c r="A122" s="101" t="str">
        <f>'Data shares'!C118</f>
        <v>LAURUSLABS</v>
      </c>
      <c r="B122" s="144">
        <f>VLOOKUP($A122,'Data shares'!$C:$FA,7)</f>
        <v>1135.75</v>
      </c>
      <c r="C122" s="144">
        <f>VLOOKUP($A122,'Data shares'!$C:$FA,3)</f>
        <v>1137.7</v>
      </c>
      <c r="D122" s="144">
        <f>VLOOKUP($A122,'Data shares'!$C:$FA,23)</f>
        <v>1.95</v>
      </c>
      <c r="E122" s="145">
        <f>VLOOKUP($A122,'Data shares'!$C:$FA,26)*100</f>
        <v>0.16999999999999998</v>
      </c>
      <c r="F122" s="144">
        <f>VLOOKUP($A122,'Data shares'!$C:$FA,24)</f>
        <v>2.65</v>
      </c>
      <c r="G122" s="144">
        <f>VLOOKUP($A122,'Data shares'!$C:$FA,25)</f>
        <v>-0.7</v>
      </c>
    </row>
    <row r="123" spans="1:7" x14ac:dyDescent="0.25">
      <c r="A123" s="101" t="str">
        <f>'Data shares'!C119</f>
        <v>LICHSGFIN</v>
      </c>
      <c r="B123" s="144">
        <f>VLOOKUP($A123,'Data shares'!$C:$FA,7)</f>
        <v>540</v>
      </c>
      <c r="C123" s="144">
        <f>VLOOKUP($A123,'Data shares'!$C:$FA,3)</f>
        <v>539.75</v>
      </c>
      <c r="D123" s="144">
        <f>VLOOKUP($A123,'Data shares'!$C:$FA,23)</f>
        <v>-0.25</v>
      </c>
      <c r="E123" s="145">
        <f>VLOOKUP($A123,'Data shares'!$C:$FA,26)*100</f>
        <v>-0.05</v>
      </c>
      <c r="F123" s="144">
        <f>VLOOKUP($A123,'Data shares'!$C:$FA,24)</f>
        <v>-0.05</v>
      </c>
      <c r="G123" s="144">
        <f>VLOOKUP($A123,'Data shares'!$C:$FA,25)</f>
        <v>-0.2</v>
      </c>
    </row>
    <row r="124" spans="1:7" x14ac:dyDescent="0.25">
      <c r="A124" s="101" t="str">
        <f>'Data shares'!C120</f>
        <v>LICI</v>
      </c>
      <c r="B124" s="144">
        <f>VLOOKUP($A124,'Data shares'!$C:$FA,7)</f>
        <v>842.2</v>
      </c>
      <c r="C124" s="144">
        <f>VLOOKUP($A124,'Data shares'!$C:$FA,3)</f>
        <v>844.15</v>
      </c>
      <c r="D124" s="144">
        <f>VLOOKUP($A124,'Data shares'!$C:$FA,23)</f>
        <v>1.95</v>
      </c>
      <c r="E124" s="145">
        <f>VLOOKUP($A124,'Data shares'!$C:$FA,26)*100</f>
        <v>0.22999999999999998</v>
      </c>
      <c r="F124" s="144">
        <f>VLOOKUP($A124,'Data shares'!$C:$FA,24)</f>
        <v>-1.85</v>
      </c>
      <c r="G124" s="144">
        <f>VLOOKUP($A124,'Data shares'!$C:$FA,25)</f>
        <v>3.8</v>
      </c>
    </row>
    <row r="125" spans="1:7" x14ac:dyDescent="0.25">
      <c r="A125" s="101" t="str">
        <f>'Data shares'!C121</f>
        <v>LODHA</v>
      </c>
      <c r="B125" s="144">
        <f>VLOOKUP($A125,'Data shares'!$C:$FA,7)</f>
        <v>872.55</v>
      </c>
      <c r="C125" s="144">
        <f>VLOOKUP($A125,'Data shares'!$C:$FA,3)</f>
        <v>872.85</v>
      </c>
      <c r="D125" s="144">
        <f>VLOOKUP($A125,'Data shares'!$C:$FA,23)</f>
        <v>0.3</v>
      </c>
      <c r="E125" s="145">
        <f>VLOOKUP($A125,'Data shares'!$C:$FA,26)*100</f>
        <v>0.03</v>
      </c>
      <c r="F125" s="144">
        <f>VLOOKUP($A125,'Data shares'!$C:$FA,24)</f>
        <v>2.15</v>
      </c>
      <c r="G125" s="144">
        <f>VLOOKUP($A125,'Data shares'!$C:$FA,25)</f>
        <v>-1.85</v>
      </c>
    </row>
    <row r="126" spans="1:7" x14ac:dyDescent="0.25">
      <c r="A126" s="101" t="str">
        <f>'Data shares'!C122</f>
        <v>LT</v>
      </c>
      <c r="B126" s="144">
        <f>VLOOKUP($A126,'Data shares'!$C:$FA,7)</f>
        <v>4096.1000000000004</v>
      </c>
      <c r="C126" s="144">
        <f>VLOOKUP($A126,'Data shares'!$C:$FA,3)</f>
        <v>4106.8999999999996</v>
      </c>
      <c r="D126" s="144">
        <f>VLOOKUP($A126,'Data shares'!$C:$FA,23)</f>
        <v>10.8</v>
      </c>
      <c r="E126" s="145">
        <f>VLOOKUP($A126,'Data shares'!$C:$FA,26)*100</f>
        <v>0.26</v>
      </c>
      <c r="F126" s="144">
        <f>VLOOKUP($A126,'Data shares'!$C:$FA,24)</f>
        <v>-1.8</v>
      </c>
      <c r="G126" s="144">
        <f>VLOOKUP($A126,'Data shares'!$C:$FA,25)</f>
        <v>12.6</v>
      </c>
    </row>
    <row r="127" spans="1:7" x14ac:dyDescent="0.25">
      <c r="A127" s="101" t="str">
        <f>'Data shares'!C123</f>
        <v>LTF</v>
      </c>
      <c r="B127" s="144">
        <f>VLOOKUP($A127,'Data shares'!$C:$FA,7)</f>
        <v>287.14</v>
      </c>
      <c r="C127" s="144">
        <f>VLOOKUP($A127,'Data shares'!$C:$FA,3)</f>
        <v>287.35000000000002</v>
      </c>
      <c r="D127" s="144">
        <f>VLOOKUP($A127,'Data shares'!$C:$FA,23)</f>
        <v>0.21</v>
      </c>
      <c r="E127" s="145">
        <f>VLOOKUP($A127,'Data shares'!$C:$FA,26)*100</f>
        <v>6.9999999999999993E-2</v>
      </c>
      <c r="F127" s="144">
        <f>VLOOKUP($A127,'Data shares'!$C:$FA,24)</f>
        <v>0.38</v>
      </c>
      <c r="G127" s="144">
        <f>VLOOKUP($A127,'Data shares'!$C:$FA,25)</f>
        <v>-0.17</v>
      </c>
    </row>
    <row r="128" spans="1:7" x14ac:dyDescent="0.25">
      <c r="A128" s="101" t="str">
        <f>'Data shares'!C124</f>
        <v>LTM</v>
      </c>
      <c r="B128" s="144">
        <f>VLOOKUP($A128,'Data shares'!$C:$FA,7)</f>
        <v>4753.6000000000004</v>
      </c>
      <c r="C128" s="144">
        <f>VLOOKUP($A128,'Data shares'!$C:$FA,3)</f>
        <v>4691.8</v>
      </c>
      <c r="D128" s="144">
        <f>VLOOKUP($A128,'Data shares'!$C:$FA,23)</f>
        <v>-61.8</v>
      </c>
      <c r="E128" s="145">
        <f>VLOOKUP($A128,'Data shares'!$C:$FA,26)*100</f>
        <v>-1.3</v>
      </c>
      <c r="F128" s="144">
        <f>VLOOKUP($A128,'Data shares'!$C:$FA,24)</f>
        <v>-97</v>
      </c>
      <c r="G128" s="144">
        <f>VLOOKUP($A128,'Data shares'!$C:$FA,25)</f>
        <v>35.200000000000003</v>
      </c>
    </row>
    <row r="129" spans="1:7" x14ac:dyDescent="0.25">
      <c r="A129" s="101" t="str">
        <f>'Data shares'!C125</f>
        <v>LUPIN</v>
      </c>
      <c r="B129" s="144">
        <f>VLOOKUP($A129,'Data shares'!$C:$FA,7)</f>
        <v>2326.1</v>
      </c>
      <c r="C129" s="144">
        <f>VLOOKUP($A129,'Data shares'!$C:$FA,3)</f>
        <v>2328.4</v>
      </c>
      <c r="D129" s="144">
        <f>VLOOKUP($A129,'Data shares'!$C:$FA,23)</f>
        <v>2.2999999999999998</v>
      </c>
      <c r="E129" s="145">
        <f>VLOOKUP($A129,'Data shares'!$C:$FA,26)*100</f>
        <v>0.1</v>
      </c>
      <c r="F129" s="144">
        <f>VLOOKUP($A129,'Data shares'!$C:$FA,24)</f>
        <v>-0.8</v>
      </c>
      <c r="G129" s="144">
        <f>VLOOKUP($A129,'Data shares'!$C:$FA,25)</f>
        <v>3.1</v>
      </c>
    </row>
    <row r="130" spans="1:7" x14ac:dyDescent="0.25">
      <c r="A130" s="101" t="str">
        <f>'Data shares'!C126</f>
        <v>M&amp;M</v>
      </c>
      <c r="B130" s="144">
        <f>VLOOKUP($A130,'Data shares'!$C:$FA,7)</f>
        <v>3200.2</v>
      </c>
      <c r="C130" s="144">
        <f>VLOOKUP($A130,'Data shares'!$C:$FA,3)</f>
        <v>3207.2</v>
      </c>
      <c r="D130" s="144">
        <f>VLOOKUP($A130,'Data shares'!$C:$FA,23)</f>
        <v>7</v>
      </c>
      <c r="E130" s="145">
        <f>VLOOKUP($A130,'Data shares'!$C:$FA,26)*100</f>
        <v>0.22</v>
      </c>
      <c r="F130" s="144">
        <f>VLOOKUP($A130,'Data shares'!$C:$FA,24)</f>
        <v>7</v>
      </c>
      <c r="G130" s="144">
        <f>VLOOKUP($A130,'Data shares'!$C:$FA,25)</f>
        <v>0</v>
      </c>
    </row>
    <row r="131" spans="1:7" x14ac:dyDescent="0.25">
      <c r="A131" s="101" t="str">
        <f>'Data shares'!C127</f>
        <v>MANAPPURAM</v>
      </c>
      <c r="B131" s="144">
        <f>VLOOKUP($A131,'Data shares'!$C:$FA,7)</f>
        <v>268.89999999999998</v>
      </c>
      <c r="C131" s="144">
        <f>VLOOKUP($A131,'Data shares'!$C:$FA,3)</f>
        <v>270.05</v>
      </c>
      <c r="D131" s="144">
        <f>VLOOKUP($A131,'Data shares'!$C:$FA,23)</f>
        <v>1.1499999999999999</v>
      </c>
      <c r="E131" s="145">
        <f>VLOOKUP($A131,'Data shares'!$C:$FA,26)*100</f>
        <v>0.43</v>
      </c>
      <c r="F131" s="144">
        <f>VLOOKUP($A131,'Data shares'!$C:$FA,24)</f>
        <v>0.9</v>
      </c>
      <c r="G131" s="144">
        <f>VLOOKUP($A131,'Data shares'!$C:$FA,25)</f>
        <v>0.25</v>
      </c>
    </row>
    <row r="132" spans="1:7" x14ac:dyDescent="0.25">
      <c r="A132" s="101" t="str">
        <f>'Data shares'!C128</f>
        <v>MANKIND</v>
      </c>
      <c r="B132" s="144">
        <f>VLOOKUP($A132,'Data shares'!$C:$FA,7)</f>
        <v>2125</v>
      </c>
      <c r="C132" s="144">
        <f>VLOOKUP($A132,'Data shares'!$C:$FA,3)</f>
        <v>2129.4</v>
      </c>
      <c r="D132" s="144">
        <f>VLOOKUP($A132,'Data shares'!$C:$FA,23)</f>
        <v>4.4000000000000004</v>
      </c>
      <c r="E132" s="145">
        <f>VLOOKUP($A132,'Data shares'!$C:$FA,26)*100</f>
        <v>0.21</v>
      </c>
      <c r="F132" s="144">
        <f>VLOOKUP($A132,'Data shares'!$C:$FA,24)</f>
        <v>-2.7</v>
      </c>
      <c r="G132" s="144">
        <f>VLOOKUP($A132,'Data shares'!$C:$FA,25)</f>
        <v>7.1</v>
      </c>
    </row>
    <row r="133" spans="1:7" x14ac:dyDescent="0.25">
      <c r="A133" s="101" t="str">
        <f>'Data shares'!C129</f>
        <v>MARICO</v>
      </c>
      <c r="B133" s="144">
        <f>VLOOKUP($A133,'Data shares'!$C:$FA,7)</f>
        <v>757.3</v>
      </c>
      <c r="C133" s="144">
        <f>VLOOKUP($A133,'Data shares'!$C:$FA,3)</f>
        <v>758.45</v>
      </c>
      <c r="D133" s="144">
        <f>VLOOKUP($A133,'Data shares'!$C:$FA,23)</f>
        <v>1.1499999999999999</v>
      </c>
      <c r="E133" s="145">
        <f>VLOOKUP($A133,'Data shares'!$C:$FA,26)*100</f>
        <v>0.15</v>
      </c>
      <c r="F133" s="144">
        <f>VLOOKUP($A133,'Data shares'!$C:$FA,24)</f>
        <v>2</v>
      </c>
      <c r="G133" s="144">
        <f>VLOOKUP($A133,'Data shares'!$C:$FA,25)</f>
        <v>-0.85</v>
      </c>
    </row>
    <row r="134" spans="1:7" x14ac:dyDescent="0.25">
      <c r="A134" s="101" t="str">
        <f>'Data shares'!C130</f>
        <v>MARUTI</v>
      </c>
      <c r="B134" s="144">
        <f>VLOOKUP($A134,'Data shares'!$C:$FA,7)</f>
        <v>13453</v>
      </c>
      <c r="C134" s="144">
        <f>VLOOKUP($A134,'Data shares'!$C:$FA,3)</f>
        <v>13490</v>
      </c>
      <c r="D134" s="144">
        <f>VLOOKUP($A134,'Data shares'!$C:$FA,23)</f>
        <v>37</v>
      </c>
      <c r="E134" s="145">
        <f>VLOOKUP($A134,'Data shares'!$C:$FA,26)*100</f>
        <v>0.27999999999999997</v>
      </c>
      <c r="F134" s="144">
        <f>VLOOKUP($A134,'Data shares'!$C:$FA,24)</f>
        <v>17</v>
      </c>
      <c r="G134" s="144">
        <f>VLOOKUP($A134,'Data shares'!$C:$FA,25)</f>
        <v>20</v>
      </c>
    </row>
    <row r="135" spans="1:7" x14ac:dyDescent="0.25">
      <c r="A135" s="101" t="str">
        <f>'Data shares'!C131</f>
        <v>MAXHEALTH</v>
      </c>
      <c r="B135" s="144">
        <f>VLOOKUP($A135,'Data shares'!$C:$FA,7)</f>
        <v>1007.65</v>
      </c>
      <c r="C135" s="144">
        <f>VLOOKUP($A135,'Data shares'!$C:$FA,3)</f>
        <v>1007.45</v>
      </c>
      <c r="D135" s="144">
        <f>VLOOKUP($A135,'Data shares'!$C:$FA,23)</f>
        <v>-0.2</v>
      </c>
      <c r="E135" s="145">
        <f>VLOOKUP($A135,'Data shares'!$C:$FA,26)*100</f>
        <v>-0.02</v>
      </c>
      <c r="F135" s="144">
        <f>VLOOKUP($A135,'Data shares'!$C:$FA,24)</f>
        <v>0.35</v>
      </c>
      <c r="G135" s="144">
        <f>VLOOKUP($A135,'Data shares'!$C:$FA,25)</f>
        <v>-0.55000000000000004</v>
      </c>
    </row>
    <row r="136" spans="1:7" x14ac:dyDescent="0.25">
      <c r="A136" s="101" t="str">
        <f>'Data shares'!C132</f>
        <v>MAZDOCK</v>
      </c>
      <c r="B136" s="144">
        <f>VLOOKUP($A136,'Data shares'!$C:$FA,7)</f>
        <v>2616.4</v>
      </c>
      <c r="C136" s="144">
        <f>VLOOKUP($A136,'Data shares'!$C:$FA,3)</f>
        <v>2624.7</v>
      </c>
      <c r="D136" s="144">
        <f>VLOOKUP($A136,'Data shares'!$C:$FA,23)</f>
        <v>8.3000000000000007</v>
      </c>
      <c r="E136" s="145">
        <f>VLOOKUP($A136,'Data shares'!$C:$FA,26)*100</f>
        <v>0.32</v>
      </c>
      <c r="F136" s="144">
        <f>VLOOKUP($A136,'Data shares'!$C:$FA,24)</f>
        <v>8</v>
      </c>
      <c r="G136" s="144">
        <f>VLOOKUP($A136,'Data shares'!$C:$FA,25)</f>
        <v>0.3</v>
      </c>
    </row>
    <row r="137" spans="1:7" x14ac:dyDescent="0.25">
      <c r="A137" s="101" t="str">
        <f>'Data shares'!C133</f>
        <v>MCX</v>
      </c>
      <c r="B137" s="144">
        <f>VLOOKUP($A137,'Data shares'!$C:$FA,7)</f>
        <v>2856.1</v>
      </c>
      <c r="C137" s="144">
        <f>VLOOKUP($A137,'Data shares'!$C:$FA,3)</f>
        <v>2861.9</v>
      </c>
      <c r="D137" s="144">
        <f>VLOOKUP($A137,'Data shares'!$C:$FA,23)</f>
        <v>5.8</v>
      </c>
      <c r="E137" s="145">
        <f>VLOOKUP($A137,'Data shares'!$C:$FA,26)*100</f>
        <v>0.2</v>
      </c>
      <c r="F137" s="144">
        <f>VLOOKUP($A137,'Data shares'!$C:$FA,24)</f>
        <v>10.5</v>
      </c>
      <c r="G137" s="144">
        <f>VLOOKUP($A137,'Data shares'!$C:$FA,25)</f>
        <v>-4.7</v>
      </c>
    </row>
    <row r="138" spans="1:7" x14ac:dyDescent="0.25">
      <c r="A138" s="101" t="str">
        <f>'Data shares'!C134</f>
        <v>MFSL</v>
      </c>
      <c r="B138" s="144">
        <f>VLOOKUP($A138,'Data shares'!$C:$FA,7)</f>
        <v>1683.2</v>
      </c>
      <c r="C138" s="144">
        <f>VLOOKUP($A138,'Data shares'!$C:$FA,3)</f>
        <v>1681.8</v>
      </c>
      <c r="D138" s="144">
        <f>VLOOKUP($A138,'Data shares'!$C:$FA,23)</f>
        <v>-1.4</v>
      </c>
      <c r="E138" s="145">
        <f>VLOOKUP($A138,'Data shares'!$C:$FA,26)*100</f>
        <v>-0.08</v>
      </c>
      <c r="F138" s="144">
        <f>VLOOKUP($A138,'Data shares'!$C:$FA,24)</f>
        <v>-0.6</v>
      </c>
      <c r="G138" s="144">
        <f>VLOOKUP($A138,'Data shares'!$C:$FA,25)</f>
        <v>-0.8</v>
      </c>
    </row>
    <row r="139" spans="1:7" x14ac:dyDescent="0.25">
      <c r="A139" s="101" t="str">
        <f>'Data shares'!C135</f>
        <v>MIDCPNIFTY</v>
      </c>
      <c r="B139" s="144">
        <f>VLOOKUP($A139,'Data shares'!$C:$FA,7)</f>
        <v>13838.85</v>
      </c>
      <c r="C139" s="144">
        <f>VLOOKUP($A139,'Data shares'!$C:$FA,3)</f>
        <v>13849.2</v>
      </c>
      <c r="D139" s="144">
        <f>VLOOKUP($A139,'Data shares'!$C:$FA,23)</f>
        <v>10.35</v>
      </c>
      <c r="E139" s="145">
        <f>VLOOKUP($A139,'Data shares'!$C:$FA,26)*100</f>
        <v>6.9999999999999993E-2</v>
      </c>
      <c r="F139" s="144">
        <f>VLOOKUP($A139,'Data shares'!$C:$FA,24)</f>
        <v>-2.5499999999999998</v>
      </c>
      <c r="G139" s="144">
        <f>VLOOKUP($A139,'Data shares'!$C:$FA,25)</f>
        <v>12.9</v>
      </c>
    </row>
    <row r="140" spans="1:7" x14ac:dyDescent="0.25">
      <c r="A140" s="101" t="str">
        <f>'Data shares'!C136</f>
        <v>MOTHERSON</v>
      </c>
      <c r="B140" s="144">
        <f>VLOOKUP($A140,'Data shares'!$C:$FA,7)</f>
        <v>125.03</v>
      </c>
      <c r="C140" s="144">
        <f>VLOOKUP($A140,'Data shares'!$C:$FA,3)</f>
        <v>125.05</v>
      </c>
      <c r="D140" s="144">
        <f>VLOOKUP($A140,'Data shares'!$C:$FA,23)</f>
        <v>0.02</v>
      </c>
      <c r="E140" s="145">
        <f>VLOOKUP($A140,'Data shares'!$C:$FA,26)*100</f>
        <v>0.02</v>
      </c>
      <c r="F140" s="144">
        <f>VLOOKUP($A140,'Data shares'!$C:$FA,24)</f>
        <v>0.24</v>
      </c>
      <c r="G140" s="144">
        <f>VLOOKUP($A140,'Data shares'!$C:$FA,25)</f>
        <v>-0.22</v>
      </c>
    </row>
    <row r="141" spans="1:7" x14ac:dyDescent="0.25">
      <c r="A141" s="101" t="str">
        <f>'Data shares'!C137</f>
        <v>MOTILALOFS</v>
      </c>
      <c r="B141" s="144">
        <f>VLOOKUP($A141,'Data shares'!$C:$FA,7)</f>
        <v>815.45</v>
      </c>
      <c r="C141" s="144">
        <f>VLOOKUP($A141,'Data shares'!$C:$FA,3)</f>
        <v>817.75</v>
      </c>
      <c r="D141" s="144">
        <f>VLOOKUP($A141,'Data shares'!$C:$FA,23)</f>
        <v>2.2999999999999998</v>
      </c>
      <c r="E141" s="145">
        <f>VLOOKUP($A141,'Data shares'!$C:$FA,26)*100</f>
        <v>0.27999999999999997</v>
      </c>
      <c r="F141" s="144">
        <f>VLOOKUP($A141,'Data shares'!$C:$FA,24)</f>
        <v>2.15</v>
      </c>
      <c r="G141" s="144">
        <f>VLOOKUP($A141,'Data shares'!$C:$FA,25)</f>
        <v>0.15</v>
      </c>
    </row>
    <row r="142" spans="1:7" x14ac:dyDescent="0.25">
      <c r="A142" s="101" t="str">
        <f>'Data shares'!C138</f>
        <v>MPHASIS</v>
      </c>
      <c r="B142" s="144">
        <f>VLOOKUP($A142,'Data shares'!$C:$FA,7)</f>
        <v>2462.1999999999998</v>
      </c>
      <c r="C142" s="144">
        <f>VLOOKUP($A142,'Data shares'!$C:$FA,3)</f>
        <v>2470</v>
      </c>
      <c r="D142" s="144">
        <f>VLOOKUP($A142,'Data shares'!$C:$FA,23)</f>
        <v>7.8</v>
      </c>
      <c r="E142" s="145">
        <f>VLOOKUP($A142,'Data shares'!$C:$FA,26)*100</f>
        <v>0.32</v>
      </c>
      <c r="F142" s="144">
        <f>VLOOKUP($A142,'Data shares'!$C:$FA,24)</f>
        <v>6.7</v>
      </c>
      <c r="G142" s="144">
        <f>VLOOKUP($A142,'Data shares'!$C:$FA,25)</f>
        <v>1.1000000000000001</v>
      </c>
    </row>
    <row r="143" spans="1:7" x14ac:dyDescent="0.25">
      <c r="A143" s="101" t="str">
        <f>'Data shares'!C139</f>
        <v>MUTHOOTFIN</v>
      </c>
      <c r="B143" s="144">
        <f>VLOOKUP($A143,'Data shares'!$C:$FA,7)</f>
        <v>3571.3</v>
      </c>
      <c r="C143" s="144">
        <f>VLOOKUP($A143,'Data shares'!$C:$FA,3)</f>
        <v>3572</v>
      </c>
      <c r="D143" s="144">
        <f>VLOOKUP($A143,'Data shares'!$C:$FA,23)</f>
        <v>0.7</v>
      </c>
      <c r="E143" s="145">
        <f>VLOOKUP($A143,'Data shares'!$C:$FA,26)*100</f>
        <v>0.02</v>
      </c>
      <c r="F143" s="144">
        <f>VLOOKUP($A143,'Data shares'!$C:$FA,24)</f>
        <v>-28.4</v>
      </c>
      <c r="G143" s="144">
        <f>VLOOKUP($A143,'Data shares'!$C:$FA,25)</f>
        <v>29.1</v>
      </c>
    </row>
    <row r="144" spans="1:7" x14ac:dyDescent="0.25">
      <c r="A144" s="101" t="str">
        <f>'Data shares'!C140</f>
        <v>NAM-INDIA</v>
      </c>
      <c r="B144" s="144">
        <f>VLOOKUP($A144,'Data shares'!$C:$FA,7)</f>
        <v>1015.05</v>
      </c>
      <c r="C144" s="144">
        <f>VLOOKUP($A144,'Data shares'!$C:$FA,3)</f>
        <v>1000.05</v>
      </c>
      <c r="D144" s="144">
        <f>VLOOKUP($A144,'Data shares'!$C:$FA,23)</f>
        <v>-15</v>
      </c>
      <c r="E144" s="145">
        <f>VLOOKUP($A144,'Data shares'!$C:$FA,26)*100</f>
        <v>-1.48</v>
      </c>
      <c r="F144" s="144">
        <f>VLOOKUP($A144,'Data shares'!$C:$FA,24)</f>
        <v>-0.95</v>
      </c>
      <c r="G144" s="144">
        <f>VLOOKUP($A144,'Data shares'!$C:$FA,25)</f>
        <v>-14.05</v>
      </c>
    </row>
    <row r="145" spans="1:7" x14ac:dyDescent="0.25">
      <c r="A145" s="101" t="str">
        <f>'Data shares'!C141</f>
        <v>NATIONALUM</v>
      </c>
      <c r="B145" s="144">
        <f>VLOOKUP($A145,'Data shares'!$C:$FA,7)</f>
        <v>438.75</v>
      </c>
      <c r="C145" s="144">
        <f>VLOOKUP($A145,'Data shares'!$C:$FA,3)</f>
        <v>438.65</v>
      </c>
      <c r="D145" s="144">
        <f>VLOOKUP($A145,'Data shares'!$C:$FA,23)</f>
        <v>-0.1</v>
      </c>
      <c r="E145" s="145">
        <f>VLOOKUP($A145,'Data shares'!$C:$FA,26)*100</f>
        <v>-0.02</v>
      </c>
      <c r="F145" s="144">
        <f>VLOOKUP($A145,'Data shares'!$C:$FA,24)</f>
        <v>1.3</v>
      </c>
      <c r="G145" s="144">
        <f>VLOOKUP($A145,'Data shares'!$C:$FA,25)</f>
        <v>-1.4</v>
      </c>
    </row>
    <row r="146" spans="1:7" x14ac:dyDescent="0.25">
      <c r="A146" s="101" t="str">
        <f>'Data shares'!C142</f>
        <v>NAUKRI</v>
      </c>
      <c r="B146" s="144">
        <f>VLOOKUP($A146,'Data shares'!$C:$FA,7)</f>
        <v>1054.55</v>
      </c>
      <c r="C146" s="144">
        <f>VLOOKUP($A146,'Data shares'!$C:$FA,3)</f>
        <v>1055.5</v>
      </c>
      <c r="D146" s="144">
        <f>VLOOKUP($A146,'Data shares'!$C:$FA,23)</f>
        <v>0.95</v>
      </c>
      <c r="E146" s="145">
        <f>VLOOKUP($A146,'Data shares'!$C:$FA,26)*100</f>
        <v>0.09</v>
      </c>
      <c r="F146" s="144">
        <f>VLOOKUP($A146,'Data shares'!$C:$FA,24)</f>
        <v>3.4</v>
      </c>
      <c r="G146" s="144">
        <f>VLOOKUP($A146,'Data shares'!$C:$FA,25)</f>
        <v>-2.4500000000000002</v>
      </c>
    </row>
    <row r="147" spans="1:7" x14ac:dyDescent="0.25">
      <c r="A147" s="101" t="str">
        <f>'Data shares'!C143</f>
        <v>NBCC</v>
      </c>
      <c r="B147" s="144">
        <f>VLOOKUP($A147,'Data shares'!$C:$FA,7)</f>
        <v>94.32</v>
      </c>
      <c r="C147" s="144">
        <f>VLOOKUP($A147,'Data shares'!$C:$FA,3)</f>
        <v>94.45</v>
      </c>
      <c r="D147" s="144">
        <f>VLOOKUP($A147,'Data shares'!$C:$FA,23)</f>
        <v>0.13</v>
      </c>
      <c r="E147" s="145">
        <f>VLOOKUP($A147,'Data shares'!$C:$FA,26)*100</f>
        <v>0.13999999999999999</v>
      </c>
      <c r="F147" s="144">
        <f>VLOOKUP($A147,'Data shares'!$C:$FA,24)</f>
        <v>0.25</v>
      </c>
      <c r="G147" s="144">
        <f>VLOOKUP($A147,'Data shares'!$C:$FA,25)</f>
        <v>-0.12</v>
      </c>
    </row>
    <row r="148" spans="1:7" x14ac:dyDescent="0.25">
      <c r="A148" s="101" t="str">
        <f>'Data shares'!C144</f>
        <v>NESTLEIND</v>
      </c>
      <c r="B148" s="144">
        <f>VLOOKUP($A148,'Data shares'!$C:$FA,7)</f>
        <v>1285.5999999999999</v>
      </c>
      <c r="C148" s="144">
        <f>VLOOKUP($A148,'Data shares'!$C:$FA,3)</f>
        <v>1286</v>
      </c>
      <c r="D148" s="144">
        <f>VLOOKUP($A148,'Data shares'!$C:$FA,23)</f>
        <v>0.4</v>
      </c>
      <c r="E148" s="145">
        <f>VLOOKUP($A148,'Data shares'!$C:$FA,26)*100</f>
        <v>0.03</v>
      </c>
      <c r="F148" s="144">
        <f>VLOOKUP($A148,'Data shares'!$C:$FA,24)</f>
        <v>0.4</v>
      </c>
      <c r="G148" s="144">
        <f>VLOOKUP($A148,'Data shares'!$C:$FA,25)</f>
        <v>0</v>
      </c>
    </row>
    <row r="149" spans="1:7" x14ac:dyDescent="0.25">
      <c r="A149" s="101" t="str">
        <f>'Data shares'!C145</f>
        <v>NHPC</v>
      </c>
      <c r="B149" s="144">
        <f>VLOOKUP($A149,'Data shares'!$C:$FA,7)</f>
        <v>83.56</v>
      </c>
      <c r="C149" s="144">
        <f>VLOOKUP($A149,'Data shares'!$C:$FA,3)</f>
        <v>82.41</v>
      </c>
      <c r="D149" s="144">
        <f>VLOOKUP($A149,'Data shares'!$C:$FA,23)</f>
        <v>-1.1499999999999999</v>
      </c>
      <c r="E149" s="145">
        <f>VLOOKUP($A149,'Data shares'!$C:$FA,26)*100</f>
        <v>-1.38</v>
      </c>
      <c r="F149" s="144">
        <f>VLOOKUP($A149,'Data shares'!$C:$FA,24)</f>
        <v>0.06</v>
      </c>
      <c r="G149" s="144">
        <f>VLOOKUP($A149,'Data shares'!$C:$FA,25)</f>
        <v>-1.21</v>
      </c>
    </row>
    <row r="150" spans="1:7" x14ac:dyDescent="0.25">
      <c r="A150" s="101" t="str">
        <f>'Data shares'!C146</f>
        <v>NIFTY</v>
      </c>
      <c r="B150" s="144">
        <f>VLOOKUP($A150,'Data shares'!$C:$FA,7)</f>
        <v>24353.55</v>
      </c>
      <c r="C150" s="144">
        <f>VLOOKUP($A150,'Data shares'!$C:$FA,3)</f>
        <v>24368</v>
      </c>
      <c r="D150" s="144">
        <f>VLOOKUP($A150,'Data shares'!$C:$FA,23)</f>
        <v>14.45</v>
      </c>
      <c r="E150" s="145">
        <f>VLOOKUP($A150,'Data shares'!$C:$FA,26)*100</f>
        <v>0.06</v>
      </c>
      <c r="F150" s="144">
        <f>VLOOKUP($A150,'Data shares'!$C:$FA,24)</f>
        <v>-0.95</v>
      </c>
      <c r="G150" s="144">
        <f>VLOOKUP($A150,'Data shares'!$C:$FA,25)</f>
        <v>15.4</v>
      </c>
    </row>
    <row r="151" spans="1:7" x14ac:dyDescent="0.25">
      <c r="A151" s="101" t="str">
        <f>'Data shares'!C147</f>
        <v>NIFTYNXT50</v>
      </c>
      <c r="B151" s="144">
        <f>VLOOKUP($A151,'Data shares'!$C:$FA,7)</f>
        <v>70273.8</v>
      </c>
      <c r="C151" s="144">
        <f>VLOOKUP($A151,'Data shares'!$C:$FA,3)</f>
        <v>70321.2</v>
      </c>
      <c r="D151" s="144">
        <f>VLOOKUP($A151,'Data shares'!$C:$FA,23)</f>
        <v>47.4</v>
      </c>
      <c r="E151" s="145">
        <f>VLOOKUP($A151,'Data shares'!$C:$FA,26)*100</f>
        <v>6.9999999999999993E-2</v>
      </c>
      <c r="F151" s="144">
        <f>VLOOKUP($A151,'Data shares'!$C:$FA,24)</f>
        <v>34.200000000000003</v>
      </c>
      <c r="G151" s="144">
        <f>VLOOKUP($A151,'Data shares'!$C:$FA,25)</f>
        <v>13.2</v>
      </c>
    </row>
    <row r="152" spans="1:7" x14ac:dyDescent="0.25">
      <c r="A152" s="101" t="str">
        <f>'Data shares'!C148</f>
        <v>NMDC</v>
      </c>
      <c r="B152" s="144">
        <f>VLOOKUP($A152,'Data shares'!$C:$FA,7)</f>
        <v>89.78</v>
      </c>
      <c r="C152" s="144">
        <f>VLOOKUP($A152,'Data shares'!$C:$FA,3)</f>
        <v>89.95</v>
      </c>
      <c r="D152" s="144">
        <f>VLOOKUP($A152,'Data shares'!$C:$FA,23)</f>
        <v>0.17</v>
      </c>
      <c r="E152" s="145">
        <f>VLOOKUP($A152,'Data shares'!$C:$FA,26)*100</f>
        <v>0.19</v>
      </c>
      <c r="F152" s="144">
        <f>VLOOKUP($A152,'Data shares'!$C:$FA,24)</f>
        <v>7.0000000000000007E-2</v>
      </c>
      <c r="G152" s="144">
        <f>VLOOKUP($A152,'Data shares'!$C:$FA,25)</f>
        <v>0.1</v>
      </c>
    </row>
    <row r="153" spans="1:7" x14ac:dyDescent="0.25">
      <c r="A153" s="101" t="str">
        <f>'Data shares'!C149</f>
        <v>NTPC</v>
      </c>
      <c r="B153" s="144">
        <f>VLOOKUP($A153,'Data shares'!$C:$FA,7)</f>
        <v>393.6</v>
      </c>
      <c r="C153" s="144">
        <f>VLOOKUP($A153,'Data shares'!$C:$FA,3)</f>
        <v>395.2</v>
      </c>
      <c r="D153" s="144">
        <f>VLOOKUP($A153,'Data shares'!$C:$FA,23)</f>
        <v>1.6</v>
      </c>
      <c r="E153" s="145">
        <f>VLOOKUP($A153,'Data shares'!$C:$FA,26)*100</f>
        <v>0.41000000000000003</v>
      </c>
      <c r="F153" s="144">
        <f>VLOOKUP($A153,'Data shares'!$C:$FA,24)</f>
        <v>1.1499999999999999</v>
      </c>
      <c r="G153" s="144">
        <f>VLOOKUP($A153,'Data shares'!$C:$FA,25)</f>
        <v>0.45</v>
      </c>
    </row>
    <row r="154" spans="1:7" x14ac:dyDescent="0.25">
      <c r="A154" s="101" t="str">
        <f>'Data shares'!C150</f>
        <v>NUVAMA</v>
      </c>
      <c r="B154" s="144">
        <f>VLOOKUP($A154,'Data shares'!$C:$FA,7)</f>
        <v>1400.7</v>
      </c>
      <c r="C154" s="144">
        <f>VLOOKUP($A154,'Data shares'!$C:$FA,3)</f>
        <v>1394.8</v>
      </c>
      <c r="D154" s="144">
        <f>VLOOKUP($A154,'Data shares'!$C:$FA,23)</f>
        <v>-5.9</v>
      </c>
      <c r="E154" s="145">
        <f>VLOOKUP($A154,'Data shares'!$C:$FA,26)*100</f>
        <v>-0.42</v>
      </c>
      <c r="F154" s="144">
        <f>VLOOKUP($A154,'Data shares'!$C:$FA,24)</f>
        <v>-10.5</v>
      </c>
      <c r="G154" s="144">
        <f>VLOOKUP($A154,'Data shares'!$C:$FA,25)</f>
        <v>4.5999999999999996</v>
      </c>
    </row>
    <row r="155" spans="1:7" x14ac:dyDescent="0.25">
      <c r="A155" s="101" t="str">
        <f>'Data shares'!C151</f>
        <v>NYKAA</v>
      </c>
      <c r="B155" s="144">
        <f>VLOOKUP($A155,'Data shares'!$C:$FA,7)</f>
        <v>269.66000000000003</v>
      </c>
      <c r="C155" s="144">
        <f>VLOOKUP($A155,'Data shares'!$C:$FA,3)</f>
        <v>270.02999999999997</v>
      </c>
      <c r="D155" s="144">
        <f>VLOOKUP($A155,'Data shares'!$C:$FA,23)</f>
        <v>0.37</v>
      </c>
      <c r="E155" s="145">
        <f>VLOOKUP($A155,'Data shares'!$C:$FA,26)*100</f>
        <v>0.13999999999999999</v>
      </c>
      <c r="F155" s="144">
        <f>VLOOKUP($A155,'Data shares'!$C:$FA,24)</f>
        <v>0.82</v>
      </c>
      <c r="G155" s="144">
        <f>VLOOKUP($A155,'Data shares'!$C:$FA,25)</f>
        <v>-0.45</v>
      </c>
    </row>
    <row r="156" spans="1:7" x14ac:dyDescent="0.25">
      <c r="A156" s="101" t="str">
        <f>'Data shares'!C152</f>
        <v>OBEROIRLTY</v>
      </c>
      <c r="B156" s="144">
        <f>VLOOKUP($A156,'Data shares'!$C:$FA,7)</f>
        <v>1710.6</v>
      </c>
      <c r="C156" s="144">
        <f>VLOOKUP($A156,'Data shares'!$C:$FA,3)</f>
        <v>1713.1</v>
      </c>
      <c r="D156" s="144">
        <f>VLOOKUP($A156,'Data shares'!$C:$FA,23)</f>
        <v>2.5</v>
      </c>
      <c r="E156" s="145">
        <f>VLOOKUP($A156,'Data shares'!$C:$FA,26)*100</f>
        <v>0.15</v>
      </c>
      <c r="F156" s="144">
        <f>VLOOKUP($A156,'Data shares'!$C:$FA,24)</f>
        <v>3.9</v>
      </c>
      <c r="G156" s="144">
        <f>VLOOKUP($A156,'Data shares'!$C:$FA,25)</f>
        <v>-1.4</v>
      </c>
    </row>
    <row r="157" spans="1:7" x14ac:dyDescent="0.25">
      <c r="A157" s="101" t="str">
        <f>'Data shares'!C153</f>
        <v>OFSS</v>
      </c>
      <c r="B157" s="144">
        <f>VLOOKUP($A157,'Data shares'!$C:$FA,7)</f>
        <v>7992.5</v>
      </c>
      <c r="C157" s="144">
        <f>VLOOKUP($A157,'Data shares'!$C:$FA,3)</f>
        <v>8011.5</v>
      </c>
      <c r="D157" s="144">
        <f>VLOOKUP($A157,'Data shares'!$C:$FA,23)</f>
        <v>19</v>
      </c>
      <c r="E157" s="145">
        <f>VLOOKUP($A157,'Data shares'!$C:$FA,26)*100</f>
        <v>0.24</v>
      </c>
      <c r="F157" s="144">
        <f>VLOOKUP($A157,'Data shares'!$C:$FA,24)</f>
        <v>-27.5</v>
      </c>
      <c r="G157" s="144">
        <f>VLOOKUP($A157,'Data shares'!$C:$FA,25)</f>
        <v>46.5</v>
      </c>
    </row>
    <row r="158" spans="1:7" x14ac:dyDescent="0.25">
      <c r="A158" s="101" t="str">
        <f>'Data shares'!C154</f>
        <v>OIL</v>
      </c>
      <c r="B158" s="144">
        <f>VLOOKUP($A158,'Data shares'!$C:$FA,7)</f>
        <v>470.1</v>
      </c>
      <c r="C158" s="144">
        <f>VLOOKUP($A158,'Data shares'!$C:$FA,3)</f>
        <v>470.6</v>
      </c>
      <c r="D158" s="144">
        <f>VLOOKUP($A158,'Data shares'!$C:$FA,23)</f>
        <v>0.5</v>
      </c>
      <c r="E158" s="145">
        <f>VLOOKUP($A158,'Data shares'!$C:$FA,26)*100</f>
        <v>0.11</v>
      </c>
      <c r="F158" s="144">
        <f>VLOOKUP($A158,'Data shares'!$C:$FA,24)</f>
        <v>1.45</v>
      </c>
      <c r="G158" s="144">
        <f>VLOOKUP($A158,'Data shares'!$C:$FA,25)</f>
        <v>-0.95</v>
      </c>
    </row>
    <row r="159" spans="1:7" x14ac:dyDescent="0.25">
      <c r="A159" s="101" t="str">
        <f>'Data shares'!C155</f>
        <v>ONGC</v>
      </c>
      <c r="B159" s="144">
        <f>VLOOKUP($A159,'Data shares'!$C:$FA,7)</f>
        <v>284.05</v>
      </c>
      <c r="C159" s="144">
        <f>VLOOKUP($A159,'Data shares'!$C:$FA,3)</f>
        <v>284.89999999999998</v>
      </c>
      <c r="D159" s="144">
        <f>VLOOKUP($A159,'Data shares'!$C:$FA,23)</f>
        <v>0.85</v>
      </c>
      <c r="E159" s="145">
        <f>VLOOKUP($A159,'Data shares'!$C:$FA,26)*100</f>
        <v>0.3</v>
      </c>
      <c r="F159" s="144">
        <f>VLOOKUP($A159,'Data shares'!$C:$FA,24)</f>
        <v>0.8</v>
      </c>
      <c r="G159" s="144">
        <f>VLOOKUP($A159,'Data shares'!$C:$FA,25)</f>
        <v>0.05</v>
      </c>
    </row>
    <row r="160" spans="1:7" x14ac:dyDescent="0.25">
      <c r="A160" s="101" t="str">
        <f>'Data shares'!C156</f>
        <v>PAGEIND</v>
      </c>
      <c r="B160" s="144">
        <f>VLOOKUP($A160,'Data shares'!$C:$FA,7)</f>
        <v>37975</v>
      </c>
      <c r="C160" s="144">
        <f>VLOOKUP($A160,'Data shares'!$C:$FA,3)</f>
        <v>37930</v>
      </c>
      <c r="D160" s="144">
        <f>VLOOKUP($A160,'Data shares'!$C:$FA,23)</f>
        <v>-45</v>
      </c>
      <c r="E160" s="145">
        <f>VLOOKUP($A160,'Data shares'!$C:$FA,26)*100</f>
        <v>-0.12</v>
      </c>
      <c r="F160" s="144">
        <f>VLOOKUP($A160,'Data shares'!$C:$FA,24)</f>
        <v>45</v>
      </c>
      <c r="G160" s="144">
        <f>VLOOKUP($A160,'Data shares'!$C:$FA,25)</f>
        <v>-90</v>
      </c>
    </row>
    <row r="161" spans="1:7" x14ac:dyDescent="0.25">
      <c r="A161" s="101" t="str">
        <f>'Data shares'!C157</f>
        <v>PATANJALI</v>
      </c>
      <c r="B161" s="144">
        <f>VLOOKUP($A161,'Data shares'!$C:$FA,7)</f>
        <v>468.3</v>
      </c>
      <c r="C161" s="144">
        <f>VLOOKUP($A161,'Data shares'!$C:$FA,3)</f>
        <v>469</v>
      </c>
      <c r="D161" s="144">
        <f>VLOOKUP($A161,'Data shares'!$C:$FA,23)</f>
        <v>0.7</v>
      </c>
      <c r="E161" s="145">
        <f>VLOOKUP($A161,'Data shares'!$C:$FA,26)*100</f>
        <v>0.15</v>
      </c>
      <c r="F161" s="144">
        <f>VLOOKUP($A161,'Data shares'!$C:$FA,24)</f>
        <v>-0.25</v>
      </c>
      <c r="G161" s="144">
        <f>VLOOKUP($A161,'Data shares'!$C:$FA,25)</f>
        <v>0.95</v>
      </c>
    </row>
    <row r="162" spans="1:7" x14ac:dyDescent="0.25">
      <c r="A162" s="101" t="str">
        <f>'Data shares'!C158</f>
        <v>PAYTM</v>
      </c>
      <c r="B162" s="144">
        <f>VLOOKUP($A162,'Data shares'!$C:$FA,7)</f>
        <v>1161.6500000000001</v>
      </c>
      <c r="C162" s="144">
        <f>VLOOKUP($A162,'Data shares'!$C:$FA,3)</f>
        <v>1161.7</v>
      </c>
      <c r="D162" s="144">
        <f>VLOOKUP($A162,'Data shares'!$C:$FA,23)</f>
        <v>0.05</v>
      </c>
      <c r="E162" s="145">
        <f>VLOOKUP($A162,'Data shares'!$C:$FA,26)*100</f>
        <v>0</v>
      </c>
      <c r="F162" s="144">
        <f>VLOOKUP($A162,'Data shares'!$C:$FA,24)</f>
        <v>-0.15</v>
      </c>
      <c r="G162" s="144">
        <f>VLOOKUP($A162,'Data shares'!$C:$FA,25)</f>
        <v>0.2</v>
      </c>
    </row>
    <row r="163" spans="1:7" x14ac:dyDescent="0.25">
      <c r="A163" s="101" t="str">
        <f>'Data shares'!C159</f>
        <v>PERSISTENT</v>
      </c>
      <c r="B163" s="144">
        <f>VLOOKUP($A163,'Data shares'!$C:$FA,7)</f>
        <v>5446.5</v>
      </c>
      <c r="C163" s="144">
        <f>VLOOKUP($A163,'Data shares'!$C:$FA,3)</f>
        <v>5452.2</v>
      </c>
      <c r="D163" s="144">
        <f>VLOOKUP($A163,'Data shares'!$C:$FA,23)</f>
        <v>5.7</v>
      </c>
      <c r="E163" s="145">
        <f>VLOOKUP($A163,'Data shares'!$C:$FA,26)*100</f>
        <v>0.1</v>
      </c>
      <c r="F163" s="144">
        <f>VLOOKUP($A163,'Data shares'!$C:$FA,24)</f>
        <v>-9.8000000000000007</v>
      </c>
      <c r="G163" s="144">
        <f>VLOOKUP($A163,'Data shares'!$C:$FA,25)</f>
        <v>15.5</v>
      </c>
    </row>
    <row r="164" spans="1:7" x14ac:dyDescent="0.25">
      <c r="A164" s="101" t="str">
        <f>'Data shares'!C160</f>
        <v>PETRONET</v>
      </c>
      <c r="B164" s="144">
        <f>VLOOKUP($A164,'Data shares'!$C:$FA,7)</f>
        <v>273.22000000000003</v>
      </c>
      <c r="C164" s="144">
        <f>VLOOKUP($A164,'Data shares'!$C:$FA,3)</f>
        <v>273.19</v>
      </c>
      <c r="D164" s="144">
        <f>VLOOKUP($A164,'Data shares'!$C:$FA,23)</f>
        <v>-0.03</v>
      </c>
      <c r="E164" s="145">
        <f>VLOOKUP($A164,'Data shares'!$C:$FA,26)*100</f>
        <v>-0.01</v>
      </c>
      <c r="F164" s="144">
        <f>VLOOKUP($A164,'Data shares'!$C:$FA,24)</f>
        <v>-0.33</v>
      </c>
      <c r="G164" s="144">
        <f>VLOOKUP($A164,'Data shares'!$C:$FA,25)</f>
        <v>0.3</v>
      </c>
    </row>
    <row r="165" spans="1:7" x14ac:dyDescent="0.25">
      <c r="A165" s="101" t="str">
        <f>'Data shares'!C161</f>
        <v>PFC</v>
      </c>
      <c r="B165" s="144">
        <f>VLOOKUP($A165,'Data shares'!$C:$FA,7)</f>
        <v>464.85</v>
      </c>
      <c r="C165" s="144">
        <f>VLOOKUP($A165,'Data shares'!$C:$FA,3)</f>
        <v>466</v>
      </c>
      <c r="D165" s="144">
        <f>VLOOKUP($A165,'Data shares'!$C:$FA,23)</f>
        <v>1.1499999999999999</v>
      </c>
      <c r="E165" s="145">
        <f>VLOOKUP($A165,'Data shares'!$C:$FA,26)*100</f>
        <v>0.25</v>
      </c>
      <c r="F165" s="144">
        <f>VLOOKUP($A165,'Data shares'!$C:$FA,24)</f>
        <v>0.05</v>
      </c>
      <c r="G165" s="144">
        <f>VLOOKUP($A165,'Data shares'!$C:$FA,25)</f>
        <v>1.1000000000000001</v>
      </c>
    </row>
    <row r="166" spans="1:7" x14ac:dyDescent="0.25">
      <c r="A166" s="101" t="str">
        <f>'Data shares'!C162</f>
        <v>PGEL</v>
      </c>
      <c r="B166" s="144">
        <f>VLOOKUP($A166,'Data shares'!$C:$FA,7)</f>
        <v>561.4</v>
      </c>
      <c r="C166" s="144">
        <f>VLOOKUP($A166,'Data shares'!$C:$FA,3)</f>
        <v>562.65</v>
      </c>
      <c r="D166" s="144">
        <f>VLOOKUP($A166,'Data shares'!$C:$FA,23)</f>
        <v>1.25</v>
      </c>
      <c r="E166" s="145">
        <f>VLOOKUP($A166,'Data shares'!$C:$FA,26)*100</f>
        <v>0.22</v>
      </c>
      <c r="F166" s="144">
        <f>VLOOKUP($A166,'Data shares'!$C:$FA,24)</f>
        <v>-0.45</v>
      </c>
      <c r="G166" s="144">
        <f>VLOOKUP($A166,'Data shares'!$C:$FA,25)</f>
        <v>1.7</v>
      </c>
    </row>
    <row r="167" spans="1:7" x14ac:dyDescent="0.25">
      <c r="A167" s="101" t="str">
        <f>'Data shares'!C163</f>
        <v>PHOENIXLTD</v>
      </c>
      <c r="B167" s="144">
        <f>VLOOKUP($A167,'Data shares'!$C:$FA,7)</f>
        <v>1792.2</v>
      </c>
      <c r="C167" s="144">
        <f>VLOOKUP($A167,'Data shares'!$C:$FA,3)</f>
        <v>1798.6</v>
      </c>
      <c r="D167" s="144">
        <f>VLOOKUP($A167,'Data shares'!$C:$FA,23)</f>
        <v>6.4</v>
      </c>
      <c r="E167" s="145">
        <f>VLOOKUP($A167,'Data shares'!$C:$FA,26)*100</f>
        <v>0.36</v>
      </c>
      <c r="F167" s="144">
        <f>VLOOKUP($A167,'Data shares'!$C:$FA,24)</f>
        <v>4.4000000000000004</v>
      </c>
      <c r="G167" s="144">
        <f>VLOOKUP($A167,'Data shares'!$C:$FA,25)</f>
        <v>2</v>
      </c>
    </row>
    <row r="168" spans="1:7" s="175" customFormat="1" x14ac:dyDescent="0.25">
      <c r="A168" s="101" t="str">
        <f>'Data shares'!C164</f>
        <v>PIDILITIND</v>
      </c>
      <c r="B168" s="144">
        <f>VLOOKUP($A168,'Data shares'!$C:$FA,7)</f>
        <v>1393.4</v>
      </c>
      <c r="C168" s="144">
        <f>VLOOKUP($A168,'Data shares'!$C:$FA,3)</f>
        <v>1396.9</v>
      </c>
      <c r="D168" s="144">
        <f>VLOOKUP($A168,'Data shares'!$C:$FA,23)</f>
        <v>3.5</v>
      </c>
      <c r="E168" s="145">
        <f>VLOOKUP($A168,'Data shares'!$C:$FA,26)*100</f>
        <v>0.25</v>
      </c>
      <c r="F168" s="144">
        <f>VLOOKUP($A168,'Data shares'!$C:$FA,24)</f>
        <v>0.3</v>
      </c>
      <c r="G168" s="144">
        <f>VLOOKUP($A168,'Data shares'!$C:$FA,25)</f>
        <v>3.2</v>
      </c>
    </row>
    <row r="169" spans="1:7" x14ac:dyDescent="0.25">
      <c r="A169" s="101" t="str">
        <f>'Data shares'!C165</f>
        <v>PIIND</v>
      </c>
      <c r="B169" s="144">
        <f>VLOOKUP($A169,'Data shares'!$C:$FA,7)</f>
        <v>3139.7</v>
      </c>
      <c r="C169" s="144">
        <f>VLOOKUP($A169,'Data shares'!$C:$FA,3)</f>
        <v>3116.8</v>
      </c>
      <c r="D169" s="144">
        <f>VLOOKUP($A169,'Data shares'!$C:$FA,23)</f>
        <v>-22.9</v>
      </c>
      <c r="E169" s="145">
        <f>VLOOKUP($A169,'Data shares'!$C:$FA,26)*100</f>
        <v>-0.73</v>
      </c>
      <c r="F169" s="144">
        <f>VLOOKUP($A169,'Data shares'!$C:$FA,24)</f>
        <v>-5.3</v>
      </c>
      <c r="G169" s="144">
        <f>VLOOKUP($A169,'Data shares'!$C:$FA,25)</f>
        <v>-17.600000000000001</v>
      </c>
    </row>
    <row r="170" spans="1:7" x14ac:dyDescent="0.25">
      <c r="A170" s="101" t="str">
        <f>'Data shares'!C166</f>
        <v>PNB</v>
      </c>
      <c r="B170" s="144">
        <f>VLOOKUP($A170,'Data shares'!$C:$FA,7)</f>
        <v>114.48</v>
      </c>
      <c r="C170" s="144">
        <f>VLOOKUP($A170,'Data shares'!$C:$FA,3)</f>
        <v>114.73</v>
      </c>
      <c r="D170" s="144">
        <f>VLOOKUP($A170,'Data shares'!$C:$FA,23)</f>
        <v>0.25</v>
      </c>
      <c r="E170" s="145">
        <f>VLOOKUP($A170,'Data shares'!$C:$FA,26)*100</f>
        <v>0.22</v>
      </c>
      <c r="F170" s="144">
        <f>VLOOKUP($A170,'Data shares'!$C:$FA,24)</f>
        <v>0.16</v>
      </c>
      <c r="G170" s="144">
        <f>VLOOKUP($A170,'Data shares'!$C:$FA,25)</f>
        <v>0.09</v>
      </c>
    </row>
    <row r="171" spans="1:7" x14ac:dyDescent="0.25">
      <c r="A171" s="101" t="str">
        <f>'Data shares'!C167</f>
        <v>PNBHOUSING</v>
      </c>
      <c r="B171" s="144">
        <f>VLOOKUP($A171,'Data shares'!$C:$FA,7)</f>
        <v>923.7</v>
      </c>
      <c r="C171" s="144">
        <f>VLOOKUP($A171,'Data shares'!$C:$FA,3)</f>
        <v>924.4</v>
      </c>
      <c r="D171" s="144">
        <f>VLOOKUP($A171,'Data shares'!$C:$FA,23)</f>
        <v>0.7</v>
      </c>
      <c r="E171" s="145">
        <f>VLOOKUP($A171,'Data shares'!$C:$FA,26)*100</f>
        <v>0.08</v>
      </c>
      <c r="F171" s="144">
        <f>VLOOKUP($A171,'Data shares'!$C:$FA,24)</f>
        <v>2.65</v>
      </c>
      <c r="G171" s="144">
        <f>VLOOKUP($A171,'Data shares'!$C:$FA,25)</f>
        <v>-1.95</v>
      </c>
    </row>
    <row r="172" spans="1:7" x14ac:dyDescent="0.25">
      <c r="A172" s="101" t="str">
        <f>'Data shares'!C168</f>
        <v>POLICYBZR</v>
      </c>
      <c r="B172" s="144">
        <f>VLOOKUP($A172,'Data shares'!$C:$FA,7)</f>
        <v>1600.6</v>
      </c>
      <c r="C172" s="144">
        <f>VLOOKUP($A172,'Data shares'!$C:$FA,3)</f>
        <v>1601.1</v>
      </c>
      <c r="D172" s="144">
        <f>VLOOKUP($A172,'Data shares'!$C:$FA,23)</f>
        <v>0.5</v>
      </c>
      <c r="E172" s="145">
        <f>VLOOKUP($A172,'Data shares'!$C:$FA,26)*100</f>
        <v>0.03</v>
      </c>
      <c r="F172" s="144">
        <f>VLOOKUP($A172,'Data shares'!$C:$FA,24)</f>
        <v>4.8</v>
      </c>
      <c r="G172" s="144">
        <f>VLOOKUP($A172,'Data shares'!$C:$FA,25)</f>
        <v>-4.3</v>
      </c>
    </row>
    <row r="173" spans="1:7" x14ac:dyDescent="0.25">
      <c r="A173" s="101" t="str">
        <f>'Data shares'!C169</f>
        <v>POLYCAB</v>
      </c>
      <c r="B173" s="144">
        <f>VLOOKUP($A173,'Data shares'!$C:$FA,7)</f>
        <v>8182.5</v>
      </c>
      <c r="C173" s="144">
        <f>VLOOKUP($A173,'Data shares'!$C:$FA,3)</f>
        <v>8162</v>
      </c>
      <c r="D173" s="144">
        <f>VLOOKUP($A173,'Data shares'!$C:$FA,23)</f>
        <v>-20.5</v>
      </c>
      <c r="E173" s="145">
        <f>VLOOKUP($A173,'Data shares'!$C:$FA,26)*100</f>
        <v>-0.25</v>
      </c>
      <c r="F173" s="144">
        <f>VLOOKUP($A173,'Data shares'!$C:$FA,24)</f>
        <v>21.5</v>
      </c>
      <c r="G173" s="144">
        <f>VLOOKUP($A173,'Data shares'!$C:$FA,25)</f>
        <v>-42</v>
      </c>
    </row>
    <row r="174" spans="1:7" x14ac:dyDescent="0.25">
      <c r="A174" s="101" t="str">
        <f>'Data shares'!C170</f>
        <v>POWERGRID</v>
      </c>
      <c r="B174" s="144">
        <f>VLOOKUP($A174,'Data shares'!$C:$FA,7)</f>
        <v>318.10000000000002</v>
      </c>
      <c r="C174" s="144">
        <f>VLOOKUP($A174,'Data shares'!$C:$FA,3)</f>
        <v>317.64999999999998</v>
      </c>
      <c r="D174" s="144">
        <f>VLOOKUP($A174,'Data shares'!$C:$FA,23)</f>
        <v>-0.45</v>
      </c>
      <c r="E174" s="145">
        <f>VLOOKUP($A174,'Data shares'!$C:$FA,26)*100</f>
        <v>-0.13999999999999999</v>
      </c>
      <c r="F174" s="144">
        <f>VLOOKUP($A174,'Data shares'!$C:$FA,24)</f>
        <v>-0.4</v>
      </c>
      <c r="G174" s="144">
        <f>VLOOKUP($A174,'Data shares'!$C:$FA,25)</f>
        <v>-0.05</v>
      </c>
    </row>
    <row r="175" spans="1:7" x14ac:dyDescent="0.25">
      <c r="A175" s="101" t="str">
        <f>'Data shares'!C171</f>
        <v>POWERINDIA</v>
      </c>
      <c r="B175" s="144">
        <f>VLOOKUP($A175,'Data shares'!$C:$FA,7)</f>
        <v>28925</v>
      </c>
      <c r="C175" s="144">
        <f>VLOOKUP($A175,'Data shares'!$C:$FA,3)</f>
        <v>28970</v>
      </c>
      <c r="D175" s="144">
        <f>VLOOKUP($A175,'Data shares'!$C:$FA,23)</f>
        <v>45</v>
      </c>
      <c r="E175" s="145">
        <f>VLOOKUP($A175,'Data shares'!$C:$FA,26)*100</f>
        <v>0.16</v>
      </c>
      <c r="F175" s="144">
        <f>VLOOKUP($A175,'Data shares'!$C:$FA,24)</f>
        <v>70</v>
      </c>
      <c r="G175" s="144">
        <f>VLOOKUP($A175,'Data shares'!$C:$FA,25)</f>
        <v>-25</v>
      </c>
    </row>
    <row r="176" spans="1:7" x14ac:dyDescent="0.25">
      <c r="A176" s="101" t="str">
        <f>'Data shares'!C172</f>
        <v>PPLPHARMA</v>
      </c>
      <c r="B176" s="144">
        <f>VLOOKUP($A176,'Data shares'!$C:$FA,7)</f>
        <v>148.85</v>
      </c>
      <c r="C176" s="144">
        <f>VLOOKUP($A176,'Data shares'!$C:$FA,3)</f>
        <v>148.41</v>
      </c>
      <c r="D176" s="144">
        <f>VLOOKUP($A176,'Data shares'!$C:$FA,23)</f>
        <v>-0.44</v>
      </c>
      <c r="E176" s="145">
        <f>VLOOKUP($A176,'Data shares'!$C:$FA,26)*100</f>
        <v>-0.3</v>
      </c>
      <c r="F176" s="144">
        <f>VLOOKUP($A176,'Data shares'!$C:$FA,24)</f>
        <v>0.13</v>
      </c>
      <c r="G176" s="144">
        <f>VLOOKUP($A176,'Data shares'!$C:$FA,25)</f>
        <v>-0.56999999999999995</v>
      </c>
    </row>
    <row r="177" spans="1:7" x14ac:dyDescent="0.25">
      <c r="A177" s="101" t="str">
        <f>'Data shares'!C173</f>
        <v>PREMIERENE</v>
      </c>
      <c r="B177" s="144">
        <f>VLOOKUP($A177,'Data shares'!$C:$FA,7)</f>
        <v>1034.5999999999999</v>
      </c>
      <c r="C177" s="144">
        <f>VLOOKUP($A177,'Data shares'!$C:$FA,3)</f>
        <v>1006.65</v>
      </c>
      <c r="D177" s="144">
        <f>VLOOKUP($A177,'Data shares'!$C:$FA,23)</f>
        <v>-27.95</v>
      </c>
      <c r="E177" s="145">
        <f>VLOOKUP($A177,'Data shares'!$C:$FA,26)*100</f>
        <v>-2.7</v>
      </c>
      <c r="F177" s="144">
        <f>VLOOKUP($A177,'Data shares'!$C:$FA,24)</f>
        <v>0.95</v>
      </c>
      <c r="G177" s="144">
        <f>VLOOKUP($A177,'Data shares'!$C:$FA,25)</f>
        <v>-28.9</v>
      </c>
    </row>
    <row r="178" spans="1:7" x14ac:dyDescent="0.25">
      <c r="A178" s="101" t="str">
        <f>'Data shares'!C174</f>
        <v>PRESTIGE</v>
      </c>
      <c r="B178" s="144">
        <f>VLOOKUP($A178,'Data shares'!$C:$FA,7)</f>
        <v>1356.8</v>
      </c>
      <c r="C178" s="144">
        <f>VLOOKUP($A178,'Data shares'!$C:$FA,3)</f>
        <v>1357.6</v>
      </c>
      <c r="D178" s="144">
        <f>VLOOKUP($A178,'Data shares'!$C:$FA,23)</f>
        <v>0.8</v>
      </c>
      <c r="E178" s="145">
        <f>VLOOKUP($A178,'Data shares'!$C:$FA,26)*100</f>
        <v>0.06</v>
      </c>
      <c r="F178" s="144">
        <f>VLOOKUP($A178,'Data shares'!$C:$FA,24)</f>
        <v>1.1000000000000001</v>
      </c>
      <c r="G178" s="144">
        <f>VLOOKUP($A178,'Data shares'!$C:$FA,25)</f>
        <v>-0.3</v>
      </c>
    </row>
    <row r="179" spans="1:7" x14ac:dyDescent="0.25">
      <c r="A179" s="101" t="str">
        <f>'Data shares'!C175</f>
        <v>RBLBANK</v>
      </c>
      <c r="B179" s="144">
        <f>VLOOKUP($A179,'Data shares'!$C:$FA,7)</f>
        <v>315.55</v>
      </c>
      <c r="C179" s="144">
        <f>VLOOKUP($A179,'Data shares'!$C:$FA,3)</f>
        <v>316.64999999999998</v>
      </c>
      <c r="D179" s="144">
        <f>VLOOKUP($A179,'Data shares'!$C:$FA,23)</f>
        <v>1.1000000000000001</v>
      </c>
      <c r="E179" s="145">
        <f>VLOOKUP($A179,'Data shares'!$C:$FA,26)*100</f>
        <v>0.35000000000000003</v>
      </c>
      <c r="F179" s="144">
        <f>VLOOKUP($A179,'Data shares'!$C:$FA,24)</f>
        <v>0.05</v>
      </c>
      <c r="G179" s="144">
        <f>VLOOKUP($A179,'Data shares'!$C:$FA,25)</f>
        <v>1.05</v>
      </c>
    </row>
    <row r="180" spans="1:7" x14ac:dyDescent="0.25">
      <c r="A180" s="101" t="str">
        <f>'Data shares'!C176</f>
        <v>RECLTD</v>
      </c>
      <c r="B180" s="144">
        <f>VLOOKUP($A180,'Data shares'!$C:$FA,7)</f>
        <v>373.3</v>
      </c>
      <c r="C180" s="144">
        <f>VLOOKUP($A180,'Data shares'!$C:$FA,3)</f>
        <v>374.45</v>
      </c>
      <c r="D180" s="144">
        <f>VLOOKUP($A180,'Data shares'!$C:$FA,23)</f>
        <v>1.1499999999999999</v>
      </c>
      <c r="E180" s="145">
        <f>VLOOKUP($A180,'Data shares'!$C:$FA,26)*100</f>
        <v>0.31</v>
      </c>
      <c r="F180" s="144">
        <f>VLOOKUP($A180,'Data shares'!$C:$FA,24)</f>
        <v>0.95</v>
      </c>
      <c r="G180" s="144">
        <f>VLOOKUP($A180,'Data shares'!$C:$FA,25)</f>
        <v>0.2</v>
      </c>
    </row>
    <row r="181" spans="1:7" x14ac:dyDescent="0.25">
      <c r="A181" s="101" t="str">
        <f>'Data shares'!C177</f>
        <v>RELIANCE</v>
      </c>
      <c r="B181" s="144">
        <f>VLOOKUP($A181,'Data shares'!$C:$FA,7)</f>
        <v>1365</v>
      </c>
      <c r="C181" s="144">
        <f>VLOOKUP($A181,'Data shares'!$C:$FA,3)</f>
        <v>1366.3</v>
      </c>
      <c r="D181" s="144">
        <f>VLOOKUP($A181,'Data shares'!$C:$FA,23)</f>
        <v>1.3</v>
      </c>
      <c r="E181" s="145">
        <f>VLOOKUP($A181,'Data shares'!$C:$FA,26)*100</f>
        <v>0.1</v>
      </c>
      <c r="F181" s="144">
        <f>VLOOKUP($A181,'Data shares'!$C:$FA,24)</f>
        <v>1.3</v>
      </c>
      <c r="G181" s="144">
        <f>VLOOKUP($A181,'Data shares'!$C:$FA,25)</f>
        <v>0</v>
      </c>
    </row>
    <row r="182" spans="1:7" x14ac:dyDescent="0.25">
      <c r="A182" s="101" t="str">
        <f>'Data shares'!C178</f>
        <v>RVNL</v>
      </c>
      <c r="B182" s="144">
        <f>VLOOKUP($A182,'Data shares'!$C:$FA,7)</f>
        <v>303.06</v>
      </c>
      <c r="C182" s="144">
        <f>VLOOKUP($A182,'Data shares'!$C:$FA,3)</f>
        <v>299.66000000000003</v>
      </c>
      <c r="D182" s="144">
        <f>VLOOKUP($A182,'Data shares'!$C:$FA,23)</f>
        <v>-3.4</v>
      </c>
      <c r="E182" s="145">
        <f>VLOOKUP($A182,'Data shares'!$C:$FA,26)*100</f>
        <v>-1.1199999999999999</v>
      </c>
      <c r="F182" s="144">
        <f>VLOOKUP($A182,'Data shares'!$C:$FA,24)</f>
        <v>-1.69</v>
      </c>
      <c r="G182" s="144">
        <f>VLOOKUP($A182,'Data shares'!$C:$FA,25)</f>
        <v>-1.71</v>
      </c>
    </row>
    <row r="183" spans="1:7" x14ac:dyDescent="0.25">
      <c r="A183" s="101" t="str">
        <f>'Data shares'!C179</f>
        <v>SAIL</v>
      </c>
      <c r="B183" s="144">
        <f>VLOOKUP($A183,'Data shares'!$C:$FA,7)</f>
        <v>173.33</v>
      </c>
      <c r="C183" s="144">
        <f>VLOOKUP($A183,'Data shares'!$C:$FA,3)</f>
        <v>173.23</v>
      </c>
      <c r="D183" s="144">
        <f>VLOOKUP($A183,'Data shares'!$C:$FA,23)</f>
        <v>-0.1</v>
      </c>
      <c r="E183" s="145">
        <f>VLOOKUP($A183,'Data shares'!$C:$FA,26)*100</f>
        <v>-0.06</v>
      </c>
      <c r="F183" s="144">
        <f>VLOOKUP($A183,'Data shares'!$C:$FA,24)</f>
        <v>0.21</v>
      </c>
      <c r="G183" s="144">
        <f>VLOOKUP($A183,'Data shares'!$C:$FA,25)</f>
        <v>-0.31</v>
      </c>
    </row>
    <row r="184" spans="1:7" x14ac:dyDescent="0.25">
      <c r="A184" s="101" t="str">
        <f>'Data shares'!C180</f>
        <v>SAMMAANCAP</v>
      </c>
      <c r="B184" s="144">
        <f>VLOOKUP($A184,'Data shares'!$C:$FA,7)</f>
        <v>154.53</v>
      </c>
      <c r="C184" s="144">
        <f>VLOOKUP($A184,'Data shares'!$C:$FA,3)</f>
        <v>154.51</v>
      </c>
      <c r="D184" s="144">
        <f>VLOOKUP($A184,'Data shares'!$C:$FA,23)</f>
        <v>-0.02</v>
      </c>
      <c r="E184" s="145">
        <f>VLOOKUP($A184,'Data shares'!$C:$FA,26)*100</f>
        <v>-0.01</v>
      </c>
      <c r="F184" s="144">
        <f>VLOOKUP($A184,'Data shares'!$C:$FA,24)</f>
        <v>-0.04</v>
      </c>
      <c r="G184" s="144">
        <f>VLOOKUP($A184,'Data shares'!$C:$FA,25)</f>
        <v>0.02</v>
      </c>
    </row>
    <row r="185" spans="1:7" x14ac:dyDescent="0.25">
      <c r="A185" s="101" t="str">
        <f>'Data shares'!C181</f>
        <v>SBICARD</v>
      </c>
      <c r="B185" s="144">
        <f>VLOOKUP($A185,'Data shares'!$C:$FA,7)</f>
        <v>695.2</v>
      </c>
      <c r="C185" s="144">
        <f>VLOOKUP($A185,'Data shares'!$C:$FA,3)</f>
        <v>696.1</v>
      </c>
      <c r="D185" s="144">
        <f>VLOOKUP($A185,'Data shares'!$C:$FA,23)</f>
        <v>0.9</v>
      </c>
      <c r="E185" s="145">
        <f>VLOOKUP($A185,'Data shares'!$C:$FA,26)*100</f>
        <v>0.13</v>
      </c>
      <c r="F185" s="144">
        <f>VLOOKUP($A185,'Data shares'!$C:$FA,24)</f>
        <v>-0.1</v>
      </c>
      <c r="G185" s="144">
        <f>VLOOKUP($A185,'Data shares'!$C:$FA,25)</f>
        <v>1</v>
      </c>
    </row>
    <row r="186" spans="1:7" x14ac:dyDescent="0.25">
      <c r="A186" s="101" t="str">
        <f>'Data shares'!C182</f>
        <v>SBILIFE</v>
      </c>
      <c r="B186" s="144">
        <f>VLOOKUP($A186,'Data shares'!$C:$FA,7)</f>
        <v>1970.9</v>
      </c>
      <c r="C186" s="144">
        <f>VLOOKUP($A186,'Data shares'!$C:$FA,3)</f>
        <v>1970.4</v>
      </c>
      <c r="D186" s="144">
        <f>VLOOKUP($A186,'Data shares'!$C:$FA,23)</f>
        <v>-0.5</v>
      </c>
      <c r="E186" s="145">
        <f>VLOOKUP($A186,'Data shares'!$C:$FA,26)*100</f>
        <v>-0.03</v>
      </c>
      <c r="F186" s="144">
        <f>VLOOKUP($A186,'Data shares'!$C:$FA,24)</f>
        <v>0.5</v>
      </c>
      <c r="G186" s="144">
        <f>VLOOKUP($A186,'Data shares'!$C:$FA,25)</f>
        <v>-1</v>
      </c>
    </row>
    <row r="187" spans="1:7" x14ac:dyDescent="0.25">
      <c r="A187" s="101" t="str">
        <f>'Data shares'!C183</f>
        <v>SBIN</v>
      </c>
      <c r="B187" s="144">
        <f>VLOOKUP($A187,'Data shares'!$C:$FA,7)</f>
        <v>1080.25</v>
      </c>
      <c r="C187" s="144">
        <f>VLOOKUP($A187,'Data shares'!$C:$FA,3)</f>
        <v>1082.8</v>
      </c>
      <c r="D187" s="144">
        <f>VLOOKUP($A187,'Data shares'!$C:$FA,23)</f>
        <v>2.5499999999999998</v>
      </c>
      <c r="E187" s="145">
        <f>VLOOKUP($A187,'Data shares'!$C:$FA,26)*100</f>
        <v>0.24</v>
      </c>
      <c r="F187" s="144">
        <f>VLOOKUP($A187,'Data shares'!$C:$FA,24)</f>
        <v>3</v>
      </c>
      <c r="G187" s="144">
        <f>VLOOKUP($A187,'Data shares'!$C:$FA,25)</f>
        <v>-0.45</v>
      </c>
    </row>
    <row r="188" spans="1:7" x14ac:dyDescent="0.25">
      <c r="A188" s="101" t="str">
        <f>'Data shares'!C184</f>
        <v>SHREECEM</v>
      </c>
      <c r="B188" s="144">
        <f>VLOOKUP($A188,'Data shares'!$C:$FA,7)</f>
        <v>25290</v>
      </c>
      <c r="C188" s="144">
        <f>VLOOKUP($A188,'Data shares'!$C:$FA,3)</f>
        <v>25280</v>
      </c>
      <c r="D188" s="144">
        <f>VLOOKUP($A188,'Data shares'!$C:$FA,23)</f>
        <v>-10</v>
      </c>
      <c r="E188" s="145">
        <f>VLOOKUP($A188,'Data shares'!$C:$FA,26)*100</f>
        <v>-0.04</v>
      </c>
      <c r="F188" s="144">
        <f>VLOOKUP($A188,'Data shares'!$C:$FA,24)</f>
        <v>75</v>
      </c>
      <c r="G188" s="144">
        <f>VLOOKUP($A188,'Data shares'!$C:$FA,25)</f>
        <v>-85</v>
      </c>
    </row>
    <row r="189" spans="1:7" x14ac:dyDescent="0.25">
      <c r="A189" s="101" t="str">
        <f>'Data shares'!C185</f>
        <v>SHRIRAMFIN</v>
      </c>
      <c r="B189" s="144">
        <f>VLOOKUP($A189,'Data shares'!$C:$FA,7)</f>
        <v>1036.95</v>
      </c>
      <c r="C189" s="144">
        <f>VLOOKUP($A189,'Data shares'!$C:$FA,3)</f>
        <v>1036.7</v>
      </c>
      <c r="D189" s="144">
        <f>VLOOKUP($A189,'Data shares'!$C:$FA,23)</f>
        <v>-0.25</v>
      </c>
      <c r="E189" s="145">
        <f>VLOOKUP($A189,'Data shares'!$C:$FA,26)*100</f>
        <v>-0.02</v>
      </c>
      <c r="F189" s="144">
        <f>VLOOKUP($A189,'Data shares'!$C:$FA,24)</f>
        <v>0.7</v>
      </c>
      <c r="G189" s="144">
        <f>VLOOKUP($A189,'Data shares'!$C:$FA,25)</f>
        <v>-0.95</v>
      </c>
    </row>
    <row r="190" spans="1:7" x14ac:dyDescent="0.25">
      <c r="A190" s="101" t="str">
        <f>'Data shares'!C186</f>
        <v>SIEMENS</v>
      </c>
      <c r="B190" s="144">
        <f>VLOOKUP($A190,'Data shares'!$C:$FA,7)</f>
        <v>3707.9</v>
      </c>
      <c r="C190" s="144">
        <f>VLOOKUP($A190,'Data shares'!$C:$FA,3)</f>
        <v>3708.6</v>
      </c>
      <c r="D190" s="144">
        <f>VLOOKUP($A190,'Data shares'!$C:$FA,23)</f>
        <v>0.7</v>
      </c>
      <c r="E190" s="145">
        <f>VLOOKUP($A190,'Data shares'!$C:$FA,26)*100</f>
        <v>0.02</v>
      </c>
      <c r="F190" s="144">
        <f>VLOOKUP($A190,'Data shares'!$C:$FA,24)</f>
        <v>-0.2</v>
      </c>
      <c r="G190" s="144">
        <f>VLOOKUP($A190,'Data shares'!$C:$FA,25)</f>
        <v>0.9</v>
      </c>
    </row>
    <row r="191" spans="1:7" x14ac:dyDescent="0.25">
      <c r="A191" s="101" t="str">
        <f>'Data shares'!C187</f>
        <v>SOLARINDS</v>
      </c>
      <c r="B191" s="144">
        <f>VLOOKUP($A191,'Data shares'!$C:$FA,7)</f>
        <v>15089</v>
      </c>
      <c r="C191" s="144">
        <f>VLOOKUP($A191,'Data shares'!$C:$FA,3)</f>
        <v>15140</v>
      </c>
      <c r="D191" s="144">
        <f>VLOOKUP($A191,'Data shares'!$C:$FA,23)</f>
        <v>51</v>
      </c>
      <c r="E191" s="145">
        <f>VLOOKUP($A191,'Data shares'!$C:$FA,26)*100</f>
        <v>0.33999999999999997</v>
      </c>
      <c r="F191" s="144">
        <f>VLOOKUP($A191,'Data shares'!$C:$FA,24)</f>
        <v>58</v>
      </c>
      <c r="G191" s="144">
        <f>VLOOKUP($A191,'Data shares'!$C:$FA,25)</f>
        <v>-7</v>
      </c>
    </row>
    <row r="192" spans="1:7" x14ac:dyDescent="0.25">
      <c r="A192" s="101" t="str">
        <f>'Data shares'!C188</f>
        <v>SONACOMS</v>
      </c>
      <c r="B192" s="144">
        <f>VLOOKUP($A192,'Data shares'!$C:$FA,7)</f>
        <v>593.85</v>
      </c>
      <c r="C192" s="144">
        <f>VLOOKUP($A192,'Data shares'!$C:$FA,3)</f>
        <v>594.95000000000005</v>
      </c>
      <c r="D192" s="144">
        <f>VLOOKUP($A192,'Data shares'!$C:$FA,23)</f>
        <v>1.1000000000000001</v>
      </c>
      <c r="E192" s="145">
        <f>VLOOKUP($A192,'Data shares'!$C:$FA,26)*100</f>
        <v>0.19</v>
      </c>
      <c r="F192" s="144">
        <f>VLOOKUP($A192,'Data shares'!$C:$FA,24)</f>
        <v>2.25</v>
      </c>
      <c r="G192" s="144">
        <f>VLOOKUP($A192,'Data shares'!$C:$FA,25)</f>
        <v>-1.1499999999999999</v>
      </c>
    </row>
    <row r="193" spans="1:7" x14ac:dyDescent="0.25">
      <c r="A193" s="101" t="str">
        <f>'Data shares'!C189</f>
        <v>SRF</v>
      </c>
      <c r="B193" s="144">
        <f>VLOOKUP($A193,'Data shares'!$C:$FA,7)</f>
        <v>2494.5</v>
      </c>
      <c r="C193" s="144">
        <f>VLOOKUP($A193,'Data shares'!$C:$FA,3)</f>
        <v>2495.3000000000002</v>
      </c>
      <c r="D193" s="144">
        <f>VLOOKUP($A193,'Data shares'!$C:$FA,23)</f>
        <v>0.8</v>
      </c>
      <c r="E193" s="145">
        <f>VLOOKUP($A193,'Data shares'!$C:$FA,26)*100</f>
        <v>0.03</v>
      </c>
      <c r="F193" s="144">
        <f>VLOOKUP($A193,'Data shares'!$C:$FA,24)</f>
        <v>3.9</v>
      </c>
      <c r="G193" s="144">
        <f>VLOOKUP($A193,'Data shares'!$C:$FA,25)</f>
        <v>-3.1</v>
      </c>
    </row>
    <row r="194" spans="1:7" x14ac:dyDescent="0.25">
      <c r="A194" s="101" t="str">
        <f>'Data shares'!C190</f>
        <v>SUNPHARMA</v>
      </c>
      <c r="B194" s="144">
        <f>VLOOKUP($A194,'Data shares'!$C:$FA,7)</f>
        <v>1675.5</v>
      </c>
      <c r="C194" s="144">
        <f>VLOOKUP($A194,'Data shares'!$C:$FA,3)</f>
        <v>1674.9</v>
      </c>
      <c r="D194" s="144">
        <f>VLOOKUP($A194,'Data shares'!$C:$FA,23)</f>
        <v>-0.6</v>
      </c>
      <c r="E194" s="145">
        <f>VLOOKUP($A194,'Data shares'!$C:$FA,26)*100</f>
        <v>-0.04</v>
      </c>
      <c r="F194" s="144">
        <f>VLOOKUP($A194,'Data shares'!$C:$FA,24)</f>
        <v>-0.2</v>
      </c>
      <c r="G194" s="144">
        <f>VLOOKUP($A194,'Data shares'!$C:$FA,25)</f>
        <v>-0.4</v>
      </c>
    </row>
    <row r="195" spans="1:7" x14ac:dyDescent="0.25">
      <c r="A195" s="101" t="str">
        <f>'Data shares'!C191</f>
        <v>SUPREMEIND</v>
      </c>
      <c r="B195" s="144">
        <f>VLOOKUP($A195,'Data shares'!$C:$FA,7)</f>
        <v>3709</v>
      </c>
      <c r="C195" s="144">
        <f>VLOOKUP($A195,'Data shares'!$C:$FA,3)</f>
        <v>3720.7</v>
      </c>
      <c r="D195" s="144">
        <f>VLOOKUP($A195,'Data shares'!$C:$FA,23)</f>
        <v>11.7</v>
      </c>
      <c r="E195" s="145">
        <f>VLOOKUP($A195,'Data shares'!$C:$FA,26)*100</f>
        <v>0.32</v>
      </c>
      <c r="F195" s="144">
        <f>VLOOKUP($A195,'Data shares'!$C:$FA,24)</f>
        <v>9.5</v>
      </c>
      <c r="G195" s="144">
        <f>VLOOKUP($A195,'Data shares'!$C:$FA,25)</f>
        <v>2.2000000000000002</v>
      </c>
    </row>
    <row r="196" spans="1:7" x14ac:dyDescent="0.25">
      <c r="A196" s="101" t="str">
        <f>'Data shares'!C192</f>
        <v>SUZLON</v>
      </c>
      <c r="B196" s="144">
        <f>VLOOKUP($A196,'Data shares'!$C:$FA,7)</f>
        <v>52.93</v>
      </c>
      <c r="C196" s="144">
        <f>VLOOKUP($A196,'Data shares'!$C:$FA,3)</f>
        <v>52.96</v>
      </c>
      <c r="D196" s="144">
        <f>VLOOKUP($A196,'Data shares'!$C:$FA,23)</f>
        <v>0.03</v>
      </c>
      <c r="E196" s="145">
        <f>VLOOKUP($A196,'Data shares'!$C:$FA,26)*100</f>
        <v>0.06</v>
      </c>
      <c r="F196" s="144">
        <f>VLOOKUP($A196,'Data shares'!$C:$FA,24)</f>
        <v>0.05</v>
      </c>
      <c r="G196" s="144">
        <f>VLOOKUP($A196,'Data shares'!$C:$FA,25)</f>
        <v>-0.02</v>
      </c>
    </row>
    <row r="197" spans="1:7" x14ac:dyDescent="0.25">
      <c r="A197" s="101" t="str">
        <f>'Data shares'!C193</f>
        <v>SWIGGY</v>
      </c>
      <c r="B197" s="144">
        <f>VLOOKUP($A197,'Data shares'!$C:$FA,7)</f>
        <v>277.45</v>
      </c>
      <c r="C197" s="144">
        <f>VLOOKUP($A197,'Data shares'!$C:$FA,3)</f>
        <v>277.45</v>
      </c>
      <c r="D197" s="144">
        <f>VLOOKUP($A197,'Data shares'!$C:$FA,23)</f>
        <v>0</v>
      </c>
      <c r="E197" s="145">
        <f>VLOOKUP($A197,'Data shares'!$C:$FA,26)*100</f>
        <v>0</v>
      </c>
      <c r="F197" s="144">
        <f>VLOOKUP($A197,'Data shares'!$C:$FA,24)</f>
        <v>0.6</v>
      </c>
      <c r="G197" s="144">
        <f>VLOOKUP($A197,'Data shares'!$C:$FA,25)</f>
        <v>-0.6</v>
      </c>
    </row>
    <row r="198" spans="1:7" x14ac:dyDescent="0.25">
      <c r="A198" s="101" t="str">
        <f>'Data shares'!C194</f>
        <v>TATACONSUM</v>
      </c>
      <c r="B198" s="144">
        <f>VLOOKUP($A198,'Data shares'!$C:$FA,7)</f>
        <v>1113.2</v>
      </c>
      <c r="C198" s="144">
        <f>VLOOKUP($A198,'Data shares'!$C:$FA,3)</f>
        <v>1113.9000000000001</v>
      </c>
      <c r="D198" s="144">
        <f>VLOOKUP($A198,'Data shares'!$C:$FA,23)</f>
        <v>0.7</v>
      </c>
      <c r="E198" s="145">
        <f>VLOOKUP($A198,'Data shares'!$C:$FA,26)*100</f>
        <v>0.06</v>
      </c>
      <c r="F198" s="144">
        <f>VLOOKUP($A198,'Data shares'!$C:$FA,24)</f>
        <v>0.1</v>
      </c>
      <c r="G198" s="144">
        <f>VLOOKUP($A198,'Data shares'!$C:$FA,25)</f>
        <v>0.6</v>
      </c>
    </row>
    <row r="199" spans="1:7" x14ac:dyDescent="0.25">
      <c r="A199" s="101" t="str">
        <f>'Data shares'!C195</f>
        <v>TATAELXSI</v>
      </c>
      <c r="B199" s="144">
        <f>VLOOKUP($A199,'Data shares'!$C:$FA,7)</f>
        <v>4592.5</v>
      </c>
      <c r="C199" s="144">
        <f>VLOOKUP($A199,'Data shares'!$C:$FA,3)</f>
        <v>4602</v>
      </c>
      <c r="D199" s="144">
        <f>VLOOKUP($A199,'Data shares'!$C:$FA,23)</f>
        <v>9.5</v>
      </c>
      <c r="E199" s="145">
        <f>VLOOKUP($A199,'Data shares'!$C:$FA,26)*100</f>
        <v>0.21</v>
      </c>
      <c r="F199" s="144">
        <f>VLOOKUP($A199,'Data shares'!$C:$FA,24)</f>
        <v>10.199999999999999</v>
      </c>
      <c r="G199" s="144">
        <f>VLOOKUP($A199,'Data shares'!$C:$FA,25)</f>
        <v>-0.7</v>
      </c>
    </row>
    <row r="200" spans="1:7" x14ac:dyDescent="0.25">
      <c r="A200" s="101" t="str">
        <f>'Data shares'!C196</f>
        <v>TATAPOWER</v>
      </c>
      <c r="B200" s="144">
        <f>VLOOKUP($A200,'Data shares'!$C:$FA,7)</f>
        <v>427.6</v>
      </c>
      <c r="C200" s="144">
        <f>VLOOKUP($A200,'Data shares'!$C:$FA,3)</f>
        <v>427.95</v>
      </c>
      <c r="D200" s="144">
        <f>VLOOKUP($A200,'Data shares'!$C:$FA,23)</f>
        <v>0.35</v>
      </c>
      <c r="E200" s="145">
        <f>VLOOKUP($A200,'Data shares'!$C:$FA,26)*100</f>
        <v>0.08</v>
      </c>
      <c r="F200" s="144">
        <f>VLOOKUP($A200,'Data shares'!$C:$FA,24)</f>
        <v>0.95</v>
      </c>
      <c r="G200" s="144">
        <f>VLOOKUP($A200,'Data shares'!$C:$FA,25)</f>
        <v>-0.6</v>
      </c>
    </row>
    <row r="201" spans="1:7" x14ac:dyDescent="0.25">
      <c r="A201" s="101" t="str">
        <f>'Data shares'!C197</f>
        <v>TATASTEEL</v>
      </c>
      <c r="B201" s="144">
        <f>VLOOKUP($A201,'Data shares'!$C:$FA,7)</f>
        <v>212.12</v>
      </c>
      <c r="C201" s="144">
        <f>VLOOKUP($A201,'Data shares'!$C:$FA,3)</f>
        <v>212.3</v>
      </c>
      <c r="D201" s="144">
        <f>VLOOKUP($A201,'Data shares'!$C:$FA,23)</f>
        <v>0.18</v>
      </c>
      <c r="E201" s="145">
        <f>VLOOKUP($A201,'Data shares'!$C:$FA,26)*100</f>
        <v>0.08</v>
      </c>
      <c r="F201" s="144">
        <f>VLOOKUP($A201,'Data shares'!$C:$FA,24)</f>
        <v>0.03</v>
      </c>
      <c r="G201" s="144">
        <f>VLOOKUP($A201,'Data shares'!$C:$FA,25)</f>
        <v>0.15</v>
      </c>
    </row>
    <row r="202" spans="1:7" x14ac:dyDescent="0.25">
      <c r="A202" s="101" t="str">
        <f>'Data shares'!C198</f>
        <v>TATATECH</v>
      </c>
      <c r="B202" s="144">
        <f>VLOOKUP($A202,'Data shares'!$C:$FA,7)</f>
        <v>589.29999999999995</v>
      </c>
      <c r="C202" s="144">
        <f>VLOOKUP($A202,'Data shares'!$C:$FA,3)</f>
        <v>590.9</v>
      </c>
      <c r="D202" s="144">
        <f>VLOOKUP($A202,'Data shares'!$C:$FA,23)</f>
        <v>1.6</v>
      </c>
      <c r="E202" s="145">
        <f>VLOOKUP($A202,'Data shares'!$C:$FA,26)*100</f>
        <v>0.27</v>
      </c>
      <c r="F202" s="144">
        <f>VLOOKUP($A202,'Data shares'!$C:$FA,24)</f>
        <v>1.3</v>
      </c>
      <c r="G202" s="144">
        <f>VLOOKUP($A202,'Data shares'!$C:$FA,25)</f>
        <v>0.3</v>
      </c>
    </row>
    <row r="203" spans="1:7" x14ac:dyDescent="0.25">
      <c r="A203" s="101" t="str">
        <f>'Data shares'!C199</f>
        <v>TCS</v>
      </c>
      <c r="B203" s="144">
        <f>VLOOKUP($A203,'Data shares'!$C:$FA,7)</f>
        <v>2581.5</v>
      </c>
      <c r="C203" s="144">
        <f>VLOOKUP($A203,'Data shares'!$C:$FA,3)</f>
        <v>2561.1999999999998</v>
      </c>
      <c r="D203" s="144">
        <f>VLOOKUP($A203,'Data shares'!$C:$FA,23)</f>
        <v>-20.3</v>
      </c>
      <c r="E203" s="145">
        <f>VLOOKUP($A203,'Data shares'!$C:$FA,26)*100</f>
        <v>-0.79</v>
      </c>
      <c r="F203" s="144">
        <f>VLOOKUP($A203,'Data shares'!$C:$FA,24)</f>
        <v>-21.3</v>
      </c>
      <c r="G203" s="144">
        <f>VLOOKUP($A203,'Data shares'!$C:$FA,25)</f>
        <v>1</v>
      </c>
    </row>
    <row r="204" spans="1:7" x14ac:dyDescent="0.25">
      <c r="A204" s="101" t="str">
        <f>'Data shares'!C200</f>
        <v>TECHM</v>
      </c>
      <c r="B204" s="144">
        <f>VLOOKUP($A204,'Data shares'!$C:$FA,7)</f>
        <v>1511.4</v>
      </c>
      <c r="C204" s="144">
        <f>VLOOKUP($A204,'Data shares'!$C:$FA,3)</f>
        <v>1503.1</v>
      </c>
      <c r="D204" s="144">
        <f>VLOOKUP($A204,'Data shares'!$C:$FA,23)</f>
        <v>-8.3000000000000007</v>
      </c>
      <c r="E204" s="145">
        <f>VLOOKUP($A204,'Data shares'!$C:$FA,26)*100</f>
        <v>-0.54999999999999993</v>
      </c>
      <c r="F204" s="144">
        <f>VLOOKUP($A204,'Data shares'!$C:$FA,24)</f>
        <v>-5.8</v>
      </c>
      <c r="G204" s="144">
        <f>VLOOKUP($A204,'Data shares'!$C:$FA,25)</f>
        <v>-2.5</v>
      </c>
    </row>
    <row r="205" spans="1:7" x14ac:dyDescent="0.25">
      <c r="A205" s="101" t="str">
        <f>'Data shares'!C201</f>
        <v>TIINDIA</v>
      </c>
      <c r="B205" s="144">
        <f>VLOOKUP($A205,'Data shares'!$C:$FA,7)</f>
        <v>2790.2</v>
      </c>
      <c r="C205" s="144">
        <f>VLOOKUP($A205,'Data shares'!$C:$FA,3)</f>
        <v>2798.1</v>
      </c>
      <c r="D205" s="144">
        <f>VLOOKUP($A205,'Data shares'!$C:$FA,23)</f>
        <v>7.9</v>
      </c>
      <c r="E205" s="145">
        <f>VLOOKUP($A205,'Data shares'!$C:$FA,26)*100</f>
        <v>0.27999999999999997</v>
      </c>
      <c r="F205" s="144">
        <f>VLOOKUP($A205,'Data shares'!$C:$FA,24)</f>
        <v>10.8</v>
      </c>
      <c r="G205" s="144">
        <f>VLOOKUP($A205,'Data shares'!$C:$FA,25)</f>
        <v>-2.9</v>
      </c>
    </row>
    <row r="206" spans="1:7" x14ac:dyDescent="0.25">
      <c r="A206" s="101" t="str">
        <f>'Data shares'!C202</f>
        <v>TITAN</v>
      </c>
      <c r="B206" s="144">
        <f>VLOOKUP($A206,'Data shares'!$C:$FA,7)</f>
        <v>4525.8999999999996</v>
      </c>
      <c r="C206" s="144">
        <f>VLOOKUP($A206,'Data shares'!$C:$FA,3)</f>
        <v>4525</v>
      </c>
      <c r="D206" s="144">
        <f>VLOOKUP($A206,'Data shares'!$C:$FA,23)</f>
        <v>-0.9</v>
      </c>
      <c r="E206" s="145">
        <f>VLOOKUP($A206,'Data shares'!$C:$FA,26)*100</f>
        <v>-0.02</v>
      </c>
      <c r="F206" s="144">
        <f>VLOOKUP($A206,'Data shares'!$C:$FA,24)</f>
        <v>14.4</v>
      </c>
      <c r="G206" s="144">
        <f>VLOOKUP($A206,'Data shares'!$C:$FA,25)</f>
        <v>-15.3</v>
      </c>
    </row>
    <row r="207" spans="1:7" x14ac:dyDescent="0.25">
      <c r="A207" s="101" t="str">
        <f>'Data shares'!C203</f>
        <v>TMPV</v>
      </c>
      <c r="B207" s="144">
        <f>VLOOKUP($A207,'Data shares'!$C:$FA,7)</f>
        <v>360.1</v>
      </c>
      <c r="C207" s="144">
        <f>VLOOKUP($A207,'Data shares'!$C:$FA,3)</f>
        <v>360.25</v>
      </c>
      <c r="D207" s="144">
        <f>VLOOKUP($A207,'Data shares'!$C:$FA,23)</f>
        <v>0.15</v>
      </c>
      <c r="E207" s="145">
        <f>VLOOKUP($A207,'Data shares'!$C:$FA,26)*100</f>
        <v>0.04</v>
      </c>
      <c r="F207" s="144">
        <f>VLOOKUP($A207,'Data shares'!$C:$FA,24)</f>
        <v>0.5</v>
      </c>
      <c r="G207" s="144">
        <f>VLOOKUP($A207,'Data shares'!$C:$FA,25)</f>
        <v>-0.35</v>
      </c>
    </row>
    <row r="208" spans="1:7" x14ac:dyDescent="0.25">
      <c r="A208" s="101" t="str">
        <f>'Data shares'!C204</f>
        <v>TORNTPHARM</v>
      </c>
      <c r="B208" s="144">
        <f>VLOOKUP($A208,'Data shares'!$C:$FA,7)</f>
        <v>4179.5</v>
      </c>
      <c r="C208" s="144">
        <f>VLOOKUP($A208,'Data shares'!$C:$FA,3)</f>
        <v>4174.8</v>
      </c>
      <c r="D208" s="144">
        <f>VLOOKUP($A208,'Data shares'!$C:$FA,23)</f>
        <v>-4.7</v>
      </c>
      <c r="E208" s="145">
        <f>VLOOKUP($A208,'Data shares'!$C:$FA,26)*100</f>
        <v>-0.11</v>
      </c>
      <c r="F208" s="144">
        <f>VLOOKUP($A208,'Data shares'!$C:$FA,24)</f>
        <v>-13.8</v>
      </c>
      <c r="G208" s="144">
        <f>VLOOKUP($A208,'Data shares'!$C:$FA,25)</f>
        <v>9.1</v>
      </c>
    </row>
    <row r="209" spans="1:7" x14ac:dyDescent="0.25">
      <c r="A209" s="101" t="str">
        <f>'Data shares'!C205</f>
        <v>TORNTPOWER</v>
      </c>
      <c r="B209" s="144">
        <f>VLOOKUP($A209,'Data shares'!$C:$FA,7)</f>
        <v>1565</v>
      </c>
      <c r="C209" s="144">
        <f>VLOOKUP($A209,'Data shares'!$C:$FA,3)</f>
        <v>1564.8</v>
      </c>
      <c r="D209" s="144">
        <f>VLOOKUP($A209,'Data shares'!$C:$FA,23)</f>
        <v>-0.2</v>
      </c>
      <c r="E209" s="145">
        <f>VLOOKUP($A209,'Data shares'!$C:$FA,26)*100</f>
        <v>-0.01</v>
      </c>
      <c r="F209" s="144">
        <f>VLOOKUP($A209,'Data shares'!$C:$FA,24)</f>
        <v>6.8</v>
      </c>
      <c r="G209" s="144">
        <f>VLOOKUP($A209,'Data shares'!$C:$FA,25)</f>
        <v>-7</v>
      </c>
    </row>
    <row r="210" spans="1:7" x14ac:dyDescent="0.25">
      <c r="A210" s="101" t="str">
        <f>'Data shares'!C206</f>
        <v>TRENT</v>
      </c>
      <c r="B210" s="144">
        <f>VLOOKUP($A210,'Data shares'!$C:$FA,7)</f>
        <v>4107.7</v>
      </c>
      <c r="C210" s="144">
        <f>VLOOKUP($A210,'Data shares'!$C:$FA,3)</f>
        <v>4108.3999999999996</v>
      </c>
      <c r="D210" s="144">
        <f>VLOOKUP($A210,'Data shares'!$C:$FA,23)</f>
        <v>0.7</v>
      </c>
      <c r="E210" s="145">
        <f>VLOOKUP($A210,'Data shares'!$C:$FA,26)*100</f>
        <v>0.02</v>
      </c>
      <c r="F210" s="144">
        <f>VLOOKUP($A210,'Data shares'!$C:$FA,24)</f>
        <v>13.4</v>
      </c>
      <c r="G210" s="144">
        <f>VLOOKUP($A210,'Data shares'!$C:$FA,25)</f>
        <v>-12.7</v>
      </c>
    </row>
    <row r="211" spans="1:7" x14ac:dyDescent="0.25">
      <c r="A211" s="101" t="str">
        <f>'Data shares'!C207</f>
        <v>TVSMOTOR</v>
      </c>
      <c r="B211" s="144">
        <f>VLOOKUP($A211,'Data shares'!$C:$FA,7)</f>
        <v>3735.8</v>
      </c>
      <c r="C211" s="144">
        <f>VLOOKUP($A211,'Data shares'!$C:$FA,3)</f>
        <v>3747.3</v>
      </c>
      <c r="D211" s="144">
        <f>VLOOKUP($A211,'Data shares'!$C:$FA,23)</f>
        <v>11.5</v>
      </c>
      <c r="E211" s="145">
        <f>VLOOKUP($A211,'Data shares'!$C:$FA,26)*100</f>
        <v>0.31</v>
      </c>
      <c r="F211" s="144">
        <f>VLOOKUP($A211,'Data shares'!$C:$FA,24)</f>
        <v>9.6999999999999993</v>
      </c>
      <c r="G211" s="144">
        <f>VLOOKUP($A211,'Data shares'!$C:$FA,25)</f>
        <v>1.8</v>
      </c>
    </row>
    <row r="212" spans="1:7" x14ac:dyDescent="0.25">
      <c r="A212" s="101" t="str">
        <f>'Data shares'!C208</f>
        <v>ULTRACEMCO</v>
      </c>
      <c r="B212" s="144">
        <f>VLOOKUP($A212,'Data shares'!$C:$FA,7)</f>
        <v>11886</v>
      </c>
      <c r="C212" s="144">
        <f>VLOOKUP($A212,'Data shares'!$C:$FA,3)</f>
        <v>11884</v>
      </c>
      <c r="D212" s="144">
        <f>VLOOKUP($A212,'Data shares'!$C:$FA,23)</f>
        <v>-2</v>
      </c>
      <c r="E212" s="145">
        <f>VLOOKUP($A212,'Data shares'!$C:$FA,26)*100</f>
        <v>-0.02</v>
      </c>
      <c r="F212" s="144">
        <f>VLOOKUP($A212,'Data shares'!$C:$FA,24)</f>
        <v>-3</v>
      </c>
      <c r="G212" s="144">
        <f>VLOOKUP($A212,'Data shares'!$C:$FA,25)</f>
        <v>1</v>
      </c>
    </row>
    <row r="213" spans="1:7" x14ac:dyDescent="0.25">
      <c r="A213" s="101" t="str">
        <f>'Data shares'!C209</f>
        <v>UNIONBANK</v>
      </c>
      <c r="B213" s="144">
        <f>VLOOKUP($A213,'Data shares'!$C:$FA,7)</f>
        <v>188.91</v>
      </c>
      <c r="C213" s="144">
        <f>VLOOKUP($A213,'Data shares'!$C:$FA,3)</f>
        <v>188.51</v>
      </c>
      <c r="D213" s="144">
        <f>VLOOKUP($A213,'Data shares'!$C:$FA,23)</f>
        <v>-0.4</v>
      </c>
      <c r="E213" s="145">
        <f>VLOOKUP($A213,'Data shares'!$C:$FA,26)*100</f>
        <v>-0.21</v>
      </c>
      <c r="F213" s="144">
        <f>VLOOKUP($A213,'Data shares'!$C:$FA,24)</f>
        <v>-0.31</v>
      </c>
      <c r="G213" s="144">
        <f>VLOOKUP($A213,'Data shares'!$C:$FA,25)</f>
        <v>-0.09</v>
      </c>
    </row>
    <row r="214" spans="1:7" x14ac:dyDescent="0.25">
      <c r="A214" s="101" t="str">
        <f>'Data shares'!C210</f>
        <v>UNITDSPR</v>
      </c>
      <c r="B214" s="144">
        <f>VLOOKUP($A214,'Data shares'!$C:$FA,7)</f>
        <v>1302.9000000000001</v>
      </c>
      <c r="C214" s="144">
        <f>VLOOKUP($A214,'Data shares'!$C:$FA,3)</f>
        <v>1305.7</v>
      </c>
      <c r="D214" s="144">
        <f>VLOOKUP($A214,'Data shares'!$C:$FA,23)</f>
        <v>2.8</v>
      </c>
      <c r="E214" s="145">
        <f>VLOOKUP($A214,'Data shares'!$C:$FA,26)*100</f>
        <v>0.21</v>
      </c>
      <c r="F214" s="144">
        <f>VLOOKUP($A214,'Data shares'!$C:$FA,24)</f>
        <v>3.2</v>
      </c>
      <c r="G214" s="144">
        <f>VLOOKUP($A214,'Data shares'!$C:$FA,25)</f>
        <v>-0.4</v>
      </c>
    </row>
    <row r="215" spans="1:7" x14ac:dyDescent="0.25">
      <c r="A215" s="101" t="str">
        <f>'Data shares'!C211</f>
        <v>UNOMINDA</v>
      </c>
      <c r="B215" s="144">
        <f>VLOOKUP($A215,'Data shares'!$C:$FA,7)</f>
        <v>1097.8</v>
      </c>
      <c r="C215" s="144">
        <f>VLOOKUP($A215,'Data shares'!$C:$FA,3)</f>
        <v>1098.0999999999999</v>
      </c>
      <c r="D215" s="144">
        <f>VLOOKUP($A215,'Data shares'!$C:$FA,23)</f>
        <v>0.3</v>
      </c>
      <c r="E215" s="145">
        <f>VLOOKUP($A215,'Data shares'!$C:$FA,26)*100</f>
        <v>0.03</v>
      </c>
      <c r="F215" s="144">
        <f>VLOOKUP($A215,'Data shares'!$C:$FA,24)</f>
        <v>-0.3</v>
      </c>
      <c r="G215" s="144">
        <f>VLOOKUP($A215,'Data shares'!$C:$FA,25)</f>
        <v>0.6</v>
      </c>
    </row>
    <row r="216" spans="1:7" x14ac:dyDescent="0.25">
      <c r="A216" s="101" t="str">
        <f>'Data shares'!C212</f>
        <v>UPL</v>
      </c>
      <c r="B216" s="144">
        <f>VLOOKUP($A216,'Data shares'!$C:$FA,7)</f>
        <v>664.7</v>
      </c>
      <c r="C216" s="144">
        <f>VLOOKUP($A216,'Data shares'!$C:$FA,3)</f>
        <v>666.35</v>
      </c>
      <c r="D216" s="144">
        <f>VLOOKUP($A216,'Data shares'!$C:$FA,23)</f>
        <v>1.65</v>
      </c>
      <c r="E216" s="145">
        <f>VLOOKUP($A216,'Data shares'!$C:$FA,26)*100</f>
        <v>0.25</v>
      </c>
      <c r="F216" s="144">
        <f>VLOOKUP($A216,'Data shares'!$C:$FA,24)</f>
        <v>2.35</v>
      </c>
      <c r="G216" s="144">
        <f>VLOOKUP($A216,'Data shares'!$C:$FA,25)</f>
        <v>-0.7</v>
      </c>
    </row>
    <row r="217" spans="1:7" x14ac:dyDescent="0.25">
      <c r="A217" s="101" t="str">
        <f>'Data shares'!C213</f>
        <v>VBL</v>
      </c>
      <c r="B217" s="144">
        <f>VLOOKUP($A217,'Data shares'!$C:$FA,7)</f>
        <v>473.9</v>
      </c>
      <c r="C217" s="144">
        <f>VLOOKUP($A217,'Data shares'!$C:$FA,3)</f>
        <v>473.65</v>
      </c>
      <c r="D217" s="144">
        <f>VLOOKUP($A217,'Data shares'!$C:$FA,23)</f>
        <v>-0.25</v>
      </c>
      <c r="E217" s="145">
        <f>VLOOKUP($A217,'Data shares'!$C:$FA,26)*100</f>
        <v>-0.05</v>
      </c>
      <c r="F217" s="144">
        <f>VLOOKUP($A217,'Data shares'!$C:$FA,24)</f>
        <v>1.8</v>
      </c>
      <c r="G217" s="144">
        <f>VLOOKUP($A217,'Data shares'!$C:$FA,25)</f>
        <v>-2.0499999999999998</v>
      </c>
    </row>
    <row r="218" spans="1:7" x14ac:dyDescent="0.25">
      <c r="A218" s="101" t="str">
        <f>'Data shares'!C214</f>
        <v>VEDL</v>
      </c>
      <c r="B218" s="144">
        <f>VLOOKUP($A218,'Data shares'!$C:$FA,7)</f>
        <v>787.5</v>
      </c>
      <c r="C218" s="144">
        <f>VLOOKUP($A218,'Data shares'!$C:$FA,3)</f>
        <v>788.75</v>
      </c>
      <c r="D218" s="144">
        <f>VLOOKUP($A218,'Data shares'!$C:$FA,23)</f>
        <v>1.25</v>
      </c>
      <c r="E218" s="145">
        <f>VLOOKUP($A218,'Data shares'!$C:$FA,26)*100</f>
        <v>0.16</v>
      </c>
      <c r="F218" s="144">
        <f>VLOOKUP($A218,'Data shares'!$C:$FA,24)</f>
        <v>1.5</v>
      </c>
      <c r="G218" s="144">
        <f>VLOOKUP($A218,'Data shares'!$C:$FA,25)</f>
        <v>-0.25</v>
      </c>
    </row>
    <row r="219" spans="1:7" x14ac:dyDescent="0.25">
      <c r="A219" s="101" t="str">
        <f>'Data shares'!C215</f>
        <v>VMM</v>
      </c>
      <c r="B219" s="144">
        <f>VLOOKUP($A219,'Data shares'!$C:$FA,7)</f>
        <v>118.95</v>
      </c>
      <c r="C219" s="144">
        <f>VLOOKUP($A219,'Data shares'!$C:$FA,3)</f>
        <v>118.85</v>
      </c>
      <c r="D219" s="144">
        <f>VLOOKUP($A219,'Data shares'!$C:$FA,23)</f>
        <v>-0.1</v>
      </c>
      <c r="E219" s="145">
        <f>VLOOKUP($A219,'Data shares'!$C:$FA,26)*100</f>
        <v>-0.08</v>
      </c>
      <c r="F219" s="144">
        <f>VLOOKUP($A219,'Data shares'!$C:$FA,24)</f>
        <v>0.42</v>
      </c>
      <c r="G219" s="144">
        <f>VLOOKUP($A219,'Data shares'!$C:$FA,25)</f>
        <v>-0.52</v>
      </c>
    </row>
    <row r="220" spans="1:7" x14ac:dyDescent="0.25">
      <c r="A220" s="101" t="str">
        <f>'Data shares'!C216</f>
        <v>VOLTAS</v>
      </c>
      <c r="B220" s="144">
        <f>VLOOKUP($A220,'Data shares'!$C:$FA,7)</f>
        <v>1440.1</v>
      </c>
      <c r="C220" s="144">
        <f>VLOOKUP($A220,'Data shares'!$C:$FA,3)</f>
        <v>1441.5</v>
      </c>
      <c r="D220" s="144">
        <f>VLOOKUP($A220,'Data shares'!$C:$FA,23)</f>
        <v>1.4</v>
      </c>
      <c r="E220" s="145">
        <f>VLOOKUP($A220,'Data shares'!$C:$FA,26)*100</f>
        <v>0.1</v>
      </c>
      <c r="F220" s="144">
        <f>VLOOKUP($A220,'Data shares'!$C:$FA,24)</f>
        <v>0</v>
      </c>
      <c r="G220" s="144">
        <f>VLOOKUP($A220,'Data shares'!$C:$FA,25)</f>
        <v>1.4</v>
      </c>
    </row>
    <row r="221" spans="1:7" x14ac:dyDescent="0.25">
      <c r="A221" s="101" t="str">
        <f>'Data shares'!C217</f>
        <v>WAAREEENER</v>
      </c>
      <c r="B221" s="144">
        <f>VLOOKUP($A221,'Data shares'!$C:$FA,7)</f>
        <v>3466.2</v>
      </c>
      <c r="C221" s="144">
        <f>VLOOKUP($A221,'Data shares'!$C:$FA,3)</f>
        <v>3470.3</v>
      </c>
      <c r="D221" s="144">
        <f>VLOOKUP($A221,'Data shares'!$C:$FA,23)</f>
        <v>4.0999999999999996</v>
      </c>
      <c r="E221" s="145">
        <f>VLOOKUP($A221,'Data shares'!$C:$FA,26)*100</f>
        <v>0.12</v>
      </c>
      <c r="F221" s="144">
        <f>VLOOKUP($A221,'Data shares'!$C:$FA,24)</f>
        <v>12.1</v>
      </c>
      <c r="G221" s="144">
        <f>VLOOKUP($A221,'Data shares'!$C:$FA,25)</f>
        <v>-8</v>
      </c>
    </row>
    <row r="222" spans="1:7" x14ac:dyDescent="0.25">
      <c r="A222" s="101" t="str">
        <f>'Data shares'!C218</f>
        <v>WIPRO</v>
      </c>
      <c r="B222" s="144">
        <f>VLOOKUP($A222,'Data shares'!$C:$FA,7)</f>
        <v>204.32</v>
      </c>
      <c r="C222" s="144">
        <f>VLOOKUP($A222,'Data shares'!$C:$FA,3)</f>
        <v>202.37</v>
      </c>
      <c r="D222" s="144">
        <f>VLOOKUP($A222,'Data shares'!$C:$FA,23)</f>
        <v>-1.95</v>
      </c>
      <c r="E222" s="145">
        <f>VLOOKUP($A222,'Data shares'!$C:$FA,26)*100</f>
        <v>-0.95</v>
      </c>
      <c r="F222" s="144">
        <f>VLOOKUP($A222,'Data shares'!$C:$FA,24)</f>
        <v>-5.45</v>
      </c>
      <c r="G222" s="144">
        <f>VLOOKUP($A222,'Data shares'!$C:$FA,25)</f>
        <v>3.5</v>
      </c>
    </row>
    <row r="223" spans="1:7" x14ac:dyDescent="0.25">
      <c r="A223" s="101" t="str">
        <f>'Data shares'!C219</f>
        <v>YESBANK</v>
      </c>
      <c r="B223" s="144">
        <f>VLOOKUP($A223,'Data shares'!$C:$FA,7)</f>
        <v>20.190000000000001</v>
      </c>
      <c r="C223" s="144">
        <f>VLOOKUP($A223,'Data shares'!$C:$FA,3)</f>
        <v>20.260000000000002</v>
      </c>
      <c r="D223" s="144">
        <f>VLOOKUP($A223,'Data shares'!$C:$FA,23)</f>
        <v>7.0000000000000007E-2</v>
      </c>
      <c r="E223" s="145">
        <f>VLOOKUP($A223,'Data shares'!$C:$FA,26)*100</f>
        <v>0.35000000000000003</v>
      </c>
      <c r="F223" s="144">
        <f>VLOOKUP($A223,'Data shares'!$C:$FA,24)</f>
        <v>0.05</v>
      </c>
      <c r="G223" s="144">
        <f>VLOOKUP($A223,'Data shares'!$C:$FA,25)</f>
        <v>0.02</v>
      </c>
    </row>
    <row r="224" spans="1:7" x14ac:dyDescent="0.25">
      <c r="A224" s="101" t="str">
        <f>'Data shares'!C220</f>
        <v>ZYDUSLIFE</v>
      </c>
      <c r="B224" s="144">
        <f>VLOOKUP($A224,'Data shares'!$C:$FA,7)</f>
        <v>943.95</v>
      </c>
      <c r="C224" s="144">
        <f>VLOOKUP($A224,'Data shares'!$C:$FA,3)</f>
        <v>946.25</v>
      </c>
      <c r="D224" s="144">
        <f>VLOOKUP($A224,'Data shares'!$C:$FA,23)</f>
        <v>2.2999999999999998</v>
      </c>
      <c r="E224" s="145">
        <f>VLOOKUP($A224,'Data shares'!$C:$FA,26)*100</f>
        <v>0.24</v>
      </c>
      <c r="F224" s="144">
        <f>VLOOKUP($A224,'Data shares'!$C:$FA,24)</f>
        <v>0.05</v>
      </c>
      <c r="G224" s="144">
        <f>VLOOKUP($A224,'Data shares'!$C:$FA,25)</f>
        <v>2.25</v>
      </c>
    </row>
    <row r="225" spans="1:7" x14ac:dyDescent="0.25">
      <c r="A225" s="101"/>
      <c r="B225" s="144"/>
      <c r="C225" s="144"/>
      <c r="D225" s="144"/>
      <c r="E225" s="145"/>
      <c r="F225" s="144"/>
      <c r="G225" s="144"/>
    </row>
    <row r="226" spans="1:7" x14ac:dyDescent="0.25">
      <c r="A226" s="101"/>
      <c r="B226" s="144"/>
      <c r="C226" s="144"/>
      <c r="D226" s="144"/>
      <c r="E226" s="145"/>
      <c r="F226" s="144"/>
      <c r="G226" s="144"/>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9"/>
  <sheetViews>
    <sheetView workbookViewId="0">
      <pane ySplit="6" topLeftCell="A195" activePane="bottomLeft" state="frozen"/>
      <selection pane="bottomLeft" activeCell="A7" sqref="A7:A225"/>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3" t="s">
        <v>370</v>
      </c>
      <c r="B3" s="314"/>
      <c r="C3" s="314"/>
      <c r="D3" s="314"/>
      <c r="E3" s="314"/>
      <c r="F3" s="314"/>
      <c r="G3" s="315"/>
    </row>
    <row r="4" spans="1:7" x14ac:dyDescent="0.25">
      <c r="A4" s="317" t="s">
        <v>318</v>
      </c>
      <c r="B4" s="241" t="s">
        <v>371</v>
      </c>
      <c r="C4" s="241"/>
      <c r="D4" s="241"/>
      <c r="E4" s="241"/>
      <c r="F4" s="241"/>
      <c r="G4" s="241"/>
    </row>
    <row r="5" spans="1:7" x14ac:dyDescent="0.25">
      <c r="A5" s="318"/>
      <c r="B5" s="316" t="s">
        <v>372</v>
      </c>
      <c r="C5" s="316"/>
      <c r="D5" s="316"/>
      <c r="E5" s="316" t="s">
        <v>373</v>
      </c>
      <c r="F5" s="316"/>
      <c r="G5" s="316"/>
    </row>
    <row r="6" spans="1:7" x14ac:dyDescent="0.25">
      <c r="A6" s="241"/>
      <c r="B6" s="2" t="s">
        <v>374</v>
      </c>
      <c r="C6" s="2" t="s">
        <v>375</v>
      </c>
      <c r="D6" s="2" t="s">
        <v>376</v>
      </c>
      <c r="E6" s="2" t="s">
        <v>377</v>
      </c>
      <c r="F6" s="2" t="s">
        <v>378</v>
      </c>
      <c r="G6" s="2" t="s">
        <v>379</v>
      </c>
    </row>
    <row r="7" spans="1:7" x14ac:dyDescent="0.25">
      <c r="A7" s="49" t="str">
        <f>'Data Vlaue (Cr)'!C2</f>
        <v>360ONE</v>
      </c>
      <c r="B7" s="50">
        <f>VLOOKUP($A7,'Data shares'!$C:$FM,102)</f>
        <v>43</v>
      </c>
      <c r="C7" s="50">
        <f>VLOOKUP($A7,'Data shares'!$C:$FM,110)</f>
        <v>42.41</v>
      </c>
      <c r="D7" s="50">
        <f>VLOOKUP($A7,'Data shares'!$C:$FM,114)</f>
        <v>44.08</v>
      </c>
      <c r="E7" s="50">
        <f>VLOOKUP($A7,'Data shares'!$C:$FM,106)</f>
        <v>42.18</v>
      </c>
      <c r="F7" s="50">
        <f>VLOOKUP($A7,'Data shares'!$C:$FM,108)</f>
        <v>0.82</v>
      </c>
      <c r="G7" s="50">
        <f t="shared" ref="G7:G38" si="0">B7/E7</f>
        <v>1.0194404931247036</v>
      </c>
    </row>
    <row r="8" spans="1:7" x14ac:dyDescent="0.25">
      <c r="A8" s="49" t="str">
        <f>'Data Vlaue (Cr)'!C3</f>
        <v>ABB</v>
      </c>
      <c r="B8" s="50">
        <f>VLOOKUP($A8,'Data shares'!$C:$FM,102)</f>
        <v>33.28</v>
      </c>
      <c r="C8" s="50">
        <f>VLOOKUP($A8,'Data shares'!$C:$FM,110)</f>
        <v>31.92</v>
      </c>
      <c r="D8" s="50">
        <f>VLOOKUP($A8,'Data shares'!$C:$FM,114)</f>
        <v>36.119999999999997</v>
      </c>
      <c r="E8" s="50">
        <f>VLOOKUP($A8,'Data shares'!$C:$FM,106)</f>
        <v>37.11</v>
      </c>
      <c r="F8" s="50">
        <f>VLOOKUP($A8,'Data shares'!$C:$FM,108)</f>
        <v>-3.83</v>
      </c>
      <c r="G8" s="50">
        <f t="shared" si="0"/>
        <v>0.89679331716518462</v>
      </c>
    </row>
    <row r="9" spans="1:7" x14ac:dyDescent="0.25">
      <c r="A9" s="49" t="str">
        <f>'Data Vlaue (Cr)'!C4</f>
        <v>ABCAPITAL</v>
      </c>
      <c r="B9" s="50">
        <f>VLOOKUP($A9,'Data shares'!$C:$FM,102)</f>
        <v>40.07</v>
      </c>
      <c r="C9" s="50">
        <f>VLOOKUP($A9,'Data shares'!$C:$FM,110)</f>
        <v>39.83</v>
      </c>
      <c r="D9" s="50">
        <f>VLOOKUP($A9,'Data shares'!$C:$FM,114)</f>
        <v>41.09</v>
      </c>
      <c r="E9" s="50">
        <f>VLOOKUP($A9,'Data shares'!$C:$FM,106)</f>
        <v>41.5</v>
      </c>
      <c r="F9" s="50">
        <f>VLOOKUP($A9,'Data shares'!$C:$FM,108)</f>
        <v>-1.43</v>
      </c>
      <c r="G9" s="50">
        <f t="shared" si="0"/>
        <v>0.96554216867469878</v>
      </c>
    </row>
    <row r="10" spans="1:7" x14ac:dyDescent="0.25">
      <c r="A10" s="49" t="str">
        <f>'Data Vlaue (Cr)'!C5</f>
        <v>ADANIENSOL</v>
      </c>
      <c r="B10" s="50">
        <f>VLOOKUP($A10,'Data shares'!$C:$FM,102)</f>
        <v>49.08</v>
      </c>
      <c r="C10" s="50">
        <f>VLOOKUP($A10,'Data shares'!$C:$FM,110)</f>
        <v>47.23</v>
      </c>
      <c r="D10" s="50">
        <f>VLOOKUP($A10,'Data shares'!$C:$FM,114)</f>
        <v>52.43</v>
      </c>
      <c r="E10" s="50">
        <f>VLOOKUP($A10,'Data shares'!$C:$FM,106)</f>
        <v>55.81</v>
      </c>
      <c r="F10" s="50">
        <f>VLOOKUP($A10,'Data shares'!$C:$FM,108)</f>
        <v>-6.73</v>
      </c>
      <c r="G10" s="50">
        <f t="shared" si="0"/>
        <v>0.8794122917039956</v>
      </c>
    </row>
    <row r="11" spans="1:7" x14ac:dyDescent="0.25">
      <c r="A11" s="49" t="str">
        <f>'Data Vlaue (Cr)'!C6</f>
        <v>ADANIENT</v>
      </c>
      <c r="B11" s="50">
        <f>VLOOKUP($A11,'Data shares'!$C:$FM,102)</f>
        <v>40.03</v>
      </c>
      <c r="C11" s="50">
        <f>VLOOKUP($A11,'Data shares'!$C:$FM,110)</f>
        <v>38.51</v>
      </c>
      <c r="D11" s="50">
        <f>VLOOKUP($A11,'Data shares'!$C:$FM,114)</f>
        <v>43.19</v>
      </c>
      <c r="E11" s="50">
        <f>VLOOKUP($A11,'Data shares'!$C:$FM,106)</f>
        <v>49.63</v>
      </c>
      <c r="F11" s="50">
        <f>VLOOKUP($A11,'Data shares'!$C:$FM,108)</f>
        <v>-9.6</v>
      </c>
      <c r="G11" s="50">
        <f t="shared" si="0"/>
        <v>0.80656860769695748</v>
      </c>
    </row>
    <row r="12" spans="1:7" x14ac:dyDescent="0.25">
      <c r="A12" s="49" t="str">
        <f>'Data Vlaue (Cr)'!C7</f>
        <v>ADANIGREEN</v>
      </c>
      <c r="B12" s="50">
        <f>VLOOKUP($A12,'Data shares'!$C:$FM,102)</f>
        <v>48.08</v>
      </c>
      <c r="C12" s="50">
        <f>VLOOKUP($A12,'Data shares'!$C:$FM,110)</f>
        <v>46.58</v>
      </c>
      <c r="D12" s="50">
        <f>VLOOKUP($A12,'Data shares'!$C:$FM,114)</f>
        <v>51.09</v>
      </c>
      <c r="E12" s="50">
        <f>VLOOKUP($A12,'Data shares'!$C:$FM,106)</f>
        <v>59.29</v>
      </c>
      <c r="F12" s="50">
        <f>VLOOKUP($A12,'Data shares'!$C:$FM,108)</f>
        <v>-11.21</v>
      </c>
      <c r="G12" s="50">
        <f t="shared" si="0"/>
        <v>0.81092933040984982</v>
      </c>
    </row>
    <row r="13" spans="1:7" x14ac:dyDescent="0.25">
      <c r="A13" s="49" t="str">
        <f>'Data Vlaue (Cr)'!C8</f>
        <v>ADANIPORTS</v>
      </c>
      <c r="B13" s="50">
        <f>VLOOKUP($A13,'Data shares'!$C:$FM,102)</f>
        <v>33.14</v>
      </c>
      <c r="C13" s="50">
        <f>VLOOKUP($A13,'Data shares'!$C:$FM,110)</f>
        <v>31.94</v>
      </c>
      <c r="D13" s="50">
        <f>VLOOKUP($A13,'Data shares'!$C:$FM,114)</f>
        <v>35.630000000000003</v>
      </c>
      <c r="E13" s="50">
        <f>VLOOKUP($A13,'Data shares'!$C:$FM,106)</f>
        <v>40.31</v>
      </c>
      <c r="F13" s="50">
        <f>VLOOKUP($A13,'Data shares'!$C:$FM,108)</f>
        <v>-7.17</v>
      </c>
      <c r="G13" s="50">
        <f t="shared" si="0"/>
        <v>0.82212850409327709</v>
      </c>
    </row>
    <row r="14" spans="1:7" x14ac:dyDescent="0.25">
      <c r="A14" s="49" t="str">
        <f>'Data Vlaue (Cr)'!C9</f>
        <v>ADANIPOWER</v>
      </c>
      <c r="B14" s="50">
        <f>VLOOKUP($A14,'Data shares'!$C:$FM,102)</f>
        <v>53.27</v>
      </c>
      <c r="C14" s="50">
        <f>VLOOKUP($A14,'Data shares'!$C:$FM,110)</f>
        <v>52.55</v>
      </c>
      <c r="D14" s="50">
        <f>VLOOKUP($A14,'Data shares'!$C:$FM,114)</f>
        <v>55.23</v>
      </c>
      <c r="E14" s="50">
        <f>VLOOKUP($A14,'Data shares'!$C:$FM,106)</f>
        <v>52.67</v>
      </c>
      <c r="F14" s="50">
        <f>VLOOKUP($A14,'Data shares'!$C:$FM,108)</f>
        <v>0.6</v>
      </c>
      <c r="G14" s="50">
        <f t="shared" si="0"/>
        <v>1.0113916840706285</v>
      </c>
    </row>
    <row r="15" spans="1:7" x14ac:dyDescent="0.25">
      <c r="A15" s="49" t="str">
        <f>'Data Vlaue (Cr)'!C10</f>
        <v>ALKEM</v>
      </c>
      <c r="B15" s="50">
        <f>VLOOKUP($A15,'Data shares'!$C:$FM,102)</f>
        <v>25.99</v>
      </c>
      <c r="C15" s="50">
        <f>VLOOKUP($A15,'Data shares'!$C:$FM,110)</f>
        <v>25.6</v>
      </c>
      <c r="D15" s="50">
        <f>VLOOKUP($A15,'Data shares'!$C:$FM,114)</f>
        <v>27.19</v>
      </c>
      <c r="E15" s="50">
        <f>VLOOKUP($A15,'Data shares'!$C:$FM,106)</f>
        <v>28.53</v>
      </c>
      <c r="F15" s="50">
        <f>VLOOKUP($A15,'Data shares'!$C:$FM,108)</f>
        <v>-2.54</v>
      </c>
      <c r="G15" s="50">
        <f t="shared" si="0"/>
        <v>0.91097090781633361</v>
      </c>
    </row>
    <row r="16" spans="1:7" x14ac:dyDescent="0.25">
      <c r="A16" s="49" t="str">
        <f>'Data Vlaue (Cr)'!C11</f>
        <v>AMBER</v>
      </c>
      <c r="B16" s="50">
        <f>VLOOKUP($A16,'Data shares'!$C:$FM,102)</f>
        <v>44.29</v>
      </c>
      <c r="C16" s="50">
        <f>VLOOKUP($A16,'Data shares'!$C:$FM,110)</f>
        <v>43.48</v>
      </c>
      <c r="D16" s="50">
        <f>VLOOKUP($A16,'Data shares'!$C:$FM,114)</f>
        <v>45.75</v>
      </c>
      <c r="E16" s="50">
        <f>VLOOKUP($A16,'Data shares'!$C:$FM,106)</f>
        <v>54.33</v>
      </c>
      <c r="F16" s="50">
        <f>VLOOKUP($A16,'Data shares'!$C:$FM,108)</f>
        <v>-10.039999999999999</v>
      </c>
      <c r="G16" s="50">
        <f t="shared" si="0"/>
        <v>0.81520338671084114</v>
      </c>
    </row>
    <row r="17" spans="1:7" x14ac:dyDescent="0.25">
      <c r="A17" s="49" t="str">
        <f>'Data Vlaue (Cr)'!C12</f>
        <v>AMBUJACEM</v>
      </c>
      <c r="B17" s="50">
        <f>VLOOKUP($A17,'Data shares'!$C:$FM,102)</f>
        <v>35.770000000000003</v>
      </c>
      <c r="C17" s="50">
        <f>VLOOKUP($A17,'Data shares'!$C:$FM,110)</f>
        <v>34.51</v>
      </c>
      <c r="D17" s="50">
        <f>VLOOKUP($A17,'Data shares'!$C:$FM,114)</f>
        <v>38.01</v>
      </c>
      <c r="E17" s="50">
        <f>VLOOKUP($A17,'Data shares'!$C:$FM,106)</f>
        <v>36.78</v>
      </c>
      <c r="F17" s="50">
        <f>VLOOKUP($A17,'Data shares'!$C:$FM,108)</f>
        <v>-1.01</v>
      </c>
      <c r="G17" s="50">
        <f t="shared" si="0"/>
        <v>0.97253942359978252</v>
      </c>
    </row>
    <row r="18" spans="1:7" x14ac:dyDescent="0.25">
      <c r="A18" s="49" t="str">
        <f>'Data Vlaue (Cr)'!C13</f>
        <v>ANGELONE</v>
      </c>
      <c r="B18" s="50">
        <f>VLOOKUP($A18,'Data shares'!$C:$FM,102)</f>
        <v>47.43</v>
      </c>
      <c r="C18" s="50">
        <f>VLOOKUP($A18,'Data shares'!$C:$FM,110)</f>
        <v>45.23</v>
      </c>
      <c r="D18" s="50">
        <f>VLOOKUP($A18,'Data shares'!$C:$FM,114)</f>
        <v>51.98</v>
      </c>
      <c r="E18" s="50">
        <f>VLOOKUP($A18,'Data shares'!$C:$FM,106)</f>
        <v>57.5</v>
      </c>
      <c r="F18" s="50">
        <f>VLOOKUP($A18,'Data shares'!$C:$FM,108)</f>
        <v>-10.07</v>
      </c>
      <c r="G18" s="50">
        <f t="shared" si="0"/>
        <v>0.8248695652173913</v>
      </c>
    </row>
    <row r="19" spans="1:7" x14ac:dyDescent="0.25">
      <c r="A19" s="49" t="str">
        <f>'Data Vlaue (Cr)'!C14</f>
        <v>APLAPOLLO</v>
      </c>
      <c r="B19" s="50">
        <f>VLOOKUP($A19,'Data shares'!$C:$FM,102)</f>
        <v>32.42</v>
      </c>
      <c r="C19" s="50">
        <f>VLOOKUP($A19,'Data shares'!$C:$FM,110)</f>
        <v>31.58</v>
      </c>
      <c r="D19" s="50">
        <f>VLOOKUP($A19,'Data shares'!$C:$FM,114)</f>
        <v>35.46</v>
      </c>
      <c r="E19" s="50">
        <f>VLOOKUP($A19,'Data shares'!$C:$FM,106)</f>
        <v>36.049999999999997</v>
      </c>
      <c r="F19" s="50">
        <f>VLOOKUP($A19,'Data shares'!$C:$FM,108)</f>
        <v>-3.63</v>
      </c>
      <c r="G19" s="50">
        <f t="shared" si="0"/>
        <v>0.89930651872399459</v>
      </c>
    </row>
    <row r="20" spans="1:7" x14ac:dyDescent="0.25">
      <c r="A20" s="49" t="str">
        <f>'Data Vlaue (Cr)'!C15</f>
        <v>APOLLOHOSP</v>
      </c>
      <c r="B20" s="50">
        <f>VLOOKUP($A20,'Data shares'!$C:$FM,102)</f>
        <v>22.92</v>
      </c>
      <c r="C20" s="50">
        <f>VLOOKUP($A20,'Data shares'!$C:$FM,110)</f>
        <v>22.34</v>
      </c>
      <c r="D20" s="50">
        <f>VLOOKUP($A20,'Data shares'!$C:$FM,114)</f>
        <v>24.48</v>
      </c>
      <c r="E20" s="50">
        <f>VLOOKUP($A20,'Data shares'!$C:$FM,106)</f>
        <v>25.23</v>
      </c>
      <c r="F20" s="50">
        <f>VLOOKUP($A20,'Data shares'!$C:$FM,108)</f>
        <v>-2.31</v>
      </c>
      <c r="G20" s="50">
        <f t="shared" si="0"/>
        <v>0.90844233055885859</v>
      </c>
    </row>
    <row r="21" spans="1:7" x14ac:dyDescent="0.25">
      <c r="A21" s="49" t="str">
        <f>'Data Vlaue (Cr)'!C16</f>
        <v>ASHOKLEY</v>
      </c>
      <c r="B21" s="50">
        <f>VLOOKUP($A21,'Data shares'!$C:$FM,102)</f>
        <v>40.729999999999997</v>
      </c>
      <c r="C21" s="50">
        <f>VLOOKUP($A21,'Data shares'!$C:$FM,110)</f>
        <v>38.97</v>
      </c>
      <c r="D21" s="50">
        <f>VLOOKUP($A21,'Data shares'!$C:$FM,114)</f>
        <v>43.8</v>
      </c>
      <c r="E21" s="50">
        <f>VLOOKUP($A21,'Data shares'!$C:$FM,106)</f>
        <v>42.6</v>
      </c>
      <c r="F21" s="50">
        <f>VLOOKUP($A21,'Data shares'!$C:$FM,108)</f>
        <v>-1.87</v>
      </c>
      <c r="G21" s="50">
        <f t="shared" si="0"/>
        <v>0.95610328638497644</v>
      </c>
    </row>
    <row r="22" spans="1:7" x14ac:dyDescent="0.25">
      <c r="A22" s="49" t="str">
        <f>'Data Vlaue (Cr)'!C17</f>
        <v>ASIANPAINT</v>
      </c>
      <c r="B22" s="50">
        <f>VLOOKUP($A22,'Data shares'!$C:$FM,102)</f>
        <v>28.94</v>
      </c>
      <c r="C22" s="50">
        <f>VLOOKUP($A22,'Data shares'!$C:$FM,110)</f>
        <v>27.12</v>
      </c>
      <c r="D22" s="50">
        <f>VLOOKUP($A22,'Data shares'!$C:$FM,114)</f>
        <v>31.55</v>
      </c>
      <c r="E22" s="50">
        <f>VLOOKUP($A22,'Data shares'!$C:$FM,106)</f>
        <v>29.21</v>
      </c>
      <c r="F22" s="50">
        <f>VLOOKUP($A22,'Data shares'!$C:$FM,108)</f>
        <v>-0.27</v>
      </c>
      <c r="G22" s="50">
        <f t="shared" si="0"/>
        <v>0.99075659020883255</v>
      </c>
    </row>
    <row r="23" spans="1:7" x14ac:dyDescent="0.25">
      <c r="A23" s="49" t="str">
        <f>'Data Vlaue (Cr)'!C18</f>
        <v>ASTRAL</v>
      </c>
      <c r="B23" s="50">
        <f>VLOOKUP($A23,'Data shares'!$C:$FM,102)</f>
        <v>35.71</v>
      </c>
      <c r="C23" s="50">
        <f>VLOOKUP($A23,'Data shares'!$C:$FM,110)</f>
        <v>36.159999999999997</v>
      </c>
      <c r="D23" s="50">
        <f>VLOOKUP($A23,'Data shares'!$C:$FM,114)</f>
        <v>34.770000000000003</v>
      </c>
      <c r="E23" s="50">
        <f>VLOOKUP($A23,'Data shares'!$C:$FM,106)</f>
        <v>36</v>
      </c>
      <c r="F23" s="50">
        <f>VLOOKUP($A23,'Data shares'!$C:$FM,108)</f>
        <v>-0.28999999999999998</v>
      </c>
      <c r="G23" s="50">
        <f t="shared" si="0"/>
        <v>0.99194444444444452</v>
      </c>
    </row>
    <row r="24" spans="1:7" x14ac:dyDescent="0.25">
      <c r="A24" s="49" t="str">
        <f>'Data Vlaue (Cr)'!C19</f>
        <v>AUBANK</v>
      </c>
      <c r="B24" s="50">
        <f>VLOOKUP($A24,'Data shares'!$C:$FM,102)</f>
        <v>37.64</v>
      </c>
      <c r="C24" s="50">
        <f>VLOOKUP($A24,'Data shares'!$C:$FM,110)</f>
        <v>35.79</v>
      </c>
      <c r="D24" s="50">
        <f>VLOOKUP($A24,'Data shares'!$C:$FM,114)</f>
        <v>40.11</v>
      </c>
      <c r="E24" s="50">
        <f>VLOOKUP($A24,'Data shares'!$C:$FM,106)</f>
        <v>38.299999999999997</v>
      </c>
      <c r="F24" s="50">
        <f>VLOOKUP($A24,'Data shares'!$C:$FM,108)</f>
        <v>-0.66</v>
      </c>
      <c r="G24" s="50">
        <f t="shared" si="0"/>
        <v>0.9827676240208878</v>
      </c>
    </row>
    <row r="25" spans="1:7" x14ac:dyDescent="0.25">
      <c r="A25" s="49" t="str">
        <f>'Data Vlaue (Cr)'!C20</f>
        <v>AUROPHARMA</v>
      </c>
      <c r="B25" s="50">
        <f>VLOOKUP($A25,'Data shares'!$C:$FM,102)</f>
        <v>27.85</v>
      </c>
      <c r="C25" s="50">
        <f>VLOOKUP($A25,'Data shares'!$C:$FM,110)</f>
        <v>26.82</v>
      </c>
      <c r="D25" s="50">
        <f>VLOOKUP($A25,'Data shares'!$C:$FM,114)</f>
        <v>29.39</v>
      </c>
      <c r="E25" s="50">
        <f>VLOOKUP($A25,'Data shares'!$C:$FM,106)</f>
        <v>33.33</v>
      </c>
      <c r="F25" s="50">
        <f>VLOOKUP($A25,'Data shares'!$C:$FM,108)</f>
        <v>-5.48</v>
      </c>
      <c r="G25" s="50">
        <f t="shared" si="0"/>
        <v>0.83558355835583564</v>
      </c>
    </row>
    <row r="26" spans="1:7" x14ac:dyDescent="0.25">
      <c r="A26" s="49" t="str">
        <f>'Data Vlaue (Cr)'!C21</f>
        <v>AXISBANK</v>
      </c>
      <c r="B26" s="50">
        <f>VLOOKUP($A26,'Data shares'!$C:$FM,102)</f>
        <v>32.81</v>
      </c>
      <c r="C26" s="50">
        <f>VLOOKUP($A26,'Data shares'!$C:$FM,110)</f>
        <v>31.47</v>
      </c>
      <c r="D26" s="50">
        <f>VLOOKUP($A26,'Data shares'!$C:$FM,114)</f>
        <v>34.729999999999997</v>
      </c>
      <c r="E26" s="50">
        <f>VLOOKUP($A26,'Data shares'!$C:$FM,106)</f>
        <v>30.06</v>
      </c>
      <c r="F26" s="50">
        <f>VLOOKUP($A26,'Data shares'!$C:$FM,108)</f>
        <v>2.75</v>
      </c>
      <c r="G26" s="50">
        <f t="shared" si="0"/>
        <v>1.0914836992681305</v>
      </c>
    </row>
    <row r="27" spans="1:7" x14ac:dyDescent="0.25">
      <c r="A27" s="49" t="str">
        <f>'Data Vlaue (Cr)'!C22</f>
        <v>BAJAJ-AUTO</v>
      </c>
      <c r="B27" s="50">
        <f>VLOOKUP($A27,'Data shares'!$C:$FM,102)</f>
        <v>28.23</v>
      </c>
      <c r="C27" s="50">
        <f>VLOOKUP($A27,'Data shares'!$C:$FM,110)</f>
        <v>27.06</v>
      </c>
      <c r="D27" s="50">
        <f>VLOOKUP($A27,'Data shares'!$C:$FM,114)</f>
        <v>29.97</v>
      </c>
      <c r="E27" s="50">
        <f>VLOOKUP($A27,'Data shares'!$C:$FM,106)</f>
        <v>29.68</v>
      </c>
      <c r="F27" s="50">
        <f>VLOOKUP($A27,'Data shares'!$C:$FM,108)</f>
        <v>-1.45</v>
      </c>
      <c r="G27" s="50">
        <f t="shared" si="0"/>
        <v>0.95114555256064692</v>
      </c>
    </row>
    <row r="28" spans="1:7" x14ac:dyDescent="0.25">
      <c r="A28" s="49" t="str">
        <f>'Data Vlaue (Cr)'!C23</f>
        <v>BAJAJFINSV</v>
      </c>
      <c r="B28" s="50">
        <f>VLOOKUP($A28,'Data shares'!$C:$FM,102)</f>
        <v>27.51</v>
      </c>
      <c r="C28" s="50">
        <f>VLOOKUP($A28,'Data shares'!$C:$FM,110)</f>
        <v>26.39</v>
      </c>
      <c r="D28" s="50">
        <f>VLOOKUP($A28,'Data shares'!$C:$FM,114)</f>
        <v>29.21</v>
      </c>
      <c r="E28" s="50">
        <f>VLOOKUP($A28,'Data shares'!$C:$FM,106)</f>
        <v>30.62</v>
      </c>
      <c r="F28" s="50">
        <f>VLOOKUP($A28,'Data shares'!$C:$FM,108)</f>
        <v>-3.11</v>
      </c>
      <c r="G28" s="50">
        <f t="shared" si="0"/>
        <v>0.89843239712606138</v>
      </c>
    </row>
    <row r="29" spans="1:7" x14ac:dyDescent="0.25">
      <c r="A29" s="49" t="str">
        <f>'Data Vlaue (Cr)'!C24</f>
        <v>BAJAJHLDNG</v>
      </c>
      <c r="B29" s="50">
        <f>VLOOKUP($A29,'Data shares'!$C:$FM,102)</f>
        <v>46.44</v>
      </c>
      <c r="C29" s="50">
        <f>VLOOKUP($A29,'Data shares'!$C:$FM,110)</f>
        <v>34.340000000000003</v>
      </c>
      <c r="D29" s="50">
        <f>VLOOKUP($A29,'Data shares'!$C:$FM,114)</f>
        <v>54.54</v>
      </c>
      <c r="E29" s="50">
        <f>VLOOKUP($A29,'Data shares'!$C:$FM,106)</f>
        <v>39.020000000000003</v>
      </c>
      <c r="F29" s="50">
        <f>VLOOKUP($A29,'Data shares'!$C:$FM,108)</f>
        <v>7.42</v>
      </c>
      <c r="G29" s="50">
        <f t="shared" si="0"/>
        <v>1.1901588928754483</v>
      </c>
    </row>
    <row r="30" spans="1:7" x14ac:dyDescent="0.25">
      <c r="A30" s="49" t="str">
        <f>'Data Vlaue (Cr)'!C25</f>
        <v>BAJFINANCE</v>
      </c>
      <c r="B30" s="50">
        <f>VLOOKUP($A30,'Data shares'!$C:$FM,102)</f>
        <v>33.26</v>
      </c>
      <c r="C30" s="50">
        <f>VLOOKUP($A30,'Data shares'!$C:$FM,110)</f>
        <v>31.46</v>
      </c>
      <c r="D30" s="50">
        <f>VLOOKUP($A30,'Data shares'!$C:$FM,114)</f>
        <v>36.15</v>
      </c>
      <c r="E30" s="50">
        <f>VLOOKUP($A30,'Data shares'!$C:$FM,106)</f>
        <v>36</v>
      </c>
      <c r="F30" s="50">
        <f>VLOOKUP($A30,'Data shares'!$C:$FM,108)</f>
        <v>-2.74</v>
      </c>
      <c r="G30" s="50">
        <f t="shared" si="0"/>
        <v>0.92388888888888887</v>
      </c>
    </row>
    <row r="31" spans="1:7" x14ac:dyDescent="0.25">
      <c r="A31" s="49" t="str">
        <f>'Data Vlaue (Cr)'!C26</f>
        <v>BANDHANBNK</v>
      </c>
      <c r="B31" s="50">
        <f>VLOOKUP($A31,'Data shares'!$C:$FM,102)</f>
        <v>44.03</v>
      </c>
      <c r="C31" s="50">
        <f>VLOOKUP($A31,'Data shares'!$C:$FM,110)</f>
        <v>42.86</v>
      </c>
      <c r="D31" s="50">
        <f>VLOOKUP($A31,'Data shares'!$C:$FM,114)</f>
        <v>45.62</v>
      </c>
      <c r="E31" s="50">
        <f>VLOOKUP($A31,'Data shares'!$C:$FM,106)</f>
        <v>46.02</v>
      </c>
      <c r="F31" s="50">
        <f>VLOOKUP($A31,'Data shares'!$C:$FM,108)</f>
        <v>-1.99</v>
      </c>
      <c r="G31" s="50">
        <f t="shared" si="0"/>
        <v>0.9567579313342025</v>
      </c>
    </row>
    <row r="32" spans="1:7" x14ac:dyDescent="0.25">
      <c r="A32" s="49" t="str">
        <f>'Data Vlaue (Cr)'!C27</f>
        <v>BANKBARODA</v>
      </c>
      <c r="B32" s="50">
        <f>VLOOKUP($A32,'Data shares'!$C:$FM,102)</f>
        <v>33.5</v>
      </c>
      <c r="C32" s="50">
        <f>VLOOKUP($A32,'Data shares'!$C:$FM,110)</f>
        <v>31.6</v>
      </c>
      <c r="D32" s="50">
        <f>VLOOKUP($A32,'Data shares'!$C:$FM,114)</f>
        <v>36.18</v>
      </c>
      <c r="E32" s="50">
        <f>VLOOKUP($A32,'Data shares'!$C:$FM,106)</f>
        <v>37.020000000000003</v>
      </c>
      <c r="F32" s="50">
        <f>VLOOKUP($A32,'Data shares'!$C:$FM,108)</f>
        <v>-3.52</v>
      </c>
      <c r="G32" s="50">
        <f t="shared" si="0"/>
        <v>0.90491626148028081</v>
      </c>
    </row>
    <row r="33" spans="1:7" x14ac:dyDescent="0.25">
      <c r="A33" s="49" t="str">
        <f>'Data Vlaue (Cr)'!C28</f>
        <v>BANKINDIA</v>
      </c>
      <c r="B33" s="50">
        <f>VLOOKUP($A33,'Data shares'!$C:$FM,102)</f>
        <v>40.79</v>
      </c>
      <c r="C33" s="50">
        <f>VLOOKUP($A33,'Data shares'!$C:$FM,110)</f>
        <v>40.35</v>
      </c>
      <c r="D33" s="50">
        <f>VLOOKUP($A33,'Data shares'!$C:$FM,114)</f>
        <v>41.69</v>
      </c>
      <c r="E33" s="50">
        <f>VLOOKUP($A33,'Data shares'!$C:$FM,106)</f>
        <v>43.06</v>
      </c>
      <c r="F33" s="50">
        <f>VLOOKUP($A33,'Data shares'!$C:$FM,108)</f>
        <v>-2.27</v>
      </c>
      <c r="G33" s="50">
        <f t="shared" si="0"/>
        <v>0.94728286112401294</v>
      </c>
    </row>
    <row r="34" spans="1:7" x14ac:dyDescent="0.25">
      <c r="A34" s="49" t="str">
        <f>'Data Vlaue (Cr)'!C29</f>
        <v>BANKNIFTY</v>
      </c>
      <c r="B34" s="50">
        <f>VLOOKUP($A34,'Data shares'!$C:$FM,102)</f>
        <v>21.74</v>
      </c>
      <c r="C34" s="50">
        <f>VLOOKUP($A34,'Data shares'!$C:$FM,110)</f>
        <v>19.78</v>
      </c>
      <c r="D34" s="50">
        <f>VLOOKUP($A34,'Data shares'!$C:$FM,114)</f>
        <v>23.97</v>
      </c>
      <c r="E34" s="50">
        <f>VLOOKUP($A34,'Data shares'!$C:$FM,106)</f>
        <v>21.37</v>
      </c>
      <c r="F34" s="50">
        <f>VLOOKUP($A34,'Data shares'!$C:$FM,108)</f>
        <v>0.37</v>
      </c>
      <c r="G34" s="50">
        <f t="shared" si="0"/>
        <v>1.0173139915769769</v>
      </c>
    </row>
    <row r="35" spans="1:7" x14ac:dyDescent="0.25">
      <c r="A35" s="49" t="str">
        <f>'Data Vlaue (Cr)'!C30</f>
        <v>BDL</v>
      </c>
      <c r="B35" s="50">
        <f>VLOOKUP($A35,'Data shares'!$C:$FM,102)</f>
        <v>39.479999999999997</v>
      </c>
      <c r="C35" s="50">
        <f>VLOOKUP($A35,'Data shares'!$C:$FM,110)</f>
        <v>37.53</v>
      </c>
      <c r="D35" s="50">
        <f>VLOOKUP($A35,'Data shares'!$C:$FM,114)</f>
        <v>43.21</v>
      </c>
      <c r="E35" s="50">
        <f>VLOOKUP($A35,'Data shares'!$C:$FM,106)</f>
        <v>53.52</v>
      </c>
      <c r="F35" s="50">
        <f>VLOOKUP($A35,'Data shares'!$C:$FM,108)</f>
        <v>-14.04</v>
      </c>
      <c r="G35" s="50">
        <f t="shared" si="0"/>
        <v>0.73766816143497749</v>
      </c>
    </row>
    <row r="36" spans="1:7" x14ac:dyDescent="0.25">
      <c r="A36" s="49" t="str">
        <f>'Data Vlaue (Cr)'!C31</f>
        <v>BEL</v>
      </c>
      <c r="B36" s="50">
        <f>VLOOKUP($A36,'Data shares'!$C:$FM,102)</f>
        <v>31.06</v>
      </c>
      <c r="C36" s="50">
        <f>VLOOKUP($A36,'Data shares'!$C:$FM,110)</f>
        <v>29.9</v>
      </c>
      <c r="D36" s="50">
        <f>VLOOKUP($A36,'Data shares'!$C:$FM,114)</f>
        <v>33.409999999999997</v>
      </c>
      <c r="E36" s="50">
        <f>VLOOKUP($A36,'Data shares'!$C:$FM,106)</f>
        <v>37.28</v>
      </c>
      <c r="F36" s="50">
        <f>VLOOKUP($A36,'Data shares'!$C:$FM,108)</f>
        <v>-6.22</v>
      </c>
      <c r="G36" s="50">
        <f t="shared" si="0"/>
        <v>0.83315450643776823</v>
      </c>
    </row>
    <row r="37" spans="1:7" x14ac:dyDescent="0.25">
      <c r="A37" s="49" t="str">
        <f>'Data Vlaue (Cr)'!C32</f>
        <v>BHARATFORG</v>
      </c>
      <c r="B37" s="50">
        <f>VLOOKUP($A37,'Data shares'!$C:$FM,102)</f>
        <v>33.83</v>
      </c>
      <c r="C37" s="50">
        <f>VLOOKUP($A37,'Data shares'!$C:$FM,110)</f>
        <v>32.47</v>
      </c>
      <c r="D37" s="50">
        <f>VLOOKUP($A37,'Data shares'!$C:$FM,114)</f>
        <v>35.96</v>
      </c>
      <c r="E37" s="50">
        <f>VLOOKUP($A37,'Data shares'!$C:$FM,106)</f>
        <v>39.880000000000003</v>
      </c>
      <c r="F37" s="50">
        <f>VLOOKUP($A37,'Data shares'!$C:$FM,108)</f>
        <v>-6.05</v>
      </c>
      <c r="G37" s="50">
        <f t="shared" si="0"/>
        <v>0.84829488465396174</v>
      </c>
    </row>
    <row r="38" spans="1:7" x14ac:dyDescent="0.25">
      <c r="A38" s="49" t="str">
        <f>'Data Vlaue (Cr)'!C33</f>
        <v>BHARTIARTL</v>
      </c>
      <c r="B38" s="50">
        <f>VLOOKUP($A38,'Data shares'!$C:$FM,102)</f>
        <v>22.81</v>
      </c>
      <c r="C38" s="50">
        <f>VLOOKUP($A38,'Data shares'!$C:$FM,110)</f>
        <v>22.06</v>
      </c>
      <c r="D38" s="50">
        <f>VLOOKUP($A38,'Data shares'!$C:$FM,114)</f>
        <v>24.41</v>
      </c>
      <c r="E38" s="50">
        <f>VLOOKUP($A38,'Data shares'!$C:$FM,106)</f>
        <v>24.21</v>
      </c>
      <c r="F38" s="50">
        <f>VLOOKUP($A38,'Data shares'!$C:$FM,108)</f>
        <v>-1.4</v>
      </c>
      <c r="G38" s="50">
        <f t="shared" si="0"/>
        <v>0.9421726559273027</v>
      </c>
    </row>
    <row r="39" spans="1:7" x14ac:dyDescent="0.25">
      <c r="A39" s="49" t="str">
        <f>'Data Vlaue (Cr)'!C34</f>
        <v>BHEL</v>
      </c>
      <c r="B39" s="50">
        <f>VLOOKUP($A39,'Data shares'!$C:$FM,102)</f>
        <v>40.03</v>
      </c>
      <c r="C39" s="50">
        <f>VLOOKUP($A39,'Data shares'!$C:$FM,110)</f>
        <v>38.44</v>
      </c>
      <c r="D39" s="50">
        <f>VLOOKUP($A39,'Data shares'!$C:$FM,114)</f>
        <v>42.69</v>
      </c>
      <c r="E39" s="50">
        <f>VLOOKUP($A39,'Data shares'!$C:$FM,106)</f>
        <v>47.37</v>
      </c>
      <c r="F39" s="50">
        <f>VLOOKUP($A39,'Data shares'!$C:$FM,108)</f>
        <v>-7.34</v>
      </c>
      <c r="G39" s="50">
        <f t="shared" ref="G39:G70" si="1">B39/E39</f>
        <v>0.84504960945746255</v>
      </c>
    </row>
    <row r="40" spans="1:7" x14ac:dyDescent="0.25">
      <c r="A40" s="49" t="str">
        <f>'Data Vlaue (Cr)'!C35</f>
        <v>BIOCON</v>
      </c>
      <c r="B40" s="50">
        <f>VLOOKUP($A40,'Data shares'!$C:$FM,102)</f>
        <v>31.91</v>
      </c>
      <c r="C40" s="50">
        <f>VLOOKUP($A40,'Data shares'!$C:$FM,110)</f>
        <v>31.36</v>
      </c>
      <c r="D40" s="50">
        <f>VLOOKUP($A40,'Data shares'!$C:$FM,114)</f>
        <v>34.200000000000003</v>
      </c>
      <c r="E40" s="50">
        <f>VLOOKUP($A40,'Data shares'!$C:$FM,106)</f>
        <v>36.340000000000003</v>
      </c>
      <c r="F40" s="50">
        <f>VLOOKUP($A40,'Data shares'!$C:$FM,108)</f>
        <v>-4.43</v>
      </c>
      <c r="G40" s="50">
        <f t="shared" si="1"/>
        <v>0.87809576224545949</v>
      </c>
    </row>
    <row r="41" spans="1:7" x14ac:dyDescent="0.25">
      <c r="A41" s="49" t="str">
        <f>'Data Vlaue (Cr)'!C36</f>
        <v>BLUESTARCO</v>
      </c>
      <c r="B41" s="50">
        <f>VLOOKUP($A41,'Data shares'!$C:$FM,102)</f>
        <v>40.380000000000003</v>
      </c>
      <c r="C41" s="50">
        <f>VLOOKUP($A41,'Data shares'!$C:$FM,110)</f>
        <v>38.1</v>
      </c>
      <c r="D41" s="50">
        <f>VLOOKUP($A41,'Data shares'!$C:$FM,114)</f>
        <v>44.79</v>
      </c>
      <c r="E41" s="50">
        <f>VLOOKUP($A41,'Data shares'!$C:$FM,106)</f>
        <v>42.65</v>
      </c>
      <c r="F41" s="50">
        <f>VLOOKUP($A41,'Data shares'!$C:$FM,108)</f>
        <v>-2.27</v>
      </c>
      <c r="G41" s="50">
        <f t="shared" si="1"/>
        <v>0.94677608440797201</v>
      </c>
    </row>
    <row r="42" spans="1:7" x14ac:dyDescent="0.25">
      <c r="A42" s="49" t="str">
        <f>'Data Vlaue (Cr)'!C37</f>
        <v>BOSCHLTD</v>
      </c>
      <c r="B42" s="50">
        <f>VLOOKUP($A42,'Data shares'!$C:$FM,102)</f>
        <v>38.76</v>
      </c>
      <c r="C42" s="50">
        <f>VLOOKUP($A42,'Data shares'!$C:$FM,110)</f>
        <v>35</v>
      </c>
      <c r="D42" s="50">
        <f>VLOOKUP($A42,'Data shares'!$C:$FM,114)</f>
        <v>39.76</v>
      </c>
      <c r="E42" s="50">
        <f>VLOOKUP($A42,'Data shares'!$C:$FM,106)</f>
        <v>35</v>
      </c>
      <c r="F42" s="50">
        <f>VLOOKUP($A42,'Data shares'!$C:$FM,108)</f>
        <v>3.76</v>
      </c>
      <c r="G42" s="50">
        <f t="shared" si="1"/>
        <v>1.1074285714285714</v>
      </c>
    </row>
    <row r="43" spans="1:7" x14ac:dyDescent="0.25">
      <c r="A43" s="49" t="str">
        <f>'Data Vlaue (Cr)'!C38</f>
        <v>BPCL</v>
      </c>
      <c r="B43" s="50">
        <f>VLOOKUP($A43,'Data shares'!$C:$FM,102)</f>
        <v>38.549999999999997</v>
      </c>
      <c r="C43" s="50">
        <f>VLOOKUP($A43,'Data shares'!$C:$FM,110)</f>
        <v>37.909999999999997</v>
      </c>
      <c r="D43" s="50">
        <f>VLOOKUP($A43,'Data shares'!$C:$FM,114)</f>
        <v>39.89</v>
      </c>
      <c r="E43" s="50">
        <f>VLOOKUP($A43,'Data shares'!$C:$FM,106)</f>
        <v>37.35</v>
      </c>
      <c r="F43" s="50">
        <f>VLOOKUP($A43,'Data shares'!$C:$FM,108)</f>
        <v>1.2</v>
      </c>
      <c r="G43" s="50">
        <f t="shared" si="1"/>
        <v>1.0321285140562249</v>
      </c>
    </row>
    <row r="44" spans="1:7" x14ac:dyDescent="0.25">
      <c r="A44" s="49" t="str">
        <f>'Data Vlaue (Cr)'!C39</f>
        <v>BRITANNIA</v>
      </c>
      <c r="B44" s="50">
        <f>VLOOKUP($A44,'Data shares'!$C:$FM,102)</f>
        <v>25.06</v>
      </c>
      <c r="C44" s="50">
        <f>VLOOKUP($A44,'Data shares'!$C:$FM,110)</f>
        <v>24.5</v>
      </c>
      <c r="D44" s="50">
        <f>VLOOKUP($A44,'Data shares'!$C:$FM,114)</f>
        <v>27.06</v>
      </c>
      <c r="E44" s="50">
        <f>VLOOKUP($A44,'Data shares'!$C:$FM,106)</f>
        <v>24.79</v>
      </c>
      <c r="F44" s="50">
        <f>VLOOKUP($A44,'Data shares'!$C:$FM,108)</f>
        <v>0.27</v>
      </c>
      <c r="G44" s="50">
        <f t="shared" si="1"/>
        <v>1.0108914885034288</v>
      </c>
    </row>
    <row r="45" spans="1:7" x14ac:dyDescent="0.25">
      <c r="A45" s="49" t="str">
        <f>'Data Vlaue (Cr)'!C40</f>
        <v>BSE</v>
      </c>
      <c r="B45" s="50">
        <f>VLOOKUP($A45,'Data shares'!$C:$FM,102)</f>
        <v>41.49</v>
      </c>
      <c r="C45" s="50">
        <f>VLOOKUP($A45,'Data shares'!$C:$FM,110)</f>
        <v>38.4</v>
      </c>
      <c r="D45" s="50">
        <f>VLOOKUP($A45,'Data shares'!$C:$FM,114)</f>
        <v>45.53</v>
      </c>
      <c r="E45" s="50">
        <f>VLOOKUP($A45,'Data shares'!$C:$FM,106)</f>
        <v>59.22</v>
      </c>
      <c r="F45" s="50">
        <f>VLOOKUP($A45,'Data shares'!$C:$FM,108)</f>
        <v>-17.73</v>
      </c>
      <c r="G45" s="50">
        <f t="shared" si="1"/>
        <v>0.70060790273556239</v>
      </c>
    </row>
    <row r="46" spans="1:7" x14ac:dyDescent="0.25">
      <c r="A46" s="49" t="str">
        <f>'Data Vlaue (Cr)'!C41</f>
        <v>CAMS</v>
      </c>
      <c r="B46" s="50">
        <f>VLOOKUP($A46,'Data shares'!$C:$FM,102)</f>
        <v>32.450000000000003</v>
      </c>
      <c r="C46" s="50">
        <f>VLOOKUP($A46,'Data shares'!$C:$FM,110)</f>
        <v>30.68</v>
      </c>
      <c r="D46" s="50">
        <f>VLOOKUP($A46,'Data shares'!$C:$FM,114)</f>
        <v>36.06</v>
      </c>
      <c r="E46" s="50">
        <f>VLOOKUP($A46,'Data shares'!$C:$FM,106)</f>
        <v>40.96</v>
      </c>
      <c r="F46" s="50">
        <f>VLOOKUP($A46,'Data shares'!$C:$FM,108)</f>
        <v>-8.51</v>
      </c>
      <c r="G46" s="50">
        <f t="shared" si="1"/>
        <v>0.792236328125</v>
      </c>
    </row>
    <row r="47" spans="1:7" x14ac:dyDescent="0.25">
      <c r="A47" s="49" t="str">
        <f>'Data Vlaue (Cr)'!C42</f>
        <v>CANBK</v>
      </c>
      <c r="B47" s="50">
        <f>VLOOKUP($A47,'Data shares'!$C:$FM,102)</f>
        <v>35.15</v>
      </c>
      <c r="C47" s="50">
        <f>VLOOKUP($A47,'Data shares'!$C:$FM,110)</f>
        <v>33.97</v>
      </c>
      <c r="D47" s="50">
        <f>VLOOKUP($A47,'Data shares'!$C:$FM,114)</f>
        <v>37.229999999999997</v>
      </c>
      <c r="E47" s="50">
        <f>VLOOKUP($A47,'Data shares'!$C:$FM,106)</f>
        <v>39.14</v>
      </c>
      <c r="F47" s="50">
        <f>VLOOKUP($A47,'Data shares'!$C:$FM,108)</f>
        <v>-3.99</v>
      </c>
      <c r="G47" s="50">
        <f t="shared" si="1"/>
        <v>0.8980582524271844</v>
      </c>
    </row>
    <row r="48" spans="1:7" x14ac:dyDescent="0.25">
      <c r="A48" s="49" t="str">
        <f>'Data Vlaue (Cr)'!C43</f>
        <v>CDSL</v>
      </c>
      <c r="B48" s="50">
        <f>VLOOKUP($A48,'Data shares'!$C:$FM,102)</f>
        <v>35.200000000000003</v>
      </c>
      <c r="C48" s="50">
        <f>VLOOKUP($A48,'Data shares'!$C:$FM,110)</f>
        <v>33.229999999999997</v>
      </c>
      <c r="D48" s="50">
        <f>VLOOKUP($A48,'Data shares'!$C:$FM,114)</f>
        <v>38.68</v>
      </c>
      <c r="E48" s="50">
        <f>VLOOKUP($A48,'Data shares'!$C:$FM,106)</f>
        <v>46.82</v>
      </c>
      <c r="F48" s="50">
        <f>VLOOKUP($A48,'Data shares'!$C:$FM,108)</f>
        <v>-11.62</v>
      </c>
      <c r="G48" s="50">
        <f t="shared" si="1"/>
        <v>0.75181546347714656</v>
      </c>
    </row>
    <row r="49" spans="1:7" x14ac:dyDescent="0.25">
      <c r="A49" s="49" t="str">
        <f>'Data Vlaue (Cr)'!C44</f>
        <v>CGPOWER</v>
      </c>
      <c r="B49" s="50">
        <f>VLOOKUP($A49,'Data shares'!$C:$FM,102)</f>
        <v>35.43</v>
      </c>
      <c r="C49" s="50">
        <f>VLOOKUP($A49,'Data shares'!$C:$FM,110)</f>
        <v>34.58</v>
      </c>
      <c r="D49" s="50">
        <f>VLOOKUP($A49,'Data shares'!$C:$FM,114)</f>
        <v>38.1</v>
      </c>
      <c r="E49" s="50">
        <f>VLOOKUP($A49,'Data shares'!$C:$FM,106)</f>
        <v>42.46</v>
      </c>
      <c r="F49" s="50">
        <f>VLOOKUP($A49,'Data shares'!$C:$FM,108)</f>
        <v>-7.03</v>
      </c>
      <c r="G49" s="50">
        <f t="shared" si="1"/>
        <v>0.83443240697126708</v>
      </c>
    </row>
    <row r="50" spans="1:7" x14ac:dyDescent="0.25">
      <c r="A50" s="49" t="str">
        <f>'Data Vlaue (Cr)'!C45</f>
        <v>CHOLAFIN</v>
      </c>
      <c r="B50" s="50">
        <f>VLOOKUP($A50,'Data shares'!$C:$FM,102)</f>
        <v>34.92</v>
      </c>
      <c r="C50" s="50">
        <f>VLOOKUP($A50,'Data shares'!$C:$FM,110)</f>
        <v>33.53</v>
      </c>
      <c r="D50" s="50">
        <f>VLOOKUP($A50,'Data shares'!$C:$FM,114)</f>
        <v>37.01</v>
      </c>
      <c r="E50" s="50">
        <f>VLOOKUP($A50,'Data shares'!$C:$FM,106)</f>
        <v>41.01</v>
      </c>
      <c r="F50" s="50">
        <f>VLOOKUP($A50,'Data shares'!$C:$FM,108)</f>
        <v>-6.09</v>
      </c>
      <c r="G50" s="50">
        <f t="shared" si="1"/>
        <v>0.85149963423555242</v>
      </c>
    </row>
    <row r="51" spans="1:7" x14ac:dyDescent="0.25">
      <c r="A51" s="49" t="str">
        <f>'Data Vlaue (Cr)'!C46</f>
        <v>CIPLA</v>
      </c>
      <c r="B51" s="50">
        <f>VLOOKUP($A51,'Data shares'!$C:$FM,102)</f>
        <v>22.88</v>
      </c>
      <c r="C51" s="50">
        <f>VLOOKUP($A51,'Data shares'!$C:$FM,110)</f>
        <v>22.24</v>
      </c>
      <c r="D51" s="50">
        <f>VLOOKUP($A51,'Data shares'!$C:$FM,114)</f>
        <v>24.59</v>
      </c>
      <c r="E51" s="50">
        <f>VLOOKUP($A51,'Data shares'!$C:$FM,106)</f>
        <v>25.03</v>
      </c>
      <c r="F51" s="50">
        <f>VLOOKUP($A51,'Data shares'!$C:$FM,108)</f>
        <v>-2.15</v>
      </c>
      <c r="G51" s="50">
        <f t="shared" si="1"/>
        <v>0.9141030763084298</v>
      </c>
    </row>
    <row r="52" spans="1:7" x14ac:dyDescent="0.25">
      <c r="A52" s="49" t="str">
        <f>'Data Vlaue (Cr)'!C47</f>
        <v>COALINDIA</v>
      </c>
      <c r="B52" s="50">
        <f>VLOOKUP($A52,'Data shares'!$C:$FM,102)</f>
        <v>28.23</v>
      </c>
      <c r="C52" s="50">
        <f>VLOOKUP($A52,'Data shares'!$C:$FM,110)</f>
        <v>27.9</v>
      </c>
      <c r="D52" s="50">
        <f>VLOOKUP($A52,'Data shares'!$C:$FM,114)</f>
        <v>28.78</v>
      </c>
      <c r="E52" s="50">
        <f>VLOOKUP($A52,'Data shares'!$C:$FM,106)</f>
        <v>31.03</v>
      </c>
      <c r="F52" s="50">
        <f>VLOOKUP($A52,'Data shares'!$C:$FM,108)</f>
        <v>-2.8</v>
      </c>
      <c r="G52" s="50">
        <f t="shared" si="1"/>
        <v>0.9097647437963261</v>
      </c>
    </row>
    <row r="53" spans="1:7" x14ac:dyDescent="0.25">
      <c r="A53" s="49" t="str">
        <f>'Data Vlaue (Cr)'!C48</f>
        <v>COCHINSHIP</v>
      </c>
      <c r="B53" s="50">
        <f>VLOOKUP($A53,'Data shares'!$C:$FM,102)</f>
        <v>52.74</v>
      </c>
      <c r="C53" s="50">
        <f>VLOOKUP($A53,'Data shares'!$C:$FM,110)</f>
        <v>52.4</v>
      </c>
      <c r="D53" s="50">
        <f>VLOOKUP($A53,'Data shares'!$C:$FM,114)</f>
        <v>54.57</v>
      </c>
      <c r="E53" s="50">
        <f>VLOOKUP($A53,'Data shares'!$C:$FM,106)</f>
        <v>54.91</v>
      </c>
      <c r="F53" s="50">
        <f>VLOOKUP($A53,'Data shares'!$C:$FM,108)</f>
        <v>-2.17</v>
      </c>
      <c r="G53" s="50">
        <f t="shared" si="1"/>
        <v>0.96048078674194148</v>
      </c>
    </row>
    <row r="54" spans="1:7" x14ac:dyDescent="0.25">
      <c r="A54" s="49" t="str">
        <f>'Data Vlaue (Cr)'!C49</f>
        <v>COFORGE</v>
      </c>
      <c r="B54" s="50">
        <f>VLOOKUP($A54,'Data shares'!$C:$FM,102)</f>
        <v>39.99</v>
      </c>
      <c r="C54" s="50">
        <f>VLOOKUP($A54,'Data shares'!$C:$FM,110)</f>
        <v>38.700000000000003</v>
      </c>
      <c r="D54" s="50">
        <f>VLOOKUP($A54,'Data shares'!$C:$FM,114)</f>
        <v>42.31</v>
      </c>
      <c r="E54" s="50">
        <f>VLOOKUP($A54,'Data shares'!$C:$FM,106)</f>
        <v>43.2</v>
      </c>
      <c r="F54" s="50">
        <f>VLOOKUP($A54,'Data shares'!$C:$FM,108)</f>
        <v>-3.21</v>
      </c>
      <c r="G54" s="50">
        <f t="shared" si="1"/>
        <v>0.92569444444444438</v>
      </c>
    </row>
    <row r="55" spans="1:7" x14ac:dyDescent="0.25">
      <c r="A55" s="49" t="str">
        <f>'Data Vlaue (Cr)'!C50</f>
        <v>COLPAL</v>
      </c>
      <c r="B55" s="50">
        <f>VLOOKUP($A55,'Data shares'!$C:$FM,102)</f>
        <v>31.34</v>
      </c>
      <c r="C55" s="50">
        <f>VLOOKUP($A55,'Data shares'!$C:$FM,110)</f>
        <v>30.83</v>
      </c>
      <c r="D55" s="50">
        <f>VLOOKUP($A55,'Data shares'!$C:$FM,114)</f>
        <v>32.68</v>
      </c>
      <c r="E55" s="50">
        <f>VLOOKUP($A55,'Data shares'!$C:$FM,106)</f>
        <v>30.74</v>
      </c>
      <c r="F55" s="50">
        <f>VLOOKUP($A55,'Data shares'!$C:$FM,108)</f>
        <v>0.6</v>
      </c>
      <c r="G55" s="50">
        <f t="shared" si="1"/>
        <v>1.0195185426154847</v>
      </c>
    </row>
    <row r="56" spans="1:7" x14ac:dyDescent="0.25">
      <c r="A56" s="49" t="str">
        <f>'Data Vlaue (Cr)'!C51</f>
        <v>CONCOR</v>
      </c>
      <c r="B56" s="50">
        <f>VLOOKUP($A56,'Data shares'!$C:$FM,102)</f>
        <v>30.29</v>
      </c>
      <c r="C56" s="50">
        <f>VLOOKUP($A56,'Data shares'!$C:$FM,110)</f>
        <v>29.48</v>
      </c>
      <c r="D56" s="50">
        <f>VLOOKUP($A56,'Data shares'!$C:$FM,114)</f>
        <v>32.25</v>
      </c>
      <c r="E56" s="50">
        <f>VLOOKUP($A56,'Data shares'!$C:$FM,106)</f>
        <v>35.020000000000003</v>
      </c>
      <c r="F56" s="50">
        <f>VLOOKUP($A56,'Data shares'!$C:$FM,108)</f>
        <v>-4.7300000000000004</v>
      </c>
      <c r="G56" s="50">
        <f t="shared" si="1"/>
        <v>0.86493432324386055</v>
      </c>
    </row>
    <row r="57" spans="1:7" x14ac:dyDescent="0.25">
      <c r="A57" s="49" t="str">
        <f>'Data Vlaue (Cr)'!C52</f>
        <v>CROMPTON</v>
      </c>
      <c r="B57" s="50">
        <f>VLOOKUP($A57,'Data shares'!$C:$FM,102)</f>
        <v>37.520000000000003</v>
      </c>
      <c r="C57" s="50">
        <f>VLOOKUP($A57,'Data shares'!$C:$FM,110)</f>
        <v>36.58</v>
      </c>
      <c r="D57" s="50">
        <f>VLOOKUP($A57,'Data shares'!$C:$FM,114)</f>
        <v>39.630000000000003</v>
      </c>
      <c r="E57" s="50">
        <f>VLOOKUP($A57,'Data shares'!$C:$FM,106)</f>
        <v>35.47</v>
      </c>
      <c r="F57" s="50">
        <f>VLOOKUP($A57,'Data shares'!$C:$FM,108)</f>
        <v>2.0499999999999998</v>
      </c>
      <c r="G57" s="50">
        <f t="shared" si="1"/>
        <v>1.0577953199887229</v>
      </c>
    </row>
    <row r="58" spans="1:7" x14ac:dyDescent="0.25">
      <c r="A58" s="49" t="str">
        <f>'Data Vlaue (Cr)'!C53</f>
        <v>CUMMINSIND</v>
      </c>
      <c r="B58" s="50">
        <f>VLOOKUP($A58,'Data shares'!$C:$FM,102)</f>
        <v>33.57</v>
      </c>
      <c r="C58" s="50">
        <f>VLOOKUP($A58,'Data shares'!$C:$FM,110)</f>
        <v>33.1</v>
      </c>
      <c r="D58" s="50">
        <f>VLOOKUP($A58,'Data shares'!$C:$FM,114)</f>
        <v>35.270000000000003</v>
      </c>
      <c r="E58" s="50">
        <f>VLOOKUP($A58,'Data shares'!$C:$FM,106)</f>
        <v>36.200000000000003</v>
      </c>
      <c r="F58" s="50">
        <f>VLOOKUP($A58,'Data shares'!$C:$FM,108)</f>
        <v>-2.63</v>
      </c>
      <c r="G58" s="50">
        <f t="shared" si="1"/>
        <v>0.92734806629834243</v>
      </c>
    </row>
    <row r="59" spans="1:7" x14ac:dyDescent="0.25">
      <c r="A59" s="49" t="str">
        <f>'Data Vlaue (Cr)'!C54</f>
        <v>DABUR</v>
      </c>
      <c r="B59" s="50">
        <f>VLOOKUP($A59,'Data shares'!$C:$FM,102)</f>
        <v>29.35</v>
      </c>
      <c r="C59" s="50">
        <f>VLOOKUP($A59,'Data shares'!$C:$FM,110)</f>
        <v>29.4</v>
      </c>
      <c r="D59" s="50">
        <f>VLOOKUP($A59,'Data shares'!$C:$FM,114)</f>
        <v>29.21</v>
      </c>
      <c r="E59" s="50">
        <f>VLOOKUP($A59,'Data shares'!$C:$FM,106)</f>
        <v>27.26</v>
      </c>
      <c r="F59" s="50">
        <f>VLOOKUP($A59,'Data shares'!$C:$FM,108)</f>
        <v>2.09</v>
      </c>
      <c r="G59" s="50">
        <f t="shared" si="1"/>
        <v>1.0766691122523844</v>
      </c>
    </row>
    <row r="60" spans="1:7" x14ac:dyDescent="0.25">
      <c r="A60" s="49" t="str">
        <f>'Data Vlaue (Cr)'!C55</f>
        <v>DALBHARAT</v>
      </c>
      <c r="B60" s="50">
        <f>VLOOKUP($A60,'Data shares'!$C:$FM,102)</f>
        <v>37.47</v>
      </c>
      <c r="C60" s="50">
        <f>VLOOKUP($A60,'Data shares'!$C:$FM,110)</f>
        <v>36.549999999999997</v>
      </c>
      <c r="D60" s="50">
        <f>VLOOKUP($A60,'Data shares'!$C:$FM,114)</f>
        <v>39.549999999999997</v>
      </c>
      <c r="E60" s="50">
        <f>VLOOKUP($A60,'Data shares'!$C:$FM,106)</f>
        <v>34.15</v>
      </c>
      <c r="F60" s="50">
        <f>VLOOKUP($A60,'Data shares'!$C:$FM,108)</f>
        <v>3.32</v>
      </c>
      <c r="G60" s="50">
        <f t="shared" si="1"/>
        <v>1.0972181551976574</v>
      </c>
    </row>
    <row r="61" spans="1:7" x14ac:dyDescent="0.25">
      <c r="A61" s="49" t="str">
        <f>'Data Vlaue (Cr)'!C56</f>
        <v>DELHIVERY</v>
      </c>
      <c r="B61" s="50">
        <f>VLOOKUP($A61,'Data shares'!$C:$FM,102)</f>
        <v>38.07</v>
      </c>
      <c r="C61" s="50">
        <f>VLOOKUP($A61,'Data shares'!$C:$FM,110)</f>
        <v>38.35</v>
      </c>
      <c r="D61" s="50">
        <f>VLOOKUP($A61,'Data shares'!$C:$FM,114)</f>
        <v>36.78</v>
      </c>
      <c r="E61" s="50">
        <f>VLOOKUP($A61,'Data shares'!$C:$FM,106)</f>
        <v>39.450000000000003</v>
      </c>
      <c r="F61" s="50">
        <f>VLOOKUP($A61,'Data shares'!$C:$FM,108)</f>
        <v>-1.38</v>
      </c>
      <c r="G61" s="50">
        <f t="shared" si="1"/>
        <v>0.9650190114068441</v>
      </c>
    </row>
    <row r="62" spans="1:7" x14ac:dyDescent="0.25">
      <c r="A62" s="49" t="str">
        <f>'Data Vlaue (Cr)'!C57</f>
        <v>DIVISLAB</v>
      </c>
      <c r="B62" s="50">
        <f>VLOOKUP($A62,'Data shares'!$C:$FM,102)</f>
        <v>24.25</v>
      </c>
      <c r="C62" s="50">
        <f>VLOOKUP($A62,'Data shares'!$C:$FM,110)</f>
        <v>23.79</v>
      </c>
      <c r="D62" s="50">
        <f>VLOOKUP($A62,'Data shares'!$C:$FM,114)</f>
        <v>25.06</v>
      </c>
      <c r="E62" s="50">
        <f>VLOOKUP($A62,'Data shares'!$C:$FM,106)</f>
        <v>29.75</v>
      </c>
      <c r="F62" s="50">
        <f>VLOOKUP($A62,'Data shares'!$C:$FM,108)</f>
        <v>-5.5</v>
      </c>
      <c r="G62" s="50">
        <f t="shared" si="1"/>
        <v>0.81512605042016806</v>
      </c>
    </row>
    <row r="63" spans="1:7" x14ac:dyDescent="0.25">
      <c r="A63" s="49" t="str">
        <f>'Data Vlaue (Cr)'!C58</f>
        <v>DIXON</v>
      </c>
      <c r="B63" s="50">
        <f>VLOOKUP($A63,'Data shares'!$C:$FM,102)</f>
        <v>45.96</v>
      </c>
      <c r="C63" s="50">
        <f>VLOOKUP($A63,'Data shares'!$C:$FM,110)</f>
        <v>44.01</v>
      </c>
      <c r="D63" s="50">
        <f>VLOOKUP($A63,'Data shares'!$C:$FM,114)</f>
        <v>49.46</v>
      </c>
      <c r="E63" s="50">
        <f>VLOOKUP($A63,'Data shares'!$C:$FM,106)</f>
        <v>49.35</v>
      </c>
      <c r="F63" s="50">
        <f>VLOOKUP($A63,'Data shares'!$C:$FM,108)</f>
        <v>-3.39</v>
      </c>
      <c r="G63" s="50">
        <f t="shared" si="1"/>
        <v>0.93130699088145896</v>
      </c>
    </row>
    <row r="64" spans="1:7" x14ac:dyDescent="0.25">
      <c r="A64" s="49" t="str">
        <f>'Data Vlaue (Cr)'!C59</f>
        <v>DLF</v>
      </c>
      <c r="B64" s="50">
        <f>VLOOKUP($A64,'Data shares'!$C:$FM,102)</f>
        <v>34.47</v>
      </c>
      <c r="C64" s="50">
        <f>VLOOKUP($A64,'Data shares'!$C:$FM,110)</f>
        <v>32.950000000000003</v>
      </c>
      <c r="D64" s="50">
        <f>VLOOKUP($A64,'Data shares'!$C:$FM,114)</f>
        <v>36.28</v>
      </c>
      <c r="E64" s="50">
        <f>VLOOKUP($A64,'Data shares'!$C:$FM,106)</f>
        <v>38.049999999999997</v>
      </c>
      <c r="F64" s="50">
        <f>VLOOKUP($A64,'Data shares'!$C:$FM,108)</f>
        <v>-3.58</v>
      </c>
      <c r="G64" s="50">
        <f t="shared" si="1"/>
        <v>0.90591327201051253</v>
      </c>
    </row>
    <row r="65" spans="1:7" x14ac:dyDescent="0.25">
      <c r="A65" s="49" t="str">
        <f>'Data Vlaue (Cr)'!C60</f>
        <v>DMART</v>
      </c>
      <c r="B65" s="50">
        <f>VLOOKUP($A65,'Data shares'!$C:$FM,102)</f>
        <v>32.5</v>
      </c>
      <c r="C65" s="50">
        <f>VLOOKUP($A65,'Data shares'!$C:$FM,110)</f>
        <v>31.27</v>
      </c>
      <c r="D65" s="50">
        <f>VLOOKUP($A65,'Data shares'!$C:$FM,114)</f>
        <v>35.25</v>
      </c>
      <c r="E65" s="50">
        <f>VLOOKUP($A65,'Data shares'!$C:$FM,106)</f>
        <v>33.24</v>
      </c>
      <c r="F65" s="50">
        <f>VLOOKUP($A65,'Data shares'!$C:$FM,108)</f>
        <v>-0.74</v>
      </c>
      <c r="G65" s="50">
        <f t="shared" si="1"/>
        <v>0.97773766546329721</v>
      </c>
    </row>
    <row r="66" spans="1:7" x14ac:dyDescent="0.25">
      <c r="A66" s="49" t="str">
        <f>'Data Vlaue (Cr)'!C61</f>
        <v>DRREDDY</v>
      </c>
      <c r="B66" s="50">
        <f>VLOOKUP($A66,'Data shares'!$C:$FM,102)</f>
        <v>25.1</v>
      </c>
      <c r="C66" s="50">
        <f>VLOOKUP($A66,'Data shares'!$C:$FM,110)</f>
        <v>24.76</v>
      </c>
      <c r="D66" s="50">
        <f>VLOOKUP($A66,'Data shares'!$C:$FM,114)</f>
        <v>25.92</v>
      </c>
      <c r="E66" s="50">
        <f>VLOOKUP($A66,'Data shares'!$C:$FM,106)</f>
        <v>26.04</v>
      </c>
      <c r="F66" s="50">
        <f>VLOOKUP($A66,'Data shares'!$C:$FM,108)</f>
        <v>-0.94</v>
      </c>
      <c r="G66" s="50">
        <f t="shared" si="1"/>
        <v>0.96390168970814138</v>
      </c>
    </row>
    <row r="67" spans="1:7" x14ac:dyDescent="0.25">
      <c r="A67" s="49" t="str">
        <f>'Data Vlaue (Cr)'!C62</f>
        <v>EICHERMOT</v>
      </c>
      <c r="B67" s="50">
        <f>VLOOKUP($A67,'Data shares'!$C:$FM,102)</f>
        <v>30.63</v>
      </c>
      <c r="C67" s="50">
        <f>VLOOKUP($A67,'Data shares'!$C:$FM,110)</f>
        <v>30.13</v>
      </c>
      <c r="D67" s="50">
        <f>VLOOKUP($A67,'Data shares'!$C:$FM,114)</f>
        <v>32.15</v>
      </c>
      <c r="E67" s="50">
        <f>VLOOKUP($A67,'Data shares'!$C:$FM,106)</f>
        <v>33.86</v>
      </c>
      <c r="F67" s="50">
        <f>VLOOKUP($A67,'Data shares'!$C:$FM,108)</f>
        <v>-3.23</v>
      </c>
      <c r="G67" s="50">
        <f t="shared" si="1"/>
        <v>0.90460720614294154</v>
      </c>
    </row>
    <row r="68" spans="1:7" x14ac:dyDescent="0.25">
      <c r="A68" s="49" t="str">
        <f>'Data Vlaue (Cr)'!C63</f>
        <v>ETERNAL</v>
      </c>
      <c r="B68" s="50">
        <f>VLOOKUP($A68,'Data shares'!$C:$FM,102)</f>
        <v>44.57</v>
      </c>
      <c r="C68" s="50">
        <f>VLOOKUP($A68,'Data shares'!$C:$FM,110)</f>
        <v>43.2</v>
      </c>
      <c r="D68" s="50">
        <f>VLOOKUP($A68,'Data shares'!$C:$FM,114)</f>
        <v>47.37</v>
      </c>
      <c r="E68" s="50">
        <f>VLOOKUP($A68,'Data shares'!$C:$FM,106)</f>
        <v>46.24</v>
      </c>
      <c r="F68" s="50">
        <f>VLOOKUP($A68,'Data shares'!$C:$FM,108)</f>
        <v>-1.67</v>
      </c>
      <c r="G68" s="50">
        <f t="shared" si="1"/>
        <v>0.96388408304498263</v>
      </c>
    </row>
    <row r="69" spans="1:7" x14ac:dyDescent="0.25">
      <c r="A69" s="49" t="str">
        <f>'Data Vlaue (Cr)'!C64</f>
        <v>EXIDEIND</v>
      </c>
      <c r="B69" s="50">
        <f>VLOOKUP($A69,'Data shares'!$C:$FM,102)</f>
        <v>34.79</v>
      </c>
      <c r="C69" s="50">
        <f>VLOOKUP($A69,'Data shares'!$C:$FM,110)</f>
        <v>33.479999999999997</v>
      </c>
      <c r="D69" s="50">
        <f>VLOOKUP($A69,'Data shares'!$C:$FM,114)</f>
        <v>37.299999999999997</v>
      </c>
      <c r="E69" s="50">
        <f>VLOOKUP($A69,'Data shares'!$C:$FM,106)</f>
        <v>35.46</v>
      </c>
      <c r="F69" s="50">
        <f>VLOOKUP($A69,'Data shares'!$C:$FM,108)</f>
        <v>-0.67</v>
      </c>
      <c r="G69" s="50">
        <f t="shared" si="1"/>
        <v>0.98110547095318668</v>
      </c>
    </row>
    <row r="70" spans="1:7" x14ac:dyDescent="0.25">
      <c r="A70" s="49" t="str">
        <f>'Data Vlaue (Cr)'!C65</f>
        <v>FEDERALBNK</v>
      </c>
      <c r="B70" s="50">
        <f>VLOOKUP($A70,'Data shares'!$C:$FM,102)</f>
        <v>30.25</v>
      </c>
      <c r="C70" s="50">
        <f>VLOOKUP($A70,'Data shares'!$C:$FM,110)</f>
        <v>28.39</v>
      </c>
      <c r="D70" s="50">
        <f>VLOOKUP($A70,'Data shares'!$C:$FM,114)</f>
        <v>33.6</v>
      </c>
      <c r="E70" s="50">
        <f>VLOOKUP($A70,'Data shares'!$C:$FM,106)</f>
        <v>32.409999999999997</v>
      </c>
      <c r="F70" s="50">
        <f>VLOOKUP($A70,'Data shares'!$C:$FM,108)</f>
        <v>-2.16</v>
      </c>
      <c r="G70" s="50">
        <f t="shared" si="1"/>
        <v>0.93335390311632227</v>
      </c>
    </row>
    <row r="71" spans="1:7" x14ac:dyDescent="0.25">
      <c r="A71" s="49" t="str">
        <f>'Data Vlaue (Cr)'!C66</f>
        <v>FINNIFTY</v>
      </c>
      <c r="B71" s="50">
        <f>VLOOKUP($A71,'Data shares'!$C:$FM,102)</f>
        <v>21.34</v>
      </c>
      <c r="C71" s="50">
        <f>VLOOKUP($A71,'Data shares'!$C:$FM,110)</f>
        <v>19.96</v>
      </c>
      <c r="D71" s="50">
        <f>VLOOKUP($A71,'Data shares'!$C:$FM,114)</f>
        <v>24.12</v>
      </c>
      <c r="E71" s="50">
        <f>VLOOKUP($A71,'Data shares'!$C:$FM,106)</f>
        <v>21.76</v>
      </c>
      <c r="F71" s="50">
        <f>VLOOKUP($A71,'Data shares'!$C:$FM,108)</f>
        <v>-0.42</v>
      </c>
      <c r="G71" s="50">
        <f t="shared" ref="G71:G102" si="2">B71/E71</f>
        <v>0.98069852941176461</v>
      </c>
    </row>
    <row r="72" spans="1:7" x14ac:dyDescent="0.25">
      <c r="A72" s="49" t="str">
        <f>'Data Vlaue (Cr)'!C67</f>
        <v>FORCEMOT</v>
      </c>
      <c r="B72" s="50">
        <f>VLOOKUP($A72,'Data shares'!$C:$FM,102)</f>
        <v>60.87</v>
      </c>
      <c r="C72" s="50">
        <f>VLOOKUP($A72,'Data shares'!$C:$FM,110)</f>
        <v>60.25</v>
      </c>
      <c r="D72" s="50">
        <f>VLOOKUP($A72,'Data shares'!$C:$FM,114)</f>
        <v>63.53</v>
      </c>
      <c r="E72" s="50">
        <f>VLOOKUP($A72,'Data shares'!$C:$FM,106)</f>
        <v>65.760000000000005</v>
      </c>
      <c r="F72" s="50">
        <f>VLOOKUP($A72,'Data shares'!$C:$FM,108)</f>
        <v>-4.8899999999999997</v>
      </c>
      <c r="G72" s="50">
        <f t="shared" si="2"/>
        <v>0.92563868613138678</v>
      </c>
    </row>
    <row r="73" spans="1:7" x14ac:dyDescent="0.25">
      <c r="A73" s="49" t="str">
        <f>'Data Vlaue (Cr)'!C68</f>
        <v>FORTIS</v>
      </c>
      <c r="B73" s="50">
        <f>VLOOKUP($A73,'Data shares'!$C:$FM,102)</f>
        <v>28.96</v>
      </c>
      <c r="C73" s="50">
        <f>VLOOKUP($A73,'Data shares'!$C:$FM,110)</f>
        <v>27.64</v>
      </c>
      <c r="D73" s="50">
        <f>VLOOKUP($A73,'Data shares'!$C:$FM,114)</f>
        <v>31.85</v>
      </c>
      <c r="E73" s="50">
        <f>VLOOKUP($A73,'Data shares'!$C:$FM,106)</f>
        <v>35.4</v>
      </c>
      <c r="F73" s="50">
        <f>VLOOKUP($A73,'Data shares'!$C:$FM,108)</f>
        <v>-6.44</v>
      </c>
      <c r="G73" s="50">
        <f t="shared" si="2"/>
        <v>0.8180790960451978</v>
      </c>
    </row>
    <row r="74" spans="1:7" x14ac:dyDescent="0.25">
      <c r="A74" s="49" t="str">
        <f>'Data Vlaue (Cr)'!C69</f>
        <v>GAIL</v>
      </c>
      <c r="B74" s="50">
        <f>VLOOKUP($A74,'Data shares'!$C:$FM,102)</f>
        <v>30.16</v>
      </c>
      <c r="C74" s="50">
        <f>VLOOKUP($A74,'Data shares'!$C:$FM,110)</f>
        <v>28.14</v>
      </c>
      <c r="D74" s="50">
        <f>VLOOKUP($A74,'Data shares'!$C:$FM,114)</f>
        <v>32.61</v>
      </c>
      <c r="E74" s="50">
        <f>VLOOKUP($A74,'Data shares'!$C:$FM,106)</f>
        <v>35.58</v>
      </c>
      <c r="F74" s="50">
        <f>VLOOKUP($A74,'Data shares'!$C:$FM,108)</f>
        <v>-5.42</v>
      </c>
      <c r="G74" s="50">
        <f t="shared" si="2"/>
        <v>0.84766722878021361</v>
      </c>
    </row>
    <row r="75" spans="1:7" x14ac:dyDescent="0.25">
      <c r="A75" s="49" t="str">
        <f>'Data Vlaue (Cr)'!C70</f>
        <v>GLENMARK</v>
      </c>
      <c r="B75" s="50">
        <f>VLOOKUP($A75,'Data shares'!$C:$FM,102)</f>
        <v>34.18</v>
      </c>
      <c r="C75" s="50">
        <f>VLOOKUP($A75,'Data shares'!$C:$FM,110)</f>
        <v>33.979999999999997</v>
      </c>
      <c r="D75" s="50">
        <f>VLOOKUP($A75,'Data shares'!$C:$FM,114)</f>
        <v>34.79</v>
      </c>
      <c r="E75" s="50">
        <f>VLOOKUP($A75,'Data shares'!$C:$FM,106)</f>
        <v>36.049999999999997</v>
      </c>
      <c r="F75" s="50">
        <f>VLOOKUP($A75,'Data shares'!$C:$FM,108)</f>
        <v>-1.87</v>
      </c>
      <c r="G75" s="50">
        <f t="shared" si="2"/>
        <v>0.94812760055478507</v>
      </c>
    </row>
    <row r="76" spans="1:7" x14ac:dyDescent="0.25">
      <c r="A76" s="49" t="str">
        <f>'Data Vlaue (Cr)'!C71</f>
        <v>GMRAIRPORT</v>
      </c>
      <c r="B76" s="50">
        <f>VLOOKUP($A76,'Data shares'!$C:$FM,102)</f>
        <v>37.369999999999997</v>
      </c>
      <c r="C76" s="50">
        <f>VLOOKUP($A76,'Data shares'!$C:$FM,110)</f>
        <v>36.799999999999997</v>
      </c>
      <c r="D76" s="50">
        <f>VLOOKUP($A76,'Data shares'!$C:$FM,114)</f>
        <v>38.5</v>
      </c>
      <c r="E76" s="50">
        <f>VLOOKUP($A76,'Data shares'!$C:$FM,106)</f>
        <v>41.52</v>
      </c>
      <c r="F76" s="50">
        <f>VLOOKUP($A76,'Data shares'!$C:$FM,108)</f>
        <v>-4.1500000000000004</v>
      </c>
      <c r="G76" s="50">
        <f t="shared" si="2"/>
        <v>0.90004816955683997</v>
      </c>
    </row>
    <row r="77" spans="1:7" x14ac:dyDescent="0.25">
      <c r="A77" s="49" t="str">
        <f>'Data Vlaue (Cr)'!C72</f>
        <v>GODFRYPHLP</v>
      </c>
      <c r="B77" s="50">
        <f>VLOOKUP($A77,'Data shares'!$C:$FM,102)</f>
        <v>58.05</v>
      </c>
      <c r="C77" s="50">
        <f>VLOOKUP($A77,'Data shares'!$C:$FM,110)</f>
        <v>57.9</v>
      </c>
      <c r="D77" s="50">
        <f>VLOOKUP($A77,'Data shares'!$C:$FM,114)</f>
        <v>58.66</v>
      </c>
      <c r="E77" s="50">
        <f>VLOOKUP($A77,'Data shares'!$C:$FM,106)</f>
        <v>71.28</v>
      </c>
      <c r="F77" s="50">
        <f>VLOOKUP($A77,'Data shares'!$C:$FM,108)</f>
        <v>-13.23</v>
      </c>
      <c r="G77" s="50">
        <f t="shared" si="2"/>
        <v>0.81439393939393934</v>
      </c>
    </row>
    <row r="78" spans="1:7" x14ac:dyDescent="0.25">
      <c r="A78" s="49" t="str">
        <f>'Data Vlaue (Cr)'!C73</f>
        <v>GODREJCP</v>
      </c>
      <c r="B78" s="50">
        <f>VLOOKUP($A78,'Data shares'!$C:$FM,102)</f>
        <v>28.9</v>
      </c>
      <c r="C78" s="50">
        <f>VLOOKUP($A78,'Data shares'!$C:$FM,110)</f>
        <v>27.63</v>
      </c>
      <c r="D78" s="50">
        <f>VLOOKUP($A78,'Data shares'!$C:$FM,114)</f>
        <v>32.42</v>
      </c>
      <c r="E78" s="50">
        <f>VLOOKUP($A78,'Data shares'!$C:$FM,106)</f>
        <v>30.4</v>
      </c>
      <c r="F78" s="50">
        <f>VLOOKUP($A78,'Data shares'!$C:$FM,108)</f>
        <v>-1.5</v>
      </c>
      <c r="G78" s="50">
        <f t="shared" si="2"/>
        <v>0.95065789473684215</v>
      </c>
    </row>
    <row r="79" spans="1:7" x14ac:dyDescent="0.25">
      <c r="A79" s="49" t="str">
        <f>'Data Vlaue (Cr)'!C74</f>
        <v>GODREJPROP</v>
      </c>
      <c r="B79" s="50">
        <f>VLOOKUP($A79,'Data shares'!$C:$FM,102)</f>
        <v>39.5</v>
      </c>
      <c r="C79" s="50">
        <f>VLOOKUP($A79,'Data shares'!$C:$FM,110)</f>
        <v>35.31</v>
      </c>
      <c r="D79" s="50">
        <f>VLOOKUP($A79,'Data shares'!$C:$FM,114)</f>
        <v>44.59</v>
      </c>
      <c r="E79" s="50">
        <f>VLOOKUP($A79,'Data shares'!$C:$FM,106)</f>
        <v>45.79</v>
      </c>
      <c r="F79" s="50">
        <f>VLOOKUP($A79,'Data shares'!$C:$FM,108)</f>
        <v>-6.29</v>
      </c>
      <c r="G79" s="50">
        <f t="shared" si="2"/>
        <v>0.86263376283031235</v>
      </c>
    </row>
    <row r="80" spans="1:7" x14ac:dyDescent="0.25">
      <c r="A80" s="49" t="str">
        <f>'Data Vlaue (Cr)'!C75</f>
        <v>GRASIM</v>
      </c>
      <c r="B80" s="50">
        <f>VLOOKUP($A80,'Data shares'!$C:$FM,102)</f>
        <v>26.85</v>
      </c>
      <c r="C80" s="50">
        <f>VLOOKUP($A80,'Data shares'!$C:$FM,110)</f>
        <v>26.37</v>
      </c>
      <c r="D80" s="50">
        <f>VLOOKUP($A80,'Data shares'!$C:$FM,114)</f>
        <v>28</v>
      </c>
      <c r="E80" s="50">
        <f>VLOOKUP($A80,'Data shares'!$C:$FM,106)</f>
        <v>28.37</v>
      </c>
      <c r="F80" s="50">
        <f>VLOOKUP($A80,'Data shares'!$C:$FM,108)</f>
        <v>-1.52</v>
      </c>
      <c r="G80" s="50">
        <f t="shared" si="2"/>
        <v>0.94642227705322524</v>
      </c>
    </row>
    <row r="81" spans="1:7" x14ac:dyDescent="0.25">
      <c r="A81" s="49" t="str">
        <f>'Data Vlaue (Cr)'!C76</f>
        <v>HAL</v>
      </c>
      <c r="B81" s="50">
        <f>VLOOKUP($A81,'Data shares'!$C:$FM,102)</f>
        <v>32.08</v>
      </c>
      <c r="C81" s="50">
        <f>VLOOKUP($A81,'Data shares'!$C:$FM,110)</f>
        <v>30.13</v>
      </c>
      <c r="D81" s="50">
        <f>VLOOKUP($A81,'Data shares'!$C:$FM,114)</f>
        <v>35.07</v>
      </c>
      <c r="E81" s="50">
        <f>VLOOKUP($A81,'Data shares'!$C:$FM,106)</f>
        <v>39.18</v>
      </c>
      <c r="F81" s="50">
        <f>VLOOKUP($A81,'Data shares'!$C:$FM,108)</f>
        <v>-7.1</v>
      </c>
      <c r="G81" s="50">
        <f t="shared" si="2"/>
        <v>0.81878509443593661</v>
      </c>
    </row>
    <row r="82" spans="1:7" x14ac:dyDescent="0.25">
      <c r="A82" s="49" t="str">
        <f>'Data Vlaue (Cr)'!C77</f>
        <v>HAVELLS</v>
      </c>
      <c r="B82" s="50">
        <f>VLOOKUP($A82,'Data shares'!$C:$FM,102)</f>
        <v>37.03</v>
      </c>
      <c r="C82" s="50">
        <f>VLOOKUP($A82,'Data shares'!$C:$FM,110)</f>
        <v>36.479999999999997</v>
      </c>
      <c r="D82" s="50">
        <f>VLOOKUP($A82,'Data shares'!$C:$FM,114)</f>
        <v>38.69</v>
      </c>
      <c r="E82" s="50">
        <f>VLOOKUP($A82,'Data shares'!$C:$FM,106)</f>
        <v>29.58</v>
      </c>
      <c r="F82" s="50">
        <f>VLOOKUP($A82,'Data shares'!$C:$FM,108)</f>
        <v>7.45</v>
      </c>
      <c r="G82" s="50">
        <f t="shared" si="2"/>
        <v>1.2518593644354294</v>
      </c>
    </row>
    <row r="83" spans="1:7" x14ac:dyDescent="0.25">
      <c r="A83" s="49" t="str">
        <f>'Data Vlaue (Cr)'!C78</f>
        <v>HCLTECH</v>
      </c>
      <c r="B83" s="50">
        <f>VLOOKUP($A83,'Data shares'!$C:$FM,102)</f>
        <v>35.65</v>
      </c>
      <c r="C83" s="50">
        <f>VLOOKUP($A83,'Data shares'!$C:$FM,110)</f>
        <v>35.47</v>
      </c>
      <c r="D83" s="50">
        <f>VLOOKUP($A83,'Data shares'!$C:$FM,114)</f>
        <v>35.979999999999997</v>
      </c>
      <c r="E83" s="50">
        <f>VLOOKUP($A83,'Data shares'!$C:$FM,106)</f>
        <v>29.34</v>
      </c>
      <c r="F83" s="50">
        <f>VLOOKUP($A83,'Data shares'!$C:$FM,108)</f>
        <v>6.31</v>
      </c>
      <c r="G83" s="50">
        <f t="shared" si="2"/>
        <v>1.2150647580095433</v>
      </c>
    </row>
    <row r="84" spans="1:7" x14ac:dyDescent="0.25">
      <c r="A84" s="49" t="str">
        <f>'Data Vlaue (Cr)'!C79</f>
        <v>HDFCAMC</v>
      </c>
      <c r="B84" s="50">
        <f>VLOOKUP($A84,'Data shares'!$C:$FM,102)</f>
        <v>33.130000000000003</v>
      </c>
      <c r="C84" s="50">
        <f>VLOOKUP($A84,'Data shares'!$C:$FM,110)</f>
        <v>31.17</v>
      </c>
      <c r="D84" s="50">
        <f>VLOOKUP($A84,'Data shares'!$C:$FM,114)</f>
        <v>37.58</v>
      </c>
      <c r="E84" s="50">
        <f>VLOOKUP($A84,'Data shares'!$C:$FM,106)</f>
        <v>39.42</v>
      </c>
      <c r="F84" s="50">
        <f>VLOOKUP($A84,'Data shares'!$C:$FM,108)</f>
        <v>-6.29</v>
      </c>
      <c r="G84" s="50">
        <f t="shared" si="2"/>
        <v>0.84043632673769664</v>
      </c>
    </row>
    <row r="85" spans="1:7" x14ac:dyDescent="0.25">
      <c r="A85" s="49" t="str">
        <f>'Data Vlaue (Cr)'!C80</f>
        <v>HDFCBANK</v>
      </c>
      <c r="B85" s="50">
        <f>VLOOKUP($A85,'Data shares'!$C:$FM,102)</f>
        <v>34.020000000000003</v>
      </c>
      <c r="C85" s="50">
        <f>VLOOKUP($A85,'Data shares'!$C:$FM,110)</f>
        <v>34.22</v>
      </c>
      <c r="D85" s="50">
        <f>VLOOKUP($A85,'Data shares'!$C:$FM,114)</f>
        <v>33.64</v>
      </c>
      <c r="E85" s="50">
        <f>VLOOKUP($A85,'Data shares'!$C:$FM,106)</f>
        <v>25.35</v>
      </c>
      <c r="F85" s="50">
        <f>VLOOKUP($A85,'Data shares'!$C:$FM,108)</f>
        <v>8.67</v>
      </c>
      <c r="G85" s="50">
        <f t="shared" si="2"/>
        <v>1.3420118343195266</v>
      </c>
    </row>
    <row r="86" spans="1:7" x14ac:dyDescent="0.25">
      <c r="A86" s="49" t="str">
        <f>'Data Vlaue (Cr)'!C81</f>
        <v>HDFCLIFE</v>
      </c>
      <c r="B86" s="50">
        <f>VLOOKUP($A86,'Data shares'!$C:$FM,102)</f>
        <v>27.44</v>
      </c>
      <c r="C86" s="50">
        <f>VLOOKUP($A86,'Data shares'!$C:$FM,110)</f>
        <v>27.56</v>
      </c>
      <c r="D86" s="50">
        <f>VLOOKUP($A86,'Data shares'!$C:$FM,114)</f>
        <v>27.27</v>
      </c>
      <c r="E86" s="50">
        <f>VLOOKUP($A86,'Data shares'!$C:$FM,106)</f>
        <v>27.78</v>
      </c>
      <c r="F86" s="50">
        <f>VLOOKUP($A86,'Data shares'!$C:$FM,108)</f>
        <v>-0.34</v>
      </c>
      <c r="G86" s="50">
        <f t="shared" si="2"/>
        <v>0.98776097912167027</v>
      </c>
    </row>
    <row r="87" spans="1:7" x14ac:dyDescent="0.25">
      <c r="A87" s="49" t="str">
        <f>'Data Vlaue (Cr)'!C82</f>
        <v>HEROMOTOCO</v>
      </c>
      <c r="B87" s="50">
        <f>VLOOKUP($A87,'Data shares'!$C:$FM,102)</f>
        <v>31.96</v>
      </c>
      <c r="C87" s="50">
        <f>VLOOKUP($A87,'Data shares'!$C:$FM,110)</f>
        <v>31.35</v>
      </c>
      <c r="D87" s="50">
        <f>VLOOKUP($A87,'Data shares'!$C:$FM,114)</f>
        <v>33.53</v>
      </c>
      <c r="E87" s="50">
        <f>VLOOKUP($A87,'Data shares'!$C:$FM,106)</f>
        <v>33.6</v>
      </c>
      <c r="F87" s="50">
        <f>VLOOKUP($A87,'Data shares'!$C:$FM,108)</f>
        <v>-1.64</v>
      </c>
      <c r="G87" s="50">
        <f t="shared" si="2"/>
        <v>0.95119047619047614</v>
      </c>
    </row>
    <row r="88" spans="1:7" x14ac:dyDescent="0.25">
      <c r="A88" s="49" t="str">
        <f>'Data Vlaue (Cr)'!C83</f>
        <v>HINDALCO</v>
      </c>
      <c r="B88" s="50">
        <f>VLOOKUP($A88,'Data shares'!$C:$FM,102)</f>
        <v>33.67</v>
      </c>
      <c r="C88" s="50">
        <f>VLOOKUP($A88,'Data shares'!$C:$FM,110)</f>
        <v>32.450000000000003</v>
      </c>
      <c r="D88" s="50">
        <f>VLOOKUP($A88,'Data shares'!$C:$FM,114)</f>
        <v>35.229999999999997</v>
      </c>
      <c r="E88" s="50">
        <f>VLOOKUP($A88,'Data shares'!$C:$FM,106)</f>
        <v>36.58</v>
      </c>
      <c r="F88" s="50">
        <f>VLOOKUP($A88,'Data shares'!$C:$FM,108)</f>
        <v>-2.91</v>
      </c>
      <c r="G88" s="50">
        <f t="shared" si="2"/>
        <v>0.92044833242208868</v>
      </c>
    </row>
    <row r="89" spans="1:7" x14ac:dyDescent="0.25">
      <c r="A89" s="49" t="str">
        <f>'Data Vlaue (Cr)'!C84</f>
        <v>HINDPETRO</v>
      </c>
      <c r="B89" s="50">
        <f>VLOOKUP($A89,'Data shares'!$C:$FM,102)</f>
        <v>42.16</v>
      </c>
      <c r="C89" s="50">
        <f>VLOOKUP($A89,'Data shares'!$C:$FM,110)</f>
        <v>39.82</v>
      </c>
      <c r="D89" s="50">
        <f>VLOOKUP($A89,'Data shares'!$C:$FM,114)</f>
        <v>45.13</v>
      </c>
      <c r="E89" s="50">
        <f>VLOOKUP($A89,'Data shares'!$C:$FM,106)</f>
        <v>44.29</v>
      </c>
      <c r="F89" s="50">
        <f>VLOOKUP($A89,'Data shares'!$C:$FM,108)</f>
        <v>-2.13</v>
      </c>
      <c r="G89" s="50">
        <f t="shared" si="2"/>
        <v>0.95190787988259196</v>
      </c>
    </row>
    <row r="90" spans="1:7" x14ac:dyDescent="0.25">
      <c r="A90" s="49" t="str">
        <f>'Data Vlaue (Cr)'!C85</f>
        <v>HINDUNILVR</v>
      </c>
      <c r="B90" s="50">
        <f>VLOOKUP($A90,'Data shares'!$C:$FM,102)</f>
        <v>23.32</v>
      </c>
      <c r="C90" s="50">
        <f>VLOOKUP($A90,'Data shares'!$C:$FM,110)</f>
        <v>22.79</v>
      </c>
      <c r="D90" s="50">
        <f>VLOOKUP($A90,'Data shares'!$C:$FM,114)</f>
        <v>24.59</v>
      </c>
      <c r="E90" s="50">
        <f>VLOOKUP($A90,'Data shares'!$C:$FM,106)</f>
        <v>23.93</v>
      </c>
      <c r="F90" s="50">
        <f>VLOOKUP($A90,'Data shares'!$C:$FM,108)</f>
        <v>-0.61</v>
      </c>
      <c r="G90" s="50">
        <f t="shared" si="2"/>
        <v>0.97450898453823653</v>
      </c>
    </row>
    <row r="91" spans="1:7" x14ac:dyDescent="0.25">
      <c r="A91" s="49" t="str">
        <f>'Data Vlaue (Cr)'!C86</f>
        <v>HINDZINC</v>
      </c>
      <c r="B91" s="50">
        <f>VLOOKUP($A91,'Data shares'!$C:$FM,102)</f>
        <v>43.38</v>
      </c>
      <c r="C91" s="50">
        <f>VLOOKUP($A91,'Data shares'!$C:$FM,110)</f>
        <v>42.34</v>
      </c>
      <c r="D91" s="50">
        <f>VLOOKUP($A91,'Data shares'!$C:$FM,114)</f>
        <v>45.13</v>
      </c>
      <c r="E91" s="50">
        <f>VLOOKUP($A91,'Data shares'!$C:$FM,106)</f>
        <v>50.55</v>
      </c>
      <c r="F91" s="50">
        <f>VLOOKUP($A91,'Data shares'!$C:$FM,108)</f>
        <v>-7.17</v>
      </c>
      <c r="G91" s="50">
        <f t="shared" si="2"/>
        <v>0.85816023738872416</v>
      </c>
    </row>
    <row r="92" spans="1:7" x14ac:dyDescent="0.25">
      <c r="A92" s="49" t="str">
        <f>'Data Vlaue (Cr)'!C87</f>
        <v>HUDCO</v>
      </c>
      <c r="B92" s="50">
        <f>VLOOKUP($A92,'Data shares'!$C:$FM,102)</f>
        <v>36.89</v>
      </c>
      <c r="C92" s="50">
        <f>VLOOKUP($A92,'Data shares'!$C:$FM,110)</f>
        <v>35.39</v>
      </c>
      <c r="D92" s="50">
        <f>VLOOKUP($A92,'Data shares'!$C:$FM,114)</f>
        <v>39.520000000000003</v>
      </c>
      <c r="E92" s="50">
        <f>VLOOKUP($A92,'Data shares'!$C:$FM,106)</f>
        <v>50.34</v>
      </c>
      <c r="F92" s="50">
        <f>VLOOKUP($A92,'Data shares'!$C:$FM,108)</f>
        <v>-13.45</v>
      </c>
      <c r="G92" s="50">
        <f t="shared" si="2"/>
        <v>0.73281684545093362</v>
      </c>
    </row>
    <row r="93" spans="1:7" x14ac:dyDescent="0.25">
      <c r="A93" s="49" t="str">
        <f>'Data Vlaue (Cr)'!C88</f>
        <v>HYUNDAI</v>
      </c>
      <c r="B93" s="50">
        <f>VLOOKUP($A93,'Data shares'!$C:$FM,102)</f>
        <v>40.36</v>
      </c>
      <c r="C93" s="50">
        <f>VLOOKUP($A93,'Data shares'!$C:$FM,110)</f>
        <v>40.340000000000003</v>
      </c>
      <c r="D93" s="50">
        <f>VLOOKUP($A93,'Data shares'!$C:$FM,114)</f>
        <v>40.479999999999997</v>
      </c>
      <c r="E93" s="50">
        <f>VLOOKUP($A93,'Data shares'!$C:$FM,106)</f>
        <v>33.67</v>
      </c>
      <c r="F93" s="50">
        <f>VLOOKUP($A93,'Data shares'!$C:$FM,108)</f>
        <v>6.69</v>
      </c>
      <c r="G93" s="50">
        <f t="shared" si="2"/>
        <v>1.1986931986931986</v>
      </c>
    </row>
    <row r="94" spans="1:7" x14ac:dyDescent="0.25">
      <c r="A94" s="49" t="str">
        <f>'Data Vlaue (Cr)'!C89</f>
        <v>ICICIBANK</v>
      </c>
      <c r="B94" s="50">
        <f>VLOOKUP($A94,'Data shares'!$C:$FM,102)</f>
        <v>28.99</v>
      </c>
      <c r="C94" s="50">
        <f>VLOOKUP($A94,'Data shares'!$C:$FM,110)</f>
        <v>28.26</v>
      </c>
      <c r="D94" s="50">
        <f>VLOOKUP($A94,'Data shares'!$C:$FM,114)</f>
        <v>30.06</v>
      </c>
      <c r="E94" s="50">
        <f>VLOOKUP($A94,'Data shares'!$C:$FM,106)</f>
        <v>23.88</v>
      </c>
      <c r="F94" s="50">
        <f>VLOOKUP($A94,'Data shares'!$C:$FM,108)</f>
        <v>5.1100000000000003</v>
      </c>
      <c r="G94" s="50">
        <f t="shared" si="2"/>
        <v>1.2139865996649917</v>
      </c>
    </row>
    <row r="95" spans="1:7" x14ac:dyDescent="0.25">
      <c r="A95" s="49" t="str">
        <f>'Data Vlaue (Cr)'!C90</f>
        <v>ICICIGI</v>
      </c>
      <c r="B95" s="50">
        <f>VLOOKUP($A95,'Data shares'!$C:$FM,102)</f>
        <v>24.67</v>
      </c>
      <c r="C95" s="50">
        <f>VLOOKUP($A95,'Data shares'!$C:$FM,110)</f>
        <v>24.16</v>
      </c>
      <c r="D95" s="50">
        <f>VLOOKUP($A95,'Data shares'!$C:$FM,114)</f>
        <v>25.44</v>
      </c>
      <c r="E95" s="50">
        <f>VLOOKUP($A95,'Data shares'!$C:$FM,106)</f>
        <v>27.17</v>
      </c>
      <c r="F95" s="50">
        <f>VLOOKUP($A95,'Data shares'!$C:$FM,108)</f>
        <v>-2.5</v>
      </c>
      <c r="G95" s="50">
        <f t="shared" si="2"/>
        <v>0.90798675009201324</v>
      </c>
    </row>
    <row r="96" spans="1:7" x14ac:dyDescent="0.25">
      <c r="A96" s="49" t="str">
        <f>'Data Vlaue (Cr)'!C91</f>
        <v>ICICIPRULI</v>
      </c>
      <c r="B96" s="50">
        <f>VLOOKUP($A96,'Data shares'!$C:$FM,102)</f>
        <v>30.07</v>
      </c>
      <c r="C96" s="50">
        <f>VLOOKUP($A96,'Data shares'!$C:$FM,110)</f>
        <v>30.33</v>
      </c>
      <c r="D96" s="50">
        <f>VLOOKUP($A96,'Data shares'!$C:$FM,114)</f>
        <v>29.62</v>
      </c>
      <c r="E96" s="50">
        <f>VLOOKUP($A96,'Data shares'!$C:$FM,106)</f>
        <v>28.9</v>
      </c>
      <c r="F96" s="50">
        <f>VLOOKUP($A96,'Data shares'!$C:$FM,108)</f>
        <v>1.17</v>
      </c>
      <c r="G96" s="50">
        <f t="shared" si="2"/>
        <v>1.040484429065744</v>
      </c>
    </row>
    <row r="97" spans="1:7" x14ac:dyDescent="0.25">
      <c r="A97" s="49" t="str">
        <f>'Data Vlaue (Cr)'!C92</f>
        <v>IDEA</v>
      </c>
      <c r="B97" s="50">
        <f>VLOOKUP($A97,'Data shares'!$C:$FM,102)</f>
        <v>51.61</v>
      </c>
      <c r="C97" s="50">
        <f>VLOOKUP($A97,'Data shares'!$C:$FM,110)</f>
        <v>53.08</v>
      </c>
      <c r="D97" s="50">
        <f>VLOOKUP($A97,'Data shares'!$C:$FM,114)</f>
        <v>47.79</v>
      </c>
      <c r="E97" s="50">
        <f>VLOOKUP($A97,'Data shares'!$C:$FM,106)</f>
        <v>64.650000000000006</v>
      </c>
      <c r="F97" s="50">
        <f>VLOOKUP($A97,'Data shares'!$C:$FM,108)</f>
        <v>-13.04</v>
      </c>
      <c r="G97" s="50">
        <f t="shared" si="2"/>
        <v>0.79829853054911049</v>
      </c>
    </row>
    <row r="98" spans="1:7" x14ac:dyDescent="0.25">
      <c r="A98" s="49" t="str">
        <f>'Data Vlaue (Cr)'!C93</f>
        <v>IDFCFIRSTB</v>
      </c>
      <c r="B98" s="50">
        <f>VLOOKUP($A98,'Data shares'!$C:$FM,102)</f>
        <v>42.45</v>
      </c>
      <c r="C98" s="50">
        <f>VLOOKUP($A98,'Data shares'!$C:$FM,110)</f>
        <v>39.07</v>
      </c>
      <c r="D98" s="50">
        <f>VLOOKUP($A98,'Data shares'!$C:$FM,114)</f>
        <v>46.29</v>
      </c>
      <c r="E98" s="50">
        <f>VLOOKUP($A98,'Data shares'!$C:$FM,106)</f>
        <v>41.58</v>
      </c>
      <c r="F98" s="50">
        <f>VLOOKUP($A98,'Data shares'!$C:$FM,108)</f>
        <v>0.87</v>
      </c>
      <c r="G98" s="50">
        <f t="shared" si="2"/>
        <v>1.020923520923521</v>
      </c>
    </row>
    <row r="99" spans="1:7" x14ac:dyDescent="0.25">
      <c r="A99" s="49" t="str">
        <f>'Data Vlaue (Cr)'!C94</f>
        <v>IEX</v>
      </c>
      <c r="B99" s="50">
        <f>VLOOKUP($A99,'Data shares'!$C:$FM,102)</f>
        <v>34.590000000000003</v>
      </c>
      <c r="C99" s="50">
        <f>VLOOKUP($A99,'Data shares'!$C:$FM,110)</f>
        <v>33.21</v>
      </c>
      <c r="D99" s="50">
        <f>VLOOKUP($A99,'Data shares'!$C:$FM,114)</f>
        <v>37.75</v>
      </c>
      <c r="E99" s="50">
        <f>VLOOKUP($A99,'Data shares'!$C:$FM,106)</f>
        <v>51.64</v>
      </c>
      <c r="F99" s="50">
        <f>VLOOKUP($A99,'Data shares'!$C:$FM,108)</f>
        <v>-17.05</v>
      </c>
      <c r="G99" s="50">
        <f t="shared" si="2"/>
        <v>0.66982958946553062</v>
      </c>
    </row>
    <row r="100" spans="1:7" x14ac:dyDescent="0.25">
      <c r="A100" s="49" t="str">
        <f>'Data Vlaue (Cr)'!C95</f>
        <v>INDHOTEL</v>
      </c>
      <c r="B100" s="50">
        <f>VLOOKUP($A100,'Data shares'!$C:$FM,102)</f>
        <v>30.1</v>
      </c>
      <c r="C100" s="50">
        <f>VLOOKUP($A100,'Data shares'!$C:$FM,110)</f>
        <v>28.25</v>
      </c>
      <c r="D100" s="50">
        <f>VLOOKUP($A100,'Data shares'!$C:$FM,114)</f>
        <v>32.840000000000003</v>
      </c>
      <c r="E100" s="50">
        <f>VLOOKUP($A100,'Data shares'!$C:$FM,106)</f>
        <v>35.18</v>
      </c>
      <c r="F100" s="50">
        <f>VLOOKUP($A100,'Data shares'!$C:$FM,108)</f>
        <v>-5.08</v>
      </c>
      <c r="G100" s="50">
        <f t="shared" si="2"/>
        <v>0.85559977259806708</v>
      </c>
    </row>
    <row r="101" spans="1:7" x14ac:dyDescent="0.25">
      <c r="A101" s="49" t="str">
        <f>'Data Vlaue (Cr)'!C96</f>
        <v>INDIANB</v>
      </c>
      <c r="B101" s="50">
        <f>VLOOKUP($A101,'Data shares'!$C:$FM,102)</f>
        <v>38.6</v>
      </c>
      <c r="C101" s="50">
        <f>VLOOKUP($A101,'Data shares'!$C:$FM,110)</f>
        <v>38.57</v>
      </c>
      <c r="D101" s="50">
        <f>VLOOKUP($A101,'Data shares'!$C:$FM,114)</f>
        <v>38.68</v>
      </c>
      <c r="E101" s="50">
        <f>VLOOKUP($A101,'Data shares'!$C:$FM,106)</f>
        <v>41.8</v>
      </c>
      <c r="F101" s="50">
        <f>VLOOKUP($A101,'Data shares'!$C:$FM,108)</f>
        <v>-3.2</v>
      </c>
      <c r="G101" s="50">
        <f t="shared" si="2"/>
        <v>0.92344497607655507</v>
      </c>
    </row>
    <row r="102" spans="1:7" x14ac:dyDescent="0.25">
      <c r="A102" s="49" t="str">
        <f>'Data Vlaue (Cr)'!C97</f>
        <v>INDIAVIX</v>
      </c>
      <c r="B102" s="50">
        <f>VLOOKUP($A102,'Data shares'!$C:$FM,102)</f>
        <v>0</v>
      </c>
      <c r="C102" s="50">
        <f>VLOOKUP($A102,'Data shares'!$C:$FM,110)</f>
        <v>0</v>
      </c>
      <c r="D102" s="50">
        <f>VLOOKUP($A102,'Data shares'!$C:$FM,114)</f>
        <v>0</v>
      </c>
      <c r="E102" s="50">
        <f>VLOOKUP($A102,'Data shares'!$C:$FM,106)</f>
        <v>0</v>
      </c>
      <c r="F102" s="50">
        <f>VLOOKUP($A102,'Data shares'!$C:$FM,108)</f>
        <v>0</v>
      </c>
      <c r="G102" s="50" t="e">
        <f t="shared" si="2"/>
        <v>#DIV/0!</v>
      </c>
    </row>
    <row r="103" spans="1:7" x14ac:dyDescent="0.25">
      <c r="A103" s="49" t="str">
        <f>'Data Vlaue (Cr)'!C98</f>
        <v>INDIGO</v>
      </c>
      <c r="B103" s="50">
        <f>VLOOKUP($A103,'Data shares'!$C:$FM,102)</f>
        <v>38.86</v>
      </c>
      <c r="C103" s="50">
        <f>VLOOKUP($A103,'Data shares'!$C:$FM,110)</f>
        <v>34.979999999999997</v>
      </c>
      <c r="D103" s="50">
        <f>VLOOKUP($A103,'Data shares'!$C:$FM,114)</f>
        <v>43.22</v>
      </c>
      <c r="E103" s="50">
        <f>VLOOKUP($A103,'Data shares'!$C:$FM,106)</f>
        <v>40.24</v>
      </c>
      <c r="F103" s="50">
        <f>VLOOKUP($A103,'Data shares'!$C:$FM,108)</f>
        <v>-1.38</v>
      </c>
      <c r="G103" s="50">
        <f t="shared" ref="G103:G134" si="3">B103/E103</f>
        <v>0.96570576540755459</v>
      </c>
    </row>
    <row r="104" spans="1:7" x14ac:dyDescent="0.25">
      <c r="A104" s="49" t="str">
        <f>'Data Vlaue (Cr)'!C99</f>
        <v>INDUSINDBK</v>
      </c>
      <c r="B104" s="50">
        <f>VLOOKUP($A104,'Data shares'!$C:$FM,102)</f>
        <v>39.17</v>
      </c>
      <c r="C104" s="50">
        <f>VLOOKUP($A104,'Data shares'!$C:$FM,110)</f>
        <v>37.69</v>
      </c>
      <c r="D104" s="50">
        <f>VLOOKUP($A104,'Data shares'!$C:$FM,114)</f>
        <v>41.73</v>
      </c>
      <c r="E104" s="50">
        <f>VLOOKUP($A104,'Data shares'!$C:$FM,106)</f>
        <v>43.37</v>
      </c>
      <c r="F104" s="50">
        <f>VLOOKUP($A104,'Data shares'!$C:$FM,108)</f>
        <v>-4.2</v>
      </c>
      <c r="G104" s="50">
        <f t="shared" si="3"/>
        <v>0.90315886557528258</v>
      </c>
    </row>
    <row r="105" spans="1:7" x14ac:dyDescent="0.25">
      <c r="A105" s="49" t="str">
        <f>'Data Vlaue (Cr)'!C100</f>
        <v>INDUSTOWER</v>
      </c>
      <c r="B105" s="50">
        <f>VLOOKUP($A105,'Data shares'!$C:$FM,102)</f>
        <v>31.37</v>
      </c>
      <c r="C105" s="50">
        <f>VLOOKUP($A105,'Data shares'!$C:$FM,110)</f>
        <v>31.12</v>
      </c>
      <c r="D105" s="50">
        <f>VLOOKUP($A105,'Data shares'!$C:$FM,114)</f>
        <v>31.85</v>
      </c>
      <c r="E105" s="50">
        <f>VLOOKUP($A105,'Data shares'!$C:$FM,106)</f>
        <v>37.75</v>
      </c>
      <c r="F105" s="50">
        <f>VLOOKUP($A105,'Data shares'!$C:$FM,108)</f>
        <v>-6.38</v>
      </c>
      <c r="G105" s="50">
        <f t="shared" si="3"/>
        <v>0.83099337748344371</v>
      </c>
    </row>
    <row r="106" spans="1:7" x14ac:dyDescent="0.25">
      <c r="A106" s="49" t="str">
        <f>'Data Vlaue (Cr)'!C101</f>
        <v>INFY</v>
      </c>
      <c r="B106" s="50">
        <f>VLOOKUP($A106,'Data shares'!$C:$FM,102)</f>
        <v>34.840000000000003</v>
      </c>
      <c r="C106" s="50">
        <f>VLOOKUP($A106,'Data shares'!$C:$FM,110)</f>
        <v>33.47</v>
      </c>
      <c r="D106" s="50">
        <f>VLOOKUP($A106,'Data shares'!$C:$FM,114)</f>
        <v>36.72</v>
      </c>
      <c r="E106" s="50">
        <f>VLOOKUP($A106,'Data shares'!$C:$FM,106)</f>
        <v>30.95</v>
      </c>
      <c r="F106" s="50">
        <f>VLOOKUP($A106,'Data shares'!$C:$FM,108)</f>
        <v>3.89</v>
      </c>
      <c r="G106" s="50">
        <f t="shared" si="3"/>
        <v>1.1256865912762521</v>
      </c>
    </row>
    <row r="107" spans="1:7" x14ac:dyDescent="0.25">
      <c r="A107" s="49" t="str">
        <f>'Data Vlaue (Cr)'!C102</f>
        <v>INOXWIND</v>
      </c>
      <c r="B107" s="50">
        <f>VLOOKUP($A107,'Data shares'!$C:$FM,102)</f>
        <v>52.46</v>
      </c>
      <c r="C107" s="50">
        <f>VLOOKUP($A107,'Data shares'!$C:$FM,110)</f>
        <v>51.26</v>
      </c>
      <c r="D107" s="50">
        <f>VLOOKUP($A107,'Data shares'!$C:$FM,114)</f>
        <v>55.88</v>
      </c>
      <c r="E107" s="50">
        <f>VLOOKUP($A107,'Data shares'!$C:$FM,106)</f>
        <v>54.19</v>
      </c>
      <c r="F107" s="50">
        <f>VLOOKUP($A107,'Data shares'!$C:$FM,108)</f>
        <v>-1.73</v>
      </c>
      <c r="G107" s="50">
        <f t="shared" si="3"/>
        <v>0.96807529064403031</v>
      </c>
    </row>
    <row r="108" spans="1:7" x14ac:dyDescent="0.25">
      <c r="A108" s="49" t="str">
        <f>'Data Vlaue (Cr)'!C103</f>
        <v>IOC</v>
      </c>
      <c r="B108" s="50">
        <f>VLOOKUP($A108,'Data shares'!$C:$FM,102)</f>
        <v>34.14</v>
      </c>
      <c r="C108" s="50">
        <f>VLOOKUP($A108,'Data shares'!$C:$FM,110)</f>
        <v>32.92</v>
      </c>
      <c r="D108" s="50">
        <f>VLOOKUP($A108,'Data shares'!$C:$FM,114)</f>
        <v>36.18</v>
      </c>
      <c r="E108" s="50">
        <f>VLOOKUP($A108,'Data shares'!$C:$FM,106)</f>
        <v>34.11</v>
      </c>
      <c r="F108" s="50">
        <f>VLOOKUP($A108,'Data shares'!$C:$FM,108)</f>
        <v>0.03</v>
      </c>
      <c r="G108" s="50">
        <f t="shared" si="3"/>
        <v>1.0008795074758137</v>
      </c>
    </row>
    <row r="109" spans="1:7" x14ac:dyDescent="0.25">
      <c r="A109" s="49" t="str">
        <f>'Data Vlaue (Cr)'!C104</f>
        <v>IREDA</v>
      </c>
      <c r="B109" s="50">
        <f>VLOOKUP($A109,'Data shares'!$C:$FM,102)</f>
        <v>41.7</v>
      </c>
      <c r="C109" s="50">
        <f>VLOOKUP($A109,'Data shares'!$C:$FM,110)</f>
        <v>40.909999999999997</v>
      </c>
      <c r="D109" s="50">
        <f>VLOOKUP($A109,'Data shares'!$C:$FM,114)</f>
        <v>44.15</v>
      </c>
      <c r="E109" s="50">
        <f>VLOOKUP($A109,'Data shares'!$C:$FM,106)</f>
        <v>48.69</v>
      </c>
      <c r="F109" s="50">
        <f>VLOOKUP($A109,'Data shares'!$C:$FM,108)</f>
        <v>-6.99</v>
      </c>
      <c r="G109" s="50">
        <f t="shared" si="3"/>
        <v>0.85643869377695636</v>
      </c>
    </row>
    <row r="110" spans="1:7" x14ac:dyDescent="0.25">
      <c r="A110" s="49" t="str">
        <f>'Data Vlaue (Cr)'!C105</f>
        <v>IRFC</v>
      </c>
      <c r="B110" s="50">
        <f>VLOOKUP($A110,'Data shares'!$C:$FM,102)</f>
        <v>38.06</v>
      </c>
      <c r="C110" s="50">
        <f>VLOOKUP($A110,'Data shares'!$C:$FM,110)</f>
        <v>37.24</v>
      </c>
      <c r="D110" s="50">
        <f>VLOOKUP($A110,'Data shares'!$C:$FM,114)</f>
        <v>40.17</v>
      </c>
      <c r="E110" s="50">
        <f>VLOOKUP($A110,'Data shares'!$C:$FM,106)</f>
        <v>45.78</v>
      </c>
      <c r="F110" s="50">
        <f>VLOOKUP($A110,'Data shares'!$C:$FM,108)</f>
        <v>-7.72</v>
      </c>
      <c r="G110" s="50">
        <f t="shared" si="3"/>
        <v>0.83136740934906073</v>
      </c>
    </row>
    <row r="111" spans="1:7" x14ac:dyDescent="0.25">
      <c r="A111" s="49" t="str">
        <f>'Data Vlaue (Cr)'!C106</f>
        <v>ITC</v>
      </c>
      <c r="B111" s="50">
        <f>VLOOKUP($A111,'Data shares'!$C:$FM,102)</f>
        <v>20.91</v>
      </c>
      <c r="C111" s="50">
        <f>VLOOKUP($A111,'Data shares'!$C:$FM,110)</f>
        <v>20.54</v>
      </c>
      <c r="D111" s="50">
        <f>VLOOKUP($A111,'Data shares'!$C:$FM,114)</f>
        <v>21.78</v>
      </c>
      <c r="E111" s="50">
        <f>VLOOKUP($A111,'Data shares'!$C:$FM,106)</f>
        <v>24.47</v>
      </c>
      <c r="F111" s="50">
        <f>VLOOKUP($A111,'Data shares'!$C:$FM,108)</f>
        <v>-3.56</v>
      </c>
      <c r="G111" s="50">
        <f t="shared" si="3"/>
        <v>0.85451573355128729</v>
      </c>
    </row>
    <row r="112" spans="1:7" x14ac:dyDescent="0.25">
      <c r="A112" s="49" t="str">
        <f>'Data Vlaue (Cr)'!C107</f>
        <v>JINDALSTEL</v>
      </c>
      <c r="B112" s="50">
        <f>VLOOKUP($A112,'Data shares'!$C:$FM,102)</f>
        <v>31.22</v>
      </c>
      <c r="C112" s="50">
        <f>VLOOKUP($A112,'Data shares'!$C:$FM,110)</f>
        <v>29.88</v>
      </c>
      <c r="D112" s="50">
        <f>VLOOKUP($A112,'Data shares'!$C:$FM,114)</f>
        <v>33.42</v>
      </c>
      <c r="E112" s="50">
        <f>VLOOKUP($A112,'Data shares'!$C:$FM,106)</f>
        <v>38.07</v>
      </c>
      <c r="F112" s="50">
        <f>VLOOKUP($A112,'Data shares'!$C:$FM,108)</f>
        <v>-6.85</v>
      </c>
      <c r="G112" s="50">
        <f t="shared" si="3"/>
        <v>0.82006829524560021</v>
      </c>
    </row>
    <row r="113" spans="1:7" x14ac:dyDescent="0.25">
      <c r="A113" s="49" t="str">
        <f>'Data Vlaue (Cr)'!C108</f>
        <v>JIOFIN</v>
      </c>
      <c r="B113" s="50">
        <f>VLOOKUP($A113,'Data shares'!$C:$FM,102)</f>
        <v>40.93</v>
      </c>
      <c r="C113" s="50">
        <f>VLOOKUP($A113,'Data shares'!$C:$FM,110)</f>
        <v>41.02</v>
      </c>
      <c r="D113" s="50">
        <f>VLOOKUP($A113,'Data shares'!$C:$FM,114)</f>
        <v>40.65</v>
      </c>
      <c r="E113" s="50">
        <f>VLOOKUP($A113,'Data shares'!$C:$FM,106)</f>
        <v>37.39</v>
      </c>
      <c r="F113" s="50">
        <f>VLOOKUP($A113,'Data shares'!$C:$FM,108)</f>
        <v>3.54</v>
      </c>
      <c r="G113" s="50">
        <f t="shared" si="3"/>
        <v>1.0946777213158598</v>
      </c>
    </row>
    <row r="114" spans="1:7" x14ac:dyDescent="0.25">
      <c r="A114" s="49" t="str">
        <f>'Data Vlaue (Cr)'!C109</f>
        <v>JSWENERGY</v>
      </c>
      <c r="B114" s="50">
        <f>VLOOKUP($A114,'Data shares'!$C:$FM,102)</f>
        <v>33.96</v>
      </c>
      <c r="C114" s="50">
        <f>VLOOKUP($A114,'Data shares'!$C:$FM,110)</f>
        <v>32.840000000000003</v>
      </c>
      <c r="D114" s="50">
        <f>VLOOKUP($A114,'Data shares'!$C:$FM,114)</f>
        <v>36.07</v>
      </c>
      <c r="E114" s="50">
        <f>VLOOKUP($A114,'Data shares'!$C:$FM,106)</f>
        <v>42.9</v>
      </c>
      <c r="F114" s="50">
        <f>VLOOKUP($A114,'Data shares'!$C:$FM,108)</f>
        <v>-8.94</v>
      </c>
      <c r="G114" s="50">
        <f t="shared" si="3"/>
        <v>0.79160839160839169</v>
      </c>
    </row>
    <row r="115" spans="1:7" x14ac:dyDescent="0.25">
      <c r="A115" s="49" t="str">
        <f>'Data Vlaue (Cr)'!C110</f>
        <v>JSWSTEEL</v>
      </c>
      <c r="B115" s="50">
        <f>VLOOKUP($A115,'Data shares'!$C:$FM,102)</f>
        <v>27.63</v>
      </c>
      <c r="C115" s="50">
        <f>VLOOKUP($A115,'Data shares'!$C:$FM,110)</f>
        <v>26.39</v>
      </c>
      <c r="D115" s="50">
        <f>VLOOKUP($A115,'Data shares'!$C:$FM,114)</f>
        <v>30.12</v>
      </c>
      <c r="E115" s="50">
        <f>VLOOKUP($A115,'Data shares'!$C:$FM,106)</f>
        <v>32.08</v>
      </c>
      <c r="F115" s="50">
        <f>VLOOKUP($A115,'Data shares'!$C:$FM,108)</f>
        <v>-4.45</v>
      </c>
      <c r="G115" s="50">
        <f t="shared" si="3"/>
        <v>0.861284289276808</v>
      </c>
    </row>
    <row r="116" spans="1:7" x14ac:dyDescent="0.25">
      <c r="A116" s="49" t="str">
        <f>'Data Vlaue (Cr)'!C111</f>
        <v>JUBLFOOD</v>
      </c>
      <c r="B116" s="50">
        <f>VLOOKUP($A116,'Data shares'!$C:$FM,102)</f>
        <v>34.49</v>
      </c>
      <c r="C116" s="50">
        <f>VLOOKUP($A116,'Data shares'!$C:$FM,110)</f>
        <v>33.81</v>
      </c>
      <c r="D116" s="50">
        <f>VLOOKUP($A116,'Data shares'!$C:$FM,114)</f>
        <v>36.200000000000003</v>
      </c>
      <c r="E116" s="50">
        <f>VLOOKUP($A116,'Data shares'!$C:$FM,106)</f>
        <v>38.11</v>
      </c>
      <c r="F116" s="50">
        <f>VLOOKUP($A116,'Data shares'!$C:$FM,108)</f>
        <v>-3.62</v>
      </c>
      <c r="G116" s="50">
        <f t="shared" si="3"/>
        <v>0.90501180792442937</v>
      </c>
    </row>
    <row r="117" spans="1:7" x14ac:dyDescent="0.25">
      <c r="A117" s="49" t="str">
        <f>'Data Vlaue (Cr)'!C112</f>
        <v>KALYANKJIL</v>
      </c>
      <c r="B117" s="50">
        <f>VLOOKUP($A117,'Data shares'!$C:$FM,102)</f>
        <v>41.1</v>
      </c>
      <c r="C117" s="50">
        <f>VLOOKUP($A117,'Data shares'!$C:$FM,110)</f>
        <v>40.15</v>
      </c>
      <c r="D117" s="50">
        <f>VLOOKUP($A117,'Data shares'!$C:$FM,114)</f>
        <v>42.38</v>
      </c>
      <c r="E117" s="50">
        <f>VLOOKUP($A117,'Data shares'!$C:$FM,106)</f>
        <v>52.46</v>
      </c>
      <c r="F117" s="50">
        <f>VLOOKUP($A117,'Data shares'!$C:$FM,108)</f>
        <v>-11.36</v>
      </c>
      <c r="G117" s="50">
        <f t="shared" si="3"/>
        <v>0.78345406023637054</v>
      </c>
    </row>
    <row r="118" spans="1:7" x14ac:dyDescent="0.25">
      <c r="A118" s="49" t="str">
        <f>'Data Vlaue (Cr)'!C113</f>
        <v>KAYNES</v>
      </c>
      <c r="B118" s="50">
        <f>VLOOKUP($A118,'Data shares'!$C:$FM,102)</f>
        <v>48.16</v>
      </c>
      <c r="C118" s="50">
        <f>VLOOKUP($A118,'Data shares'!$C:$FM,110)</f>
        <v>44.41</v>
      </c>
      <c r="D118" s="50">
        <f>VLOOKUP($A118,'Data shares'!$C:$FM,114)</f>
        <v>53.97</v>
      </c>
      <c r="E118" s="50">
        <f>VLOOKUP($A118,'Data shares'!$C:$FM,106)</f>
        <v>61.15</v>
      </c>
      <c r="F118" s="50">
        <f>VLOOKUP($A118,'Data shares'!$C:$FM,108)</f>
        <v>-12.99</v>
      </c>
      <c r="G118" s="50">
        <f t="shared" si="3"/>
        <v>0.78757154538021257</v>
      </c>
    </row>
    <row r="119" spans="1:7" x14ac:dyDescent="0.25">
      <c r="A119" s="49" t="str">
        <f>'Data Vlaue (Cr)'!C114</f>
        <v>KEI</v>
      </c>
      <c r="B119" s="50">
        <f>VLOOKUP($A119,'Data shares'!$C:$FM,102)</f>
        <v>37.26</v>
      </c>
      <c r="C119" s="50">
        <f>VLOOKUP($A119,'Data shares'!$C:$FM,110)</f>
        <v>36.229999999999997</v>
      </c>
      <c r="D119" s="50">
        <f>VLOOKUP($A119,'Data shares'!$C:$FM,114)</f>
        <v>40.92</v>
      </c>
      <c r="E119" s="50">
        <f>VLOOKUP($A119,'Data shares'!$C:$FM,106)</f>
        <v>46.63</v>
      </c>
      <c r="F119" s="50">
        <f>VLOOKUP($A119,'Data shares'!$C:$FM,108)</f>
        <v>-9.3699999999999992</v>
      </c>
      <c r="G119" s="50">
        <f t="shared" si="3"/>
        <v>0.7990564014582886</v>
      </c>
    </row>
    <row r="120" spans="1:7" x14ac:dyDescent="0.25">
      <c r="A120" s="49" t="str">
        <f>'Data Vlaue (Cr)'!C115</f>
        <v>KFINTECH</v>
      </c>
      <c r="B120" s="50">
        <f>VLOOKUP($A120,'Data shares'!$C:$FM,102)</f>
        <v>38.229999999999997</v>
      </c>
      <c r="C120" s="50">
        <f>VLOOKUP($A120,'Data shares'!$C:$FM,110)</f>
        <v>37.76</v>
      </c>
      <c r="D120" s="50">
        <f>VLOOKUP($A120,'Data shares'!$C:$FM,114)</f>
        <v>40.07</v>
      </c>
      <c r="E120" s="50">
        <f>VLOOKUP($A120,'Data shares'!$C:$FM,106)</f>
        <v>50.35</v>
      </c>
      <c r="F120" s="50">
        <f>VLOOKUP($A120,'Data shares'!$C:$FM,108)</f>
        <v>-12.12</v>
      </c>
      <c r="G120" s="50">
        <f t="shared" si="3"/>
        <v>0.7592850049652432</v>
      </c>
    </row>
    <row r="121" spans="1:7" x14ac:dyDescent="0.25">
      <c r="A121" s="49" t="str">
        <f>'Data Vlaue (Cr)'!C116</f>
        <v>KOTAKBANK</v>
      </c>
      <c r="B121" s="50">
        <f>VLOOKUP($A121,'Data shares'!$C:$FM,102)</f>
        <v>27.3</v>
      </c>
      <c r="C121" s="50">
        <f>VLOOKUP($A121,'Data shares'!$C:$FM,110)</f>
        <v>26.74</v>
      </c>
      <c r="D121" s="50">
        <f>VLOOKUP($A121,'Data shares'!$C:$FM,114)</f>
        <v>28.23</v>
      </c>
      <c r="E121" s="50">
        <f>VLOOKUP($A121,'Data shares'!$C:$FM,106)</f>
        <v>27.35</v>
      </c>
      <c r="F121" s="50">
        <f>VLOOKUP($A121,'Data shares'!$C:$FM,108)</f>
        <v>-0.05</v>
      </c>
      <c r="G121" s="50">
        <f t="shared" si="3"/>
        <v>0.99817184643510048</v>
      </c>
    </row>
    <row r="122" spans="1:7" x14ac:dyDescent="0.25">
      <c r="A122" s="49" t="str">
        <f>'Data Vlaue (Cr)'!C117</f>
        <v>KPITTECH</v>
      </c>
      <c r="B122" s="50">
        <f>VLOOKUP($A122,'Data shares'!$C:$FM,102)</f>
        <v>41.25</v>
      </c>
      <c r="C122" s="50">
        <f>VLOOKUP($A122,'Data shares'!$C:$FM,110)</f>
        <v>39.96</v>
      </c>
      <c r="D122" s="50">
        <f>VLOOKUP($A122,'Data shares'!$C:$FM,114)</f>
        <v>44.36</v>
      </c>
      <c r="E122" s="50">
        <f>VLOOKUP($A122,'Data shares'!$C:$FM,106)</f>
        <v>45.07</v>
      </c>
      <c r="F122" s="50">
        <f>VLOOKUP($A122,'Data shares'!$C:$FM,108)</f>
        <v>-3.82</v>
      </c>
      <c r="G122" s="50">
        <f t="shared" si="3"/>
        <v>0.91524295540270695</v>
      </c>
    </row>
    <row r="123" spans="1:7" x14ac:dyDescent="0.25">
      <c r="A123" s="49" t="str">
        <f>'Data Vlaue (Cr)'!C118</f>
        <v>LAURUSLABS</v>
      </c>
      <c r="B123" s="50">
        <f>VLOOKUP($A123,'Data shares'!$C:$FM,102)</f>
        <v>29.86</v>
      </c>
      <c r="C123" s="50">
        <f>VLOOKUP($A123,'Data shares'!$C:$FM,110)</f>
        <v>28.29</v>
      </c>
      <c r="D123" s="50">
        <f>VLOOKUP($A123,'Data shares'!$C:$FM,114)</f>
        <v>32.700000000000003</v>
      </c>
      <c r="E123" s="50">
        <f>VLOOKUP($A123,'Data shares'!$C:$FM,106)</f>
        <v>39.46</v>
      </c>
      <c r="F123" s="50">
        <f>VLOOKUP($A123,'Data shares'!$C:$FM,108)</f>
        <v>-9.6</v>
      </c>
      <c r="G123" s="50">
        <f t="shared" si="3"/>
        <v>0.75671566142929547</v>
      </c>
    </row>
    <row r="124" spans="1:7" x14ac:dyDescent="0.25">
      <c r="A124" s="49" t="str">
        <f>'Data Vlaue (Cr)'!C119</f>
        <v>LICHSGFIN</v>
      </c>
      <c r="B124" s="50">
        <f>VLOOKUP($A124,'Data shares'!$C:$FM,102)</f>
        <v>27.05</v>
      </c>
      <c r="C124" s="50">
        <f>VLOOKUP($A124,'Data shares'!$C:$FM,110)</f>
        <v>26.28</v>
      </c>
      <c r="D124" s="50">
        <f>VLOOKUP($A124,'Data shares'!$C:$FM,114)</f>
        <v>29.35</v>
      </c>
      <c r="E124" s="50">
        <f>VLOOKUP($A124,'Data shares'!$C:$FM,106)</f>
        <v>33.19</v>
      </c>
      <c r="F124" s="50">
        <f>VLOOKUP($A124,'Data shares'!$C:$FM,108)</f>
        <v>-6.14</v>
      </c>
      <c r="G124" s="50">
        <f t="shared" si="3"/>
        <v>0.81500451943356444</v>
      </c>
    </row>
    <row r="125" spans="1:7" x14ac:dyDescent="0.25">
      <c r="A125" s="49" t="str">
        <f>'Data Vlaue (Cr)'!C120</f>
        <v>LICI</v>
      </c>
      <c r="B125" s="50">
        <f>VLOOKUP($A125,'Data shares'!$C:$FM,102)</f>
        <v>31.73</v>
      </c>
      <c r="C125" s="50">
        <f>VLOOKUP($A125,'Data shares'!$C:$FM,110)</f>
        <v>30.65</v>
      </c>
      <c r="D125" s="50">
        <f>VLOOKUP($A125,'Data shares'!$C:$FM,114)</f>
        <v>34.06</v>
      </c>
      <c r="E125" s="50">
        <f>VLOOKUP($A125,'Data shares'!$C:$FM,106)</f>
        <v>33.31</v>
      </c>
      <c r="F125" s="50">
        <f>VLOOKUP($A125,'Data shares'!$C:$FM,108)</f>
        <v>-1.58</v>
      </c>
      <c r="G125" s="50">
        <f t="shared" si="3"/>
        <v>0.95256679675773037</v>
      </c>
    </row>
    <row r="126" spans="1:7" x14ac:dyDescent="0.25">
      <c r="A126" s="49" t="str">
        <f>'Data Vlaue (Cr)'!C121</f>
        <v>LODHA</v>
      </c>
      <c r="B126" s="50">
        <f>VLOOKUP($A126,'Data shares'!$C:$FM,102)</f>
        <v>43.8</v>
      </c>
      <c r="C126" s="50">
        <f>VLOOKUP($A126,'Data shares'!$C:$FM,110)</f>
        <v>42.01</v>
      </c>
      <c r="D126" s="50">
        <f>VLOOKUP($A126,'Data shares'!$C:$FM,114)</f>
        <v>45.98</v>
      </c>
      <c r="E126" s="50">
        <f>VLOOKUP($A126,'Data shares'!$C:$FM,106)</f>
        <v>47.79</v>
      </c>
      <c r="F126" s="50">
        <f>VLOOKUP($A126,'Data shares'!$C:$FM,108)</f>
        <v>-3.99</v>
      </c>
      <c r="G126" s="50">
        <f t="shared" si="3"/>
        <v>0.91650973006905201</v>
      </c>
    </row>
    <row r="127" spans="1:7" x14ac:dyDescent="0.25">
      <c r="A127" s="49" t="str">
        <f>'Data Vlaue (Cr)'!C122</f>
        <v>LT</v>
      </c>
      <c r="B127" s="50">
        <f>VLOOKUP($A127,'Data shares'!$C:$FM,102)</f>
        <v>29.77</v>
      </c>
      <c r="C127" s="50">
        <f>VLOOKUP($A127,'Data shares'!$C:$FM,110)</f>
        <v>27.83</v>
      </c>
      <c r="D127" s="50">
        <f>VLOOKUP($A127,'Data shares'!$C:$FM,114)</f>
        <v>31.92</v>
      </c>
      <c r="E127" s="50">
        <f>VLOOKUP($A127,'Data shares'!$C:$FM,106)</f>
        <v>34.020000000000003</v>
      </c>
      <c r="F127" s="50">
        <f>VLOOKUP($A127,'Data shares'!$C:$FM,108)</f>
        <v>-4.25</v>
      </c>
      <c r="G127" s="50">
        <f t="shared" si="3"/>
        <v>0.87507348618459724</v>
      </c>
    </row>
    <row r="128" spans="1:7" x14ac:dyDescent="0.25">
      <c r="A128" s="49" t="str">
        <f>'Data Vlaue (Cr)'!C123</f>
        <v>LTF</v>
      </c>
      <c r="B128" s="50">
        <f>VLOOKUP($A128,'Data shares'!$C:$FM,102)</f>
        <v>40.04</v>
      </c>
      <c r="C128" s="50">
        <f>VLOOKUP($A128,'Data shares'!$C:$FM,110)</f>
        <v>37.85</v>
      </c>
      <c r="D128" s="50">
        <f>VLOOKUP($A128,'Data shares'!$C:$FM,114)</f>
        <v>43.65</v>
      </c>
      <c r="E128" s="50">
        <f>VLOOKUP($A128,'Data shares'!$C:$FM,106)</f>
        <v>41.7</v>
      </c>
      <c r="F128" s="50">
        <f>VLOOKUP($A128,'Data shares'!$C:$FM,108)</f>
        <v>-1.66</v>
      </c>
      <c r="G128" s="50">
        <f t="shared" si="3"/>
        <v>0.96019184652278167</v>
      </c>
    </row>
    <row r="129" spans="1:7" x14ac:dyDescent="0.25">
      <c r="A129" s="49" t="str">
        <f>'Data Vlaue (Cr)'!C124</f>
        <v>LTM</v>
      </c>
      <c r="B129" s="50">
        <f>VLOOKUP($A129,'Data shares'!$C:$FM,102)</f>
        <v>35.68</v>
      </c>
      <c r="C129" s="50">
        <f>VLOOKUP($A129,'Data shares'!$C:$FM,110)</f>
        <v>34.159999999999997</v>
      </c>
      <c r="D129" s="50">
        <f>VLOOKUP($A129,'Data shares'!$C:$FM,114)</f>
        <v>38.72</v>
      </c>
      <c r="E129" s="50">
        <f>VLOOKUP($A129,'Data shares'!$C:$FM,106)</f>
        <v>35.89</v>
      </c>
      <c r="F129" s="50">
        <f>VLOOKUP($A129,'Data shares'!$C:$FM,108)</f>
        <v>-0.21</v>
      </c>
      <c r="G129" s="50">
        <f t="shared" si="3"/>
        <v>0.99414878796322093</v>
      </c>
    </row>
    <row r="130" spans="1:7" x14ac:dyDescent="0.25">
      <c r="A130" s="49" t="str">
        <f>'Data Vlaue (Cr)'!C125</f>
        <v>LUPIN</v>
      </c>
      <c r="B130" s="50">
        <f>VLOOKUP($A130,'Data shares'!$C:$FM,102)</f>
        <v>25.07</v>
      </c>
      <c r="C130" s="50">
        <f>VLOOKUP($A130,'Data shares'!$C:$FM,110)</f>
        <v>24.66</v>
      </c>
      <c r="D130" s="50">
        <f>VLOOKUP($A130,'Data shares'!$C:$FM,114)</f>
        <v>25.93</v>
      </c>
      <c r="E130" s="50">
        <f>VLOOKUP($A130,'Data shares'!$C:$FM,106)</f>
        <v>27.92</v>
      </c>
      <c r="F130" s="50">
        <f>VLOOKUP($A130,'Data shares'!$C:$FM,108)</f>
        <v>-2.85</v>
      </c>
      <c r="G130" s="50">
        <f t="shared" si="3"/>
        <v>0.89792263610315182</v>
      </c>
    </row>
    <row r="131" spans="1:7" x14ac:dyDescent="0.25">
      <c r="A131" s="49" t="str">
        <f>'Data Vlaue (Cr)'!C126</f>
        <v>M&amp;M</v>
      </c>
      <c r="B131" s="50">
        <f>VLOOKUP($A131,'Data shares'!$C:$FM,102)</f>
        <v>32.299999999999997</v>
      </c>
      <c r="C131" s="50">
        <f>VLOOKUP($A131,'Data shares'!$C:$FM,110)</f>
        <v>31.76</v>
      </c>
      <c r="D131" s="50">
        <f>VLOOKUP($A131,'Data shares'!$C:$FM,114)</f>
        <v>33.28</v>
      </c>
      <c r="E131" s="50">
        <f>VLOOKUP($A131,'Data shares'!$C:$FM,106)</f>
        <v>35.64</v>
      </c>
      <c r="F131" s="50">
        <f>VLOOKUP($A131,'Data shares'!$C:$FM,108)</f>
        <v>-3.34</v>
      </c>
      <c r="G131" s="50">
        <f t="shared" si="3"/>
        <v>0.90628507295173955</v>
      </c>
    </row>
    <row r="132" spans="1:7" x14ac:dyDescent="0.25">
      <c r="A132" s="49" t="str">
        <f>'Data Vlaue (Cr)'!C127</f>
        <v>MANAPPURAM</v>
      </c>
      <c r="B132" s="50">
        <f>VLOOKUP($A132,'Data shares'!$C:$FM,102)</f>
        <v>34.46</v>
      </c>
      <c r="C132" s="50">
        <f>VLOOKUP($A132,'Data shares'!$C:$FM,110)</f>
        <v>33.31</v>
      </c>
      <c r="D132" s="50">
        <f>VLOOKUP($A132,'Data shares'!$C:$FM,114)</f>
        <v>36.15</v>
      </c>
      <c r="E132" s="50">
        <f>VLOOKUP($A132,'Data shares'!$C:$FM,106)</f>
        <v>42.6</v>
      </c>
      <c r="F132" s="50">
        <f>VLOOKUP($A132,'Data shares'!$C:$FM,108)</f>
        <v>-8.14</v>
      </c>
      <c r="G132" s="50">
        <f t="shared" si="3"/>
        <v>0.80892018779342723</v>
      </c>
    </row>
    <row r="133" spans="1:7" x14ac:dyDescent="0.25">
      <c r="A133" s="49" t="str">
        <f>'Data Vlaue (Cr)'!C128</f>
        <v>MANKIND</v>
      </c>
      <c r="B133" s="50">
        <f>VLOOKUP($A133,'Data shares'!$C:$FM,102)</f>
        <v>28.27</v>
      </c>
      <c r="C133" s="50">
        <f>VLOOKUP($A133,'Data shares'!$C:$FM,110)</f>
        <v>27.62</v>
      </c>
      <c r="D133" s="50">
        <f>VLOOKUP($A133,'Data shares'!$C:$FM,114)</f>
        <v>32.58</v>
      </c>
      <c r="E133" s="50">
        <f>VLOOKUP($A133,'Data shares'!$C:$FM,106)</f>
        <v>33.79</v>
      </c>
      <c r="F133" s="50">
        <f>VLOOKUP($A133,'Data shares'!$C:$FM,108)</f>
        <v>-5.52</v>
      </c>
      <c r="G133" s="50">
        <f t="shared" si="3"/>
        <v>0.83663805859721807</v>
      </c>
    </row>
    <row r="134" spans="1:7" x14ac:dyDescent="0.25">
      <c r="A134" s="49" t="str">
        <f>'Data Vlaue (Cr)'!C129</f>
        <v>MARICO</v>
      </c>
      <c r="B134" s="50">
        <f>VLOOKUP($A134,'Data shares'!$C:$FM,102)</f>
        <v>23.59</v>
      </c>
      <c r="C134" s="50">
        <f>VLOOKUP($A134,'Data shares'!$C:$FM,110)</f>
        <v>23.54</v>
      </c>
      <c r="D134" s="50">
        <f>VLOOKUP($A134,'Data shares'!$C:$FM,114)</f>
        <v>23.78</v>
      </c>
      <c r="E134" s="50">
        <f>VLOOKUP($A134,'Data shares'!$C:$FM,106)</f>
        <v>24.79</v>
      </c>
      <c r="F134" s="50">
        <f>VLOOKUP($A134,'Data shares'!$C:$FM,108)</f>
        <v>-1.2</v>
      </c>
      <c r="G134" s="50">
        <f t="shared" si="3"/>
        <v>0.95159338442920538</v>
      </c>
    </row>
    <row r="135" spans="1:7" x14ac:dyDescent="0.25">
      <c r="A135" s="49" t="str">
        <f>'Data Vlaue (Cr)'!C130</f>
        <v>MARUTI</v>
      </c>
      <c r="B135" s="50">
        <f>VLOOKUP($A135,'Data shares'!$C:$FM,102)</f>
        <v>30.49</v>
      </c>
      <c r="C135" s="50">
        <f>VLOOKUP($A135,'Data shares'!$C:$FM,110)</f>
        <v>29.72</v>
      </c>
      <c r="D135" s="50">
        <f>VLOOKUP($A135,'Data shares'!$C:$FM,114)</f>
        <v>32.340000000000003</v>
      </c>
      <c r="E135" s="50">
        <f>VLOOKUP($A135,'Data shares'!$C:$FM,106)</f>
        <v>28.99</v>
      </c>
      <c r="F135" s="50">
        <f>VLOOKUP($A135,'Data shares'!$C:$FM,108)</f>
        <v>1.5</v>
      </c>
      <c r="G135" s="50">
        <f t="shared" ref="G135:G166" si="4">B135/E135</f>
        <v>1.0517419799931012</v>
      </c>
    </row>
    <row r="136" spans="1:7" x14ac:dyDescent="0.25">
      <c r="A136" s="49" t="str">
        <f>'Data Vlaue (Cr)'!C131</f>
        <v>MAXHEALTH</v>
      </c>
      <c r="B136" s="50">
        <f>VLOOKUP($A136,'Data shares'!$C:$FM,102)</f>
        <v>28.11</v>
      </c>
      <c r="C136" s="50">
        <f>VLOOKUP($A136,'Data shares'!$C:$FM,110)</f>
        <v>27.4</v>
      </c>
      <c r="D136" s="50">
        <f>VLOOKUP($A136,'Data shares'!$C:$FM,114)</f>
        <v>30.16</v>
      </c>
      <c r="E136" s="50">
        <f>VLOOKUP($A136,'Data shares'!$C:$FM,106)</f>
        <v>36.299999999999997</v>
      </c>
      <c r="F136" s="50">
        <f>VLOOKUP($A136,'Data shares'!$C:$FM,108)</f>
        <v>-8.19</v>
      </c>
      <c r="G136" s="50">
        <f t="shared" si="4"/>
        <v>0.77438016528925624</v>
      </c>
    </row>
    <row r="137" spans="1:7" x14ac:dyDescent="0.25">
      <c r="A137" s="49" t="str">
        <f>'Data Vlaue (Cr)'!C132</f>
        <v>MAZDOCK</v>
      </c>
      <c r="B137" s="50">
        <f>VLOOKUP($A137,'Data shares'!$C:$FM,102)</f>
        <v>42.23</v>
      </c>
      <c r="C137" s="50">
        <f>VLOOKUP($A137,'Data shares'!$C:$FM,110)</f>
        <v>40.96</v>
      </c>
      <c r="D137" s="50">
        <f>VLOOKUP($A137,'Data shares'!$C:$FM,114)</f>
        <v>46.25</v>
      </c>
      <c r="E137" s="50">
        <f>VLOOKUP($A137,'Data shares'!$C:$FM,106)</f>
        <v>56.18</v>
      </c>
      <c r="F137" s="50">
        <f>VLOOKUP($A137,'Data shares'!$C:$FM,108)</f>
        <v>-13.95</v>
      </c>
      <c r="G137" s="50">
        <f t="shared" si="4"/>
        <v>0.75169099323602695</v>
      </c>
    </row>
    <row r="138" spans="1:7" x14ac:dyDescent="0.25">
      <c r="A138" s="49" t="str">
        <f>'Data Vlaue (Cr)'!C133</f>
        <v>MCX</v>
      </c>
      <c r="B138" s="50">
        <f>VLOOKUP($A138,'Data shares'!$C:$FM,102)</f>
        <v>43.16</v>
      </c>
      <c r="C138" s="50">
        <f>VLOOKUP($A138,'Data shares'!$C:$FM,110)</f>
        <v>40.950000000000003</v>
      </c>
      <c r="D138" s="50">
        <f>VLOOKUP($A138,'Data shares'!$C:$FM,114)</f>
        <v>46.16</v>
      </c>
      <c r="E138" s="50">
        <f>VLOOKUP($A138,'Data shares'!$C:$FM,106)</f>
        <v>50.01</v>
      </c>
      <c r="F138" s="50">
        <f>VLOOKUP($A138,'Data shares'!$C:$FM,108)</f>
        <v>-6.85</v>
      </c>
      <c r="G138" s="50">
        <f t="shared" si="4"/>
        <v>0.86302739452109578</v>
      </c>
    </row>
    <row r="139" spans="1:7" x14ac:dyDescent="0.25">
      <c r="A139" s="49" t="str">
        <f>'Data Vlaue (Cr)'!C134</f>
        <v>MFSL</v>
      </c>
      <c r="B139" s="50">
        <f>VLOOKUP($A139,'Data shares'!$C:$FM,102)</f>
        <v>30.45</v>
      </c>
      <c r="C139" s="50">
        <f>VLOOKUP($A139,'Data shares'!$C:$FM,110)</f>
        <v>28.76</v>
      </c>
      <c r="D139" s="50">
        <f>VLOOKUP($A139,'Data shares'!$C:$FM,114)</f>
        <v>32.51</v>
      </c>
      <c r="E139" s="50">
        <f>VLOOKUP($A139,'Data shares'!$C:$FM,106)</f>
        <v>31.94</v>
      </c>
      <c r="F139" s="50">
        <f>VLOOKUP($A139,'Data shares'!$C:$FM,108)</f>
        <v>-1.49</v>
      </c>
      <c r="G139" s="50">
        <f t="shared" si="4"/>
        <v>0.95335003130870377</v>
      </c>
    </row>
    <row r="140" spans="1:7" x14ac:dyDescent="0.25">
      <c r="A140" s="49" t="str">
        <f>'Data Vlaue (Cr)'!C135</f>
        <v>MIDCPNIFTY</v>
      </c>
      <c r="B140" s="50">
        <f>VLOOKUP($A140,'Data shares'!$C:$FM,102)</f>
        <v>23.83</v>
      </c>
      <c r="C140" s="50">
        <f>VLOOKUP($A140,'Data shares'!$C:$FM,110)</f>
        <v>20.100000000000001</v>
      </c>
      <c r="D140" s="50">
        <f>VLOOKUP($A140,'Data shares'!$C:$FM,114)</f>
        <v>26.67</v>
      </c>
      <c r="E140" s="50">
        <f>VLOOKUP($A140,'Data shares'!$C:$FM,106)</f>
        <v>25.28</v>
      </c>
      <c r="F140" s="50">
        <f>VLOOKUP($A140,'Data shares'!$C:$FM,108)</f>
        <v>-1.45</v>
      </c>
      <c r="G140" s="50">
        <f t="shared" si="4"/>
        <v>0.942642405063291</v>
      </c>
    </row>
    <row r="141" spans="1:7" x14ac:dyDescent="0.25">
      <c r="A141" s="49" t="str">
        <f>'Data Vlaue (Cr)'!C136</f>
        <v>MOTHERSON</v>
      </c>
      <c r="B141" s="50">
        <f>VLOOKUP($A141,'Data shares'!$C:$FM,102)</f>
        <v>41.3</v>
      </c>
      <c r="C141" s="50">
        <f>VLOOKUP($A141,'Data shares'!$C:$FM,110)</f>
        <v>36.49</v>
      </c>
      <c r="D141" s="50">
        <f>VLOOKUP($A141,'Data shares'!$C:$FM,114)</f>
        <v>46.07</v>
      </c>
      <c r="E141" s="50">
        <f>VLOOKUP($A141,'Data shares'!$C:$FM,106)</f>
        <v>43.28</v>
      </c>
      <c r="F141" s="50">
        <f>VLOOKUP($A141,'Data shares'!$C:$FM,108)</f>
        <v>-1.98</v>
      </c>
      <c r="G141" s="50">
        <f t="shared" si="4"/>
        <v>0.95425138632162654</v>
      </c>
    </row>
    <row r="142" spans="1:7" x14ac:dyDescent="0.25">
      <c r="A142" s="49" t="str">
        <f>'Data Vlaue (Cr)'!C137</f>
        <v>MOTILALOFS</v>
      </c>
      <c r="B142" s="50">
        <f>VLOOKUP($A142,'Data shares'!$C:$FM,102)</f>
        <v>43.84</v>
      </c>
      <c r="C142" s="50">
        <f>VLOOKUP($A142,'Data shares'!$C:$FM,110)</f>
        <v>42.79</v>
      </c>
      <c r="D142" s="50">
        <f>VLOOKUP($A142,'Data shares'!$C:$FM,114)</f>
        <v>48.46</v>
      </c>
      <c r="E142" s="50">
        <f>VLOOKUP($A142,'Data shares'!$C:$FM,106)</f>
        <v>54.82</v>
      </c>
      <c r="F142" s="50">
        <f>VLOOKUP($A142,'Data shares'!$C:$FM,108)</f>
        <v>-10.98</v>
      </c>
      <c r="G142" s="50">
        <f t="shared" si="4"/>
        <v>0.7997081357168917</v>
      </c>
    </row>
    <row r="143" spans="1:7" x14ac:dyDescent="0.25">
      <c r="A143" s="49" t="str">
        <f>'Data Vlaue (Cr)'!C138</f>
        <v>MPHASIS</v>
      </c>
      <c r="B143" s="50">
        <f>VLOOKUP($A143,'Data shares'!$C:$FM,102)</f>
        <v>35.29</v>
      </c>
      <c r="C143" s="50">
        <f>VLOOKUP($A143,'Data shares'!$C:$FM,110)</f>
        <v>33.43</v>
      </c>
      <c r="D143" s="50">
        <f>VLOOKUP($A143,'Data shares'!$C:$FM,114)</f>
        <v>37.729999999999997</v>
      </c>
      <c r="E143" s="50">
        <f>VLOOKUP($A143,'Data shares'!$C:$FM,106)</f>
        <v>36.450000000000003</v>
      </c>
      <c r="F143" s="50">
        <f>VLOOKUP($A143,'Data shares'!$C:$FM,108)</f>
        <v>-1.1599999999999999</v>
      </c>
      <c r="G143" s="50">
        <f t="shared" si="4"/>
        <v>0.96817558299039774</v>
      </c>
    </row>
    <row r="144" spans="1:7" x14ac:dyDescent="0.25">
      <c r="A144" s="49" t="str">
        <f>'Data Vlaue (Cr)'!C139</f>
        <v>MUTHOOTFIN</v>
      </c>
      <c r="B144" s="233">
        <f>VLOOKUP($A144,'Data shares'!$C:$FM,102)</f>
        <v>35.81</v>
      </c>
      <c r="C144" s="233">
        <f>VLOOKUP($A144,'Data shares'!$C:$FM,110)</f>
        <v>34.75</v>
      </c>
      <c r="D144" s="233">
        <f>VLOOKUP($A144,'Data shares'!$C:$FM,114)</f>
        <v>37.869999999999997</v>
      </c>
      <c r="E144" s="233">
        <f>VLOOKUP($A144,'Data shares'!$C:$FM,106)</f>
        <v>44.26</v>
      </c>
      <c r="F144" s="233">
        <f>VLOOKUP($A144,'Data shares'!$C:$FM,108)</f>
        <v>-8.4499999999999993</v>
      </c>
      <c r="G144" s="233">
        <f t="shared" si="4"/>
        <v>0.80908269317668335</v>
      </c>
    </row>
    <row r="145" spans="1:7" x14ac:dyDescent="0.25">
      <c r="A145" s="49" t="str">
        <f>'Data Vlaue (Cr)'!C140</f>
        <v>NAM-INDIA</v>
      </c>
      <c r="B145" s="50">
        <f>VLOOKUP($A145,'Data shares'!$C:$FM,102)</f>
        <v>49.63</v>
      </c>
      <c r="C145" s="50">
        <f>VLOOKUP($A145,'Data shares'!$C:$FM,110)</f>
        <v>47.62</v>
      </c>
      <c r="D145" s="50">
        <f>VLOOKUP($A145,'Data shares'!$C:$FM,114)</f>
        <v>57.45</v>
      </c>
      <c r="E145" s="50">
        <f>VLOOKUP($A145,'Data shares'!$C:$FM,106)</f>
        <v>49.99</v>
      </c>
      <c r="F145" s="50">
        <f>VLOOKUP($A145,'Data shares'!$C:$FM,108)</f>
        <v>-0.36</v>
      </c>
      <c r="G145" s="50">
        <f t="shared" si="4"/>
        <v>0.99279855971194242</v>
      </c>
    </row>
    <row r="146" spans="1:7" x14ac:dyDescent="0.25">
      <c r="A146" s="49" t="str">
        <f>'Data Vlaue (Cr)'!C141</f>
        <v>NATIONALUM</v>
      </c>
      <c r="B146" s="50">
        <f>VLOOKUP($A146,'Data shares'!$C:$FM,102)</f>
        <v>40.85</v>
      </c>
      <c r="C146" s="50">
        <f>VLOOKUP($A146,'Data shares'!$C:$FM,110)</f>
        <v>39.68</v>
      </c>
      <c r="D146" s="50">
        <f>VLOOKUP($A146,'Data shares'!$C:$FM,114)</f>
        <v>43</v>
      </c>
      <c r="E146" s="50">
        <f>VLOOKUP($A146,'Data shares'!$C:$FM,106)</f>
        <v>51.68</v>
      </c>
      <c r="F146" s="50">
        <f>VLOOKUP($A146,'Data shares'!$C:$FM,108)</f>
        <v>-10.83</v>
      </c>
      <c r="G146" s="50">
        <f t="shared" si="4"/>
        <v>0.79044117647058831</v>
      </c>
    </row>
    <row r="147" spans="1:7" x14ac:dyDescent="0.25">
      <c r="A147" s="49" t="str">
        <f>'Data Vlaue (Cr)'!C142</f>
        <v>NAUKRI</v>
      </c>
      <c r="B147" s="50">
        <f>VLOOKUP($A147,'Data shares'!$C:$FM,102)</f>
        <v>30.38</v>
      </c>
      <c r="C147" s="50">
        <f>VLOOKUP($A147,'Data shares'!$C:$FM,110)</f>
        <v>29.16</v>
      </c>
      <c r="D147" s="50">
        <f>VLOOKUP($A147,'Data shares'!$C:$FM,114)</f>
        <v>33.24</v>
      </c>
      <c r="E147" s="50">
        <f>VLOOKUP($A147,'Data shares'!$C:$FM,106)</f>
        <v>36.69</v>
      </c>
      <c r="F147" s="50">
        <f>VLOOKUP($A147,'Data shares'!$C:$FM,108)</f>
        <v>-6.31</v>
      </c>
      <c r="G147" s="50">
        <f t="shared" si="4"/>
        <v>0.8280185336603979</v>
      </c>
    </row>
    <row r="148" spans="1:7" x14ac:dyDescent="0.25">
      <c r="A148" s="49" t="str">
        <f>'Data Vlaue (Cr)'!C143</f>
        <v>NBCC</v>
      </c>
      <c r="B148" s="50">
        <f>VLOOKUP($A148,'Data shares'!$C:$FM,102)</f>
        <v>42.22</v>
      </c>
      <c r="C148" s="50">
        <f>VLOOKUP($A148,'Data shares'!$C:$FM,110)</f>
        <v>39.46</v>
      </c>
      <c r="D148" s="50">
        <f>VLOOKUP($A148,'Data shares'!$C:$FM,114)</f>
        <v>48.77</v>
      </c>
      <c r="E148" s="50">
        <f>VLOOKUP($A148,'Data shares'!$C:$FM,106)</f>
        <v>51.85</v>
      </c>
      <c r="F148" s="50">
        <f>VLOOKUP($A148,'Data shares'!$C:$FM,108)</f>
        <v>-9.6300000000000008</v>
      </c>
      <c r="G148" s="50">
        <f t="shared" si="4"/>
        <v>0.81427193828351008</v>
      </c>
    </row>
    <row r="149" spans="1:7" x14ac:dyDescent="0.25">
      <c r="A149" s="49" t="str">
        <f>'Data Vlaue (Cr)'!C144</f>
        <v>NESTLEIND</v>
      </c>
      <c r="B149" s="50">
        <f>VLOOKUP($A149,'Data shares'!$C:$FM,102)</f>
        <v>28.7</v>
      </c>
      <c r="C149" s="50">
        <f>VLOOKUP($A149,'Data shares'!$C:$FM,110)</f>
        <v>28.27</v>
      </c>
      <c r="D149" s="50">
        <f>VLOOKUP($A149,'Data shares'!$C:$FM,114)</f>
        <v>30.36</v>
      </c>
      <c r="E149" s="50">
        <f>VLOOKUP($A149,'Data shares'!$C:$FM,106)</f>
        <v>23.57</v>
      </c>
      <c r="F149" s="50">
        <f>VLOOKUP($A149,'Data shares'!$C:$FM,108)</f>
        <v>5.13</v>
      </c>
      <c r="G149" s="50">
        <f t="shared" si="4"/>
        <v>1.2176495545184556</v>
      </c>
    </row>
    <row r="150" spans="1:7" x14ac:dyDescent="0.25">
      <c r="A150" s="49" t="str">
        <f>'Data Vlaue (Cr)'!C145</f>
        <v>NHPC</v>
      </c>
      <c r="B150" s="50">
        <f>VLOOKUP($A150,'Data shares'!$C:$FM,102)</f>
        <v>31.46</v>
      </c>
      <c r="C150" s="50">
        <f>VLOOKUP($A150,'Data shares'!$C:$FM,110)</f>
        <v>31.44</v>
      </c>
      <c r="D150" s="50">
        <f>VLOOKUP($A150,'Data shares'!$C:$FM,114)</f>
        <v>31.52</v>
      </c>
      <c r="E150" s="50">
        <f>VLOOKUP($A150,'Data shares'!$C:$FM,106)</f>
        <v>34.950000000000003</v>
      </c>
      <c r="F150" s="50">
        <f>VLOOKUP($A150,'Data shares'!$C:$FM,108)</f>
        <v>-3.49</v>
      </c>
      <c r="G150" s="50">
        <f t="shared" si="4"/>
        <v>0.90014306151645207</v>
      </c>
    </row>
    <row r="151" spans="1:7" x14ac:dyDescent="0.25">
      <c r="A151" s="49" t="str">
        <f>'Data Vlaue (Cr)'!C146</f>
        <v>NIFTY</v>
      </c>
      <c r="B151" s="50">
        <f>VLOOKUP($A151,'Data shares'!$C:$FM,102)</f>
        <v>18.309999999999999</v>
      </c>
      <c r="C151" s="50">
        <f>VLOOKUP($A151,'Data shares'!$C:$FM,110)</f>
        <v>15.94</v>
      </c>
      <c r="D151" s="50">
        <f>VLOOKUP($A151,'Data shares'!$C:$FM,114)</f>
        <v>20.46</v>
      </c>
      <c r="E151" s="50">
        <f>VLOOKUP($A151,'Data shares'!$C:$FM,106)</f>
        <v>17.7</v>
      </c>
      <c r="F151" s="50">
        <f>VLOOKUP($A151,'Data shares'!$C:$FM,108)</f>
        <v>0.61</v>
      </c>
      <c r="G151" s="50">
        <f t="shared" si="4"/>
        <v>1.0344632768361581</v>
      </c>
    </row>
    <row r="152" spans="1:7" x14ac:dyDescent="0.25">
      <c r="A152" s="49" t="str">
        <f>'Data Vlaue (Cr)'!C147</f>
        <v>NIFTYNXT50</v>
      </c>
      <c r="B152" s="50">
        <f>VLOOKUP($A152,'Data shares'!$C:$FM,102)</f>
        <v>19.28</v>
      </c>
      <c r="C152" s="50">
        <f>VLOOKUP($A152,'Data shares'!$C:$FM,110)</f>
        <v>18.98</v>
      </c>
      <c r="D152" s="50">
        <f>VLOOKUP($A152,'Data shares'!$C:$FM,114)</f>
        <v>20.68</v>
      </c>
      <c r="E152" s="50">
        <f>VLOOKUP($A152,'Data shares'!$C:$FM,106)</f>
        <v>23.29</v>
      </c>
      <c r="F152" s="50">
        <f>VLOOKUP($A152,'Data shares'!$C:$FM,108)</f>
        <v>-4.01</v>
      </c>
      <c r="G152" s="50">
        <f t="shared" si="4"/>
        <v>0.82782310004293691</v>
      </c>
    </row>
    <row r="153" spans="1:7" x14ac:dyDescent="0.25">
      <c r="A153" s="49" t="str">
        <f>'Data Vlaue (Cr)'!C148</f>
        <v>NMDC</v>
      </c>
      <c r="B153" s="50">
        <f>VLOOKUP($A153,'Data shares'!$C:$FM,102)</f>
        <v>33.1</v>
      </c>
      <c r="C153" s="50">
        <f>VLOOKUP($A153,'Data shares'!$C:$FM,110)</f>
        <v>32.17</v>
      </c>
      <c r="D153" s="50">
        <f>VLOOKUP($A153,'Data shares'!$C:$FM,114)</f>
        <v>35.799999999999997</v>
      </c>
      <c r="E153" s="50">
        <f>VLOOKUP($A153,'Data shares'!$C:$FM,106)</f>
        <v>39.090000000000003</v>
      </c>
      <c r="F153" s="50">
        <f>VLOOKUP($A153,'Data shares'!$C:$FM,108)</f>
        <v>-5.99</v>
      </c>
      <c r="G153" s="50">
        <f t="shared" si="4"/>
        <v>0.84676387822972621</v>
      </c>
    </row>
    <row r="154" spans="1:7" x14ac:dyDescent="0.25">
      <c r="A154" s="49" t="str">
        <f>'Data Vlaue (Cr)'!C149</f>
        <v>NTPC</v>
      </c>
      <c r="B154" s="50">
        <f>VLOOKUP($A154,'Data shares'!$C:$FM,102)</f>
        <v>19.97</v>
      </c>
      <c r="C154" s="50">
        <f>VLOOKUP($A154,'Data shares'!$C:$FM,110)</f>
        <v>19.21</v>
      </c>
      <c r="D154" s="50">
        <f>VLOOKUP($A154,'Data shares'!$C:$FM,114)</f>
        <v>21.58</v>
      </c>
      <c r="E154" s="50">
        <f>VLOOKUP($A154,'Data shares'!$C:$FM,106)</f>
        <v>27.42</v>
      </c>
      <c r="F154" s="50">
        <f>VLOOKUP($A154,'Data shares'!$C:$FM,108)</f>
        <v>-7.45</v>
      </c>
      <c r="G154" s="50">
        <f t="shared" si="4"/>
        <v>0.72830051057622169</v>
      </c>
    </row>
    <row r="155" spans="1:7" x14ac:dyDescent="0.25">
      <c r="A155" s="49" t="str">
        <f>'Data Vlaue (Cr)'!C150</f>
        <v>NUVAMA</v>
      </c>
      <c r="B155" s="50">
        <f>VLOOKUP($A155,'Data shares'!$C:$FM,102)</f>
        <v>40.909999999999997</v>
      </c>
      <c r="C155" s="50">
        <f>VLOOKUP($A155,'Data shares'!$C:$FM,110)</f>
        <v>38.950000000000003</v>
      </c>
      <c r="D155" s="50">
        <f>VLOOKUP($A155,'Data shares'!$C:$FM,114)</f>
        <v>47.62</v>
      </c>
      <c r="E155" s="50">
        <f>VLOOKUP($A155,'Data shares'!$C:$FM,106)</f>
        <v>51.01</v>
      </c>
      <c r="F155" s="50">
        <f>VLOOKUP($A155,'Data shares'!$C:$FM,108)</f>
        <v>-10.1</v>
      </c>
      <c r="G155" s="50">
        <f t="shared" si="4"/>
        <v>0.80199960792001568</v>
      </c>
    </row>
    <row r="156" spans="1:7" x14ac:dyDescent="0.25">
      <c r="A156" s="49" t="str">
        <f>'Data Vlaue (Cr)'!C151</f>
        <v>NYKAA</v>
      </c>
      <c r="B156" s="50">
        <f>VLOOKUP($A156,'Data shares'!$C:$FM,102)</f>
        <v>29.56</v>
      </c>
      <c r="C156" s="50">
        <f>VLOOKUP($A156,'Data shares'!$C:$FM,110)</f>
        <v>28.27</v>
      </c>
      <c r="D156" s="50">
        <f>VLOOKUP($A156,'Data shares'!$C:$FM,114)</f>
        <v>33.03</v>
      </c>
      <c r="E156" s="50">
        <f>VLOOKUP($A156,'Data shares'!$C:$FM,106)</f>
        <v>36.020000000000003</v>
      </c>
      <c r="F156" s="50">
        <f>VLOOKUP($A156,'Data shares'!$C:$FM,108)</f>
        <v>-6.46</v>
      </c>
      <c r="G156" s="50">
        <f t="shared" si="4"/>
        <v>0.82065519156024425</v>
      </c>
    </row>
    <row r="157" spans="1:7" x14ac:dyDescent="0.25">
      <c r="A157" s="49" t="str">
        <f>'Data Vlaue (Cr)'!C152</f>
        <v>OBEROIRLTY</v>
      </c>
      <c r="B157" s="50">
        <f>VLOOKUP($A157,'Data shares'!$C:$FM,102)</f>
        <v>32.4</v>
      </c>
      <c r="C157" s="50">
        <f>VLOOKUP($A157,'Data shares'!$C:$FM,110)</f>
        <v>30.6</v>
      </c>
      <c r="D157" s="50">
        <f>VLOOKUP($A157,'Data shares'!$C:$FM,114)</f>
        <v>34.58</v>
      </c>
      <c r="E157" s="50">
        <f>VLOOKUP($A157,'Data shares'!$C:$FM,106)</f>
        <v>36.950000000000003</v>
      </c>
      <c r="F157" s="50">
        <f>VLOOKUP($A157,'Data shares'!$C:$FM,108)</f>
        <v>-4.55</v>
      </c>
      <c r="G157" s="50">
        <f t="shared" si="4"/>
        <v>0.8768606224627874</v>
      </c>
    </row>
    <row r="158" spans="1:7" x14ac:dyDescent="0.25">
      <c r="A158" s="49" t="str">
        <f>'Data Vlaue (Cr)'!C153</f>
        <v>OFSS</v>
      </c>
      <c r="B158" s="50">
        <f>VLOOKUP($A158,'Data shares'!$C:$FM,102)</f>
        <v>41.94</v>
      </c>
      <c r="C158" s="50">
        <f>VLOOKUP($A158,'Data shares'!$C:$FM,110)</f>
        <v>37.479999999999997</v>
      </c>
      <c r="D158" s="50">
        <f>VLOOKUP($A158,'Data shares'!$C:$FM,114)</f>
        <v>47.25</v>
      </c>
      <c r="E158" s="50">
        <f>VLOOKUP($A158,'Data shares'!$C:$FM,106)</f>
        <v>40.1</v>
      </c>
      <c r="F158" s="50">
        <f>VLOOKUP($A158,'Data shares'!$C:$FM,108)</f>
        <v>1.84</v>
      </c>
      <c r="G158" s="50">
        <f t="shared" si="4"/>
        <v>1.0458852867830424</v>
      </c>
    </row>
    <row r="159" spans="1:7" x14ac:dyDescent="0.25">
      <c r="A159" s="49" t="str">
        <f>'Data Vlaue (Cr)'!C154</f>
        <v>OIL</v>
      </c>
      <c r="B159" s="50">
        <f>VLOOKUP($A159,'Data shares'!$C:$FM,102)</f>
        <v>31.09</v>
      </c>
      <c r="C159" s="50">
        <f>VLOOKUP($A159,'Data shares'!$C:$FM,110)</f>
        <v>30.89</v>
      </c>
      <c r="D159" s="50">
        <f>VLOOKUP($A159,'Data shares'!$C:$FM,114)</f>
        <v>31.71</v>
      </c>
      <c r="E159" s="50">
        <f>VLOOKUP($A159,'Data shares'!$C:$FM,106)</f>
        <v>41.63</v>
      </c>
      <c r="F159" s="50">
        <f>VLOOKUP($A159,'Data shares'!$C:$FM,108)</f>
        <v>-10.54</v>
      </c>
      <c r="G159" s="50">
        <f t="shared" si="4"/>
        <v>0.74681719913523892</v>
      </c>
    </row>
    <row r="160" spans="1:7" x14ac:dyDescent="0.25">
      <c r="A160" s="49" t="str">
        <f>'Data Vlaue (Cr)'!C155</f>
        <v>ONGC</v>
      </c>
      <c r="B160" s="50">
        <f>VLOOKUP($A160,'Data shares'!$C:$FM,102)</f>
        <v>24.42</v>
      </c>
      <c r="C160" s="50">
        <f>VLOOKUP($A160,'Data shares'!$C:$FM,110)</f>
        <v>23.91</v>
      </c>
      <c r="D160" s="50">
        <f>VLOOKUP($A160,'Data shares'!$C:$FM,114)</f>
        <v>25.58</v>
      </c>
      <c r="E160" s="50">
        <f>VLOOKUP($A160,'Data shares'!$C:$FM,106)</f>
        <v>31.73</v>
      </c>
      <c r="F160" s="50">
        <f>VLOOKUP($A160,'Data shares'!$C:$FM,108)</f>
        <v>-7.31</v>
      </c>
      <c r="G160" s="50">
        <f t="shared" si="4"/>
        <v>0.7696186574219982</v>
      </c>
    </row>
    <row r="161" spans="1:7" x14ac:dyDescent="0.25">
      <c r="A161" s="49" t="str">
        <f>'Data Vlaue (Cr)'!C156</f>
        <v>PAGEIND</v>
      </c>
      <c r="B161" s="50">
        <f>VLOOKUP($A161,'Data shares'!$C:$FM,102)</f>
        <v>29.38</v>
      </c>
      <c r="C161" s="50">
        <f>VLOOKUP($A161,'Data shares'!$C:$FM,110)</f>
        <v>28.18</v>
      </c>
      <c r="D161" s="50">
        <f>VLOOKUP($A161,'Data shares'!$C:$FM,114)</f>
        <v>31.35</v>
      </c>
      <c r="E161" s="50">
        <f>VLOOKUP($A161,'Data shares'!$C:$FM,106)</f>
        <v>28.94</v>
      </c>
      <c r="F161" s="50">
        <f>VLOOKUP($A161,'Data shares'!$C:$FM,108)</f>
        <v>0.44</v>
      </c>
      <c r="G161" s="50">
        <f t="shared" si="4"/>
        <v>1.0152038700760193</v>
      </c>
    </row>
    <row r="162" spans="1:7" x14ac:dyDescent="0.25">
      <c r="A162" s="49" t="str">
        <f>'Data Vlaue (Cr)'!C157</f>
        <v>PATANJALI</v>
      </c>
      <c r="B162" s="50">
        <f>VLOOKUP($A162,'Data shares'!$C:$FM,102)</f>
        <v>30.98</v>
      </c>
      <c r="C162" s="50">
        <f>VLOOKUP($A162,'Data shares'!$C:$FM,110)</f>
        <v>31.02</v>
      </c>
      <c r="D162" s="50">
        <f>VLOOKUP($A162,'Data shares'!$C:$FM,114)</f>
        <v>30.79</v>
      </c>
      <c r="E162" s="50">
        <f>VLOOKUP($A162,'Data shares'!$C:$FM,106)</f>
        <v>32.25</v>
      </c>
      <c r="F162" s="50">
        <f>VLOOKUP($A162,'Data shares'!$C:$FM,108)</f>
        <v>-1.27</v>
      </c>
      <c r="G162" s="50">
        <f t="shared" si="4"/>
        <v>0.96062015503875975</v>
      </c>
    </row>
    <row r="163" spans="1:7" x14ac:dyDescent="0.25">
      <c r="A163" s="49" t="str">
        <f>'Data Vlaue (Cr)'!C158</f>
        <v>PAYTM</v>
      </c>
      <c r="B163" s="50">
        <f>VLOOKUP($A163,'Data shares'!$C:$FM,102)</f>
        <v>37.31</v>
      </c>
      <c r="C163" s="50">
        <f>VLOOKUP($A163,'Data shares'!$C:$FM,110)</f>
        <v>35.18</v>
      </c>
      <c r="D163" s="50">
        <f>VLOOKUP($A163,'Data shares'!$C:$FM,114)</f>
        <v>40.25</v>
      </c>
      <c r="E163" s="50">
        <f>VLOOKUP($A163,'Data shares'!$C:$FM,106)</f>
        <v>52.74</v>
      </c>
      <c r="F163" s="50">
        <f>VLOOKUP($A163,'Data shares'!$C:$FM,108)</f>
        <v>-15.43</v>
      </c>
      <c r="G163" s="50">
        <f t="shared" si="4"/>
        <v>0.70743268866135767</v>
      </c>
    </row>
    <row r="164" spans="1:7" x14ac:dyDescent="0.25">
      <c r="A164" s="49" t="str">
        <f>'Data Vlaue (Cr)'!C159</f>
        <v>PERSISTENT</v>
      </c>
      <c r="B164" s="50">
        <f>VLOOKUP($A164,'Data shares'!$C:$FM,102)</f>
        <v>49.82</v>
      </c>
      <c r="C164" s="50">
        <f>VLOOKUP($A164,'Data shares'!$C:$FM,110)</f>
        <v>48.35</v>
      </c>
      <c r="D164" s="50">
        <f>VLOOKUP($A164,'Data shares'!$C:$FM,114)</f>
        <v>51.66</v>
      </c>
      <c r="E164" s="50">
        <f>VLOOKUP($A164,'Data shares'!$C:$FM,106)</f>
        <v>40.08</v>
      </c>
      <c r="F164" s="50">
        <f>VLOOKUP($A164,'Data shares'!$C:$FM,108)</f>
        <v>9.74</v>
      </c>
      <c r="G164" s="50">
        <f t="shared" si="4"/>
        <v>1.2430139720558884</v>
      </c>
    </row>
    <row r="165" spans="1:7" x14ac:dyDescent="0.25">
      <c r="A165" s="49" t="str">
        <f>'Data Vlaue (Cr)'!C160</f>
        <v>PETRONET</v>
      </c>
      <c r="B165" s="50">
        <f>VLOOKUP($A165,'Data shares'!$C:$FM,102)</f>
        <v>38.69</v>
      </c>
      <c r="C165" s="50">
        <f>VLOOKUP($A165,'Data shares'!$C:$FM,110)</f>
        <v>38.21</v>
      </c>
      <c r="D165" s="50">
        <f>VLOOKUP($A165,'Data shares'!$C:$FM,114)</f>
        <v>39.770000000000003</v>
      </c>
      <c r="E165" s="50">
        <f>VLOOKUP($A165,'Data shares'!$C:$FM,106)</f>
        <v>39.159999999999997</v>
      </c>
      <c r="F165" s="50">
        <f>VLOOKUP($A165,'Data shares'!$C:$FM,108)</f>
        <v>-0.47</v>
      </c>
      <c r="G165" s="50">
        <f t="shared" si="4"/>
        <v>0.98799795709908067</v>
      </c>
    </row>
    <row r="166" spans="1:7" x14ac:dyDescent="0.25">
      <c r="A166" s="49" t="str">
        <f>'Data Vlaue (Cr)'!C161</f>
        <v>PFC</v>
      </c>
      <c r="B166" s="50">
        <f>VLOOKUP($A166,'Data shares'!$C:$FM,102)</f>
        <v>33.450000000000003</v>
      </c>
      <c r="C166" s="50">
        <f>VLOOKUP($A166,'Data shares'!$C:$FM,110)</f>
        <v>32.03</v>
      </c>
      <c r="D166" s="50">
        <f>VLOOKUP($A166,'Data shares'!$C:$FM,114)</f>
        <v>36.17</v>
      </c>
      <c r="E166" s="50">
        <f>VLOOKUP($A166,'Data shares'!$C:$FM,106)</f>
        <v>42.35</v>
      </c>
      <c r="F166" s="50">
        <f>VLOOKUP($A166,'Data shares'!$C:$FM,108)</f>
        <v>-8.9</v>
      </c>
      <c r="G166" s="50">
        <f t="shared" si="4"/>
        <v>0.78984651711924447</v>
      </c>
    </row>
    <row r="167" spans="1:7" x14ac:dyDescent="0.25">
      <c r="A167" s="49" t="str">
        <f>'Data Vlaue (Cr)'!C162</f>
        <v>PGEL</v>
      </c>
      <c r="B167" s="50">
        <f>VLOOKUP($A167,'Data shares'!$C:$FM,102)</f>
        <v>53.01</v>
      </c>
      <c r="C167" s="50">
        <f>VLOOKUP($A167,'Data shares'!$C:$FM,110)</f>
        <v>49.6</v>
      </c>
      <c r="D167" s="50">
        <f>VLOOKUP($A167,'Data shares'!$C:$FM,114)</f>
        <v>56.38</v>
      </c>
      <c r="E167" s="50">
        <f>VLOOKUP($A167,'Data shares'!$C:$FM,106)</f>
        <v>68.22</v>
      </c>
      <c r="F167" s="50">
        <f>VLOOKUP($A167,'Data shares'!$C:$FM,108)</f>
        <v>-15.21</v>
      </c>
      <c r="G167" s="50">
        <f t="shared" ref="G167:G187" si="5">B167/E167</f>
        <v>0.77704485488126651</v>
      </c>
    </row>
    <row r="168" spans="1:7" x14ac:dyDescent="0.25">
      <c r="A168" s="49" t="str">
        <f>'Data Vlaue (Cr)'!C163</f>
        <v>PHOENIXLTD</v>
      </c>
      <c r="B168" s="50">
        <f>VLOOKUP($A168,'Data shares'!$C:$FM,102)</f>
        <v>34.42</v>
      </c>
      <c r="C168" s="50">
        <f>VLOOKUP($A168,'Data shares'!$C:$FM,110)</f>
        <v>29.09</v>
      </c>
      <c r="D168" s="50">
        <f>VLOOKUP($A168,'Data shares'!$C:$FM,114)</f>
        <v>41.79</v>
      </c>
      <c r="E168" s="50">
        <f>VLOOKUP($A168,'Data shares'!$C:$FM,106)</f>
        <v>40.020000000000003</v>
      </c>
      <c r="F168" s="50">
        <f>VLOOKUP($A168,'Data shares'!$C:$FM,108)</f>
        <v>-5.6</v>
      </c>
      <c r="G168" s="50">
        <f t="shared" si="5"/>
        <v>0.86006996501749122</v>
      </c>
    </row>
    <row r="169" spans="1:7" x14ac:dyDescent="0.25">
      <c r="A169" s="49" t="str">
        <f>'Data Vlaue (Cr)'!C164</f>
        <v>PIDILITIND</v>
      </c>
      <c r="B169" s="50">
        <f>VLOOKUP($A169,'Data shares'!$C:$FM,102)</f>
        <v>29.17</v>
      </c>
      <c r="C169" s="50">
        <f>VLOOKUP($A169,'Data shares'!$C:$FM,110)</f>
        <v>28.45</v>
      </c>
      <c r="D169" s="50">
        <f>VLOOKUP($A169,'Data shares'!$C:$FM,114)</f>
        <v>31.35</v>
      </c>
      <c r="E169" s="50">
        <f>VLOOKUP($A169,'Data shares'!$C:$FM,106)</f>
        <v>26.22</v>
      </c>
      <c r="F169" s="50">
        <f>VLOOKUP($A169,'Data shares'!$C:$FM,108)</f>
        <v>2.95</v>
      </c>
      <c r="G169" s="50">
        <f t="shared" si="5"/>
        <v>1.1125095347063312</v>
      </c>
    </row>
    <row r="170" spans="1:7" x14ac:dyDescent="0.25">
      <c r="A170" s="49" t="str">
        <f>'Data Vlaue (Cr)'!C165</f>
        <v>PIIND</v>
      </c>
      <c r="B170" s="50">
        <f>VLOOKUP($A170,'Data shares'!$C:$FM,102)</f>
        <v>30.37</v>
      </c>
      <c r="C170" s="50">
        <f>VLOOKUP($A170,'Data shares'!$C:$FM,110)</f>
        <v>28.73</v>
      </c>
      <c r="D170" s="50">
        <f>VLOOKUP($A170,'Data shares'!$C:$FM,114)</f>
        <v>33.22</v>
      </c>
      <c r="E170" s="50">
        <f>VLOOKUP($A170,'Data shares'!$C:$FM,106)</f>
        <v>31.58</v>
      </c>
      <c r="F170" s="50">
        <f>VLOOKUP($A170,'Data shares'!$C:$FM,108)</f>
        <v>-1.21</v>
      </c>
      <c r="G170" s="50">
        <f t="shared" si="5"/>
        <v>0.96168461051298293</v>
      </c>
    </row>
    <row r="171" spans="1:7" x14ac:dyDescent="0.25">
      <c r="A171" s="49" t="str">
        <f>'Data Vlaue (Cr)'!C166</f>
        <v>PNB</v>
      </c>
      <c r="B171" s="50">
        <f>VLOOKUP($A171,'Data shares'!$C:$FM,102)</f>
        <v>33.46</v>
      </c>
      <c r="C171" s="50">
        <f>VLOOKUP($A171,'Data shares'!$C:$FM,110)</f>
        <v>32.090000000000003</v>
      </c>
      <c r="D171" s="50">
        <f>VLOOKUP($A171,'Data shares'!$C:$FM,114)</f>
        <v>35.770000000000003</v>
      </c>
      <c r="E171" s="50">
        <f>VLOOKUP($A171,'Data shares'!$C:$FM,106)</f>
        <v>37.97</v>
      </c>
      <c r="F171" s="50">
        <f>VLOOKUP($A171,'Data shares'!$C:$FM,108)</f>
        <v>-4.51</v>
      </c>
      <c r="G171" s="50">
        <f t="shared" si="5"/>
        <v>0.8812220173821439</v>
      </c>
    </row>
    <row r="172" spans="1:7" x14ac:dyDescent="0.25">
      <c r="A172" s="49" t="str">
        <f>'Data Vlaue (Cr)'!C167</f>
        <v>PNBHOUSING</v>
      </c>
      <c r="B172" s="50">
        <f>VLOOKUP($A172,'Data shares'!$C:$FM,102)</f>
        <v>48.52</v>
      </c>
      <c r="C172" s="50">
        <f>VLOOKUP($A172,'Data shares'!$C:$FM,110)</f>
        <v>48.86</v>
      </c>
      <c r="D172" s="50">
        <f>VLOOKUP($A172,'Data shares'!$C:$FM,114)</f>
        <v>47.54</v>
      </c>
      <c r="E172" s="50">
        <f>VLOOKUP($A172,'Data shares'!$C:$FM,106)</f>
        <v>47.3</v>
      </c>
      <c r="F172" s="50">
        <f>VLOOKUP($A172,'Data shares'!$C:$FM,108)</f>
        <v>1.22</v>
      </c>
      <c r="G172" s="50">
        <f t="shared" si="5"/>
        <v>1.0257928118393236</v>
      </c>
    </row>
    <row r="173" spans="1:7" x14ac:dyDescent="0.25">
      <c r="A173" s="49" t="str">
        <f>'Data Vlaue (Cr)'!C168</f>
        <v>POLICYBZR</v>
      </c>
      <c r="B173" s="50">
        <f>VLOOKUP($A173,'Data shares'!$C:$FM,102)</f>
        <v>37.299999999999997</v>
      </c>
      <c r="C173" s="50">
        <f>VLOOKUP($A173,'Data shares'!$C:$FM,110)</f>
        <v>36.92</v>
      </c>
      <c r="D173" s="50">
        <f>VLOOKUP($A173,'Data shares'!$C:$FM,114)</f>
        <v>38.39</v>
      </c>
      <c r="E173" s="50">
        <f>VLOOKUP($A173,'Data shares'!$C:$FM,106)</f>
        <v>45.89</v>
      </c>
      <c r="F173" s="50">
        <f>VLOOKUP($A173,'Data shares'!$C:$FM,108)</f>
        <v>-8.59</v>
      </c>
      <c r="G173" s="50">
        <f t="shared" si="5"/>
        <v>0.8128132490738722</v>
      </c>
    </row>
    <row r="174" spans="1:7" x14ac:dyDescent="0.25">
      <c r="A174" s="49" t="str">
        <f>'Data Vlaue (Cr)'!C169</f>
        <v>POLYCAB</v>
      </c>
      <c r="B174" s="50">
        <f>VLOOKUP($A174,'Data shares'!$C:$FM,102)</f>
        <v>37.909999999999997</v>
      </c>
      <c r="C174" s="50">
        <f>VLOOKUP($A174,'Data shares'!$C:$FM,110)</f>
        <v>34.340000000000003</v>
      </c>
      <c r="D174" s="50">
        <f>VLOOKUP($A174,'Data shares'!$C:$FM,114)</f>
        <v>43.16</v>
      </c>
      <c r="E174" s="50">
        <f>VLOOKUP($A174,'Data shares'!$C:$FM,106)</f>
        <v>41.72</v>
      </c>
      <c r="F174" s="50">
        <f>VLOOKUP($A174,'Data shares'!$C:$FM,108)</f>
        <v>-3.81</v>
      </c>
      <c r="G174" s="50">
        <f t="shared" si="5"/>
        <v>0.90867689357622239</v>
      </c>
    </row>
    <row r="175" spans="1:7" x14ac:dyDescent="0.25">
      <c r="A175" s="49" t="str">
        <f>'Data Vlaue (Cr)'!C170</f>
        <v>POWERGRID</v>
      </c>
      <c r="B175" s="50">
        <f>VLOOKUP($A175,'Data shares'!$C:$FM,102)</f>
        <v>23.79</v>
      </c>
      <c r="C175" s="50">
        <f>VLOOKUP($A175,'Data shares'!$C:$FM,110)</f>
        <v>22.97</v>
      </c>
      <c r="D175" s="50">
        <f>VLOOKUP($A175,'Data shares'!$C:$FM,114)</f>
        <v>25.94</v>
      </c>
      <c r="E175" s="50">
        <f>VLOOKUP($A175,'Data shares'!$C:$FM,106)</f>
        <v>29.03</v>
      </c>
      <c r="F175" s="50">
        <f>VLOOKUP($A175,'Data shares'!$C:$FM,108)</f>
        <v>-5.24</v>
      </c>
      <c r="G175" s="50">
        <f t="shared" si="5"/>
        <v>0.8194970719944884</v>
      </c>
    </row>
    <row r="176" spans="1:7" x14ac:dyDescent="0.25">
      <c r="A176" s="49" t="str">
        <f>'Data Vlaue (Cr)'!C171</f>
        <v>POWERINDIA</v>
      </c>
      <c r="B176" s="50">
        <f>VLOOKUP($A176,'Data shares'!$C:$FM,102)</f>
        <v>36.18</v>
      </c>
      <c r="C176" s="50">
        <f>VLOOKUP($A176,'Data shares'!$C:$FM,110)</f>
        <v>34.21</v>
      </c>
      <c r="D176" s="50">
        <f>VLOOKUP($A176,'Data shares'!$C:$FM,114)</f>
        <v>39.14</v>
      </c>
      <c r="E176" s="50">
        <f>VLOOKUP($A176,'Data shares'!$C:$FM,106)</f>
        <v>57.48</v>
      </c>
      <c r="F176" s="50">
        <f>VLOOKUP($A176,'Data shares'!$C:$FM,108)</f>
        <v>-21.3</v>
      </c>
      <c r="G176" s="50">
        <f t="shared" si="5"/>
        <v>0.62943632567849694</v>
      </c>
    </row>
    <row r="177" spans="1:7" x14ac:dyDescent="0.25">
      <c r="A177" s="49" t="str">
        <f>'Data Vlaue (Cr)'!C172</f>
        <v>PPLPHARMA</v>
      </c>
      <c r="B177" s="50">
        <f>VLOOKUP($A177,'Data shares'!$C:$FM,102)</f>
        <v>37.65</v>
      </c>
      <c r="C177" s="50">
        <f>VLOOKUP($A177,'Data shares'!$C:$FM,110)</f>
        <v>37.42</v>
      </c>
      <c r="D177" s="50">
        <f>VLOOKUP($A177,'Data shares'!$C:$FM,114)</f>
        <v>38.58</v>
      </c>
      <c r="E177" s="50">
        <f>VLOOKUP($A177,'Data shares'!$C:$FM,106)</f>
        <v>43.26</v>
      </c>
      <c r="F177" s="50">
        <f>VLOOKUP($A177,'Data shares'!$C:$FM,108)</f>
        <v>-5.61</v>
      </c>
      <c r="G177" s="50">
        <f t="shared" si="5"/>
        <v>0.87031900138696261</v>
      </c>
    </row>
    <row r="178" spans="1:7" x14ac:dyDescent="0.25">
      <c r="A178" s="49" t="str">
        <f>'Data Vlaue (Cr)'!C173</f>
        <v>PREMIERENE</v>
      </c>
      <c r="B178" s="50">
        <f>VLOOKUP($A178,'Data shares'!$C:$FM,102)</f>
        <v>41.62</v>
      </c>
      <c r="C178" s="50">
        <f>VLOOKUP($A178,'Data shares'!$C:$FM,110)</f>
        <v>40.72</v>
      </c>
      <c r="D178" s="50">
        <f>VLOOKUP($A178,'Data shares'!$C:$FM,114)</f>
        <v>42.92</v>
      </c>
      <c r="E178" s="50">
        <f>VLOOKUP($A178,'Data shares'!$C:$FM,106)</f>
        <v>48.93</v>
      </c>
      <c r="F178" s="50">
        <f>VLOOKUP($A178,'Data shares'!$C:$FM,108)</f>
        <v>-7.31</v>
      </c>
      <c r="G178" s="50">
        <f t="shared" si="5"/>
        <v>0.85060290210504796</v>
      </c>
    </row>
    <row r="179" spans="1:7" x14ac:dyDescent="0.25">
      <c r="A179" s="49" t="str">
        <f>'Data Vlaue (Cr)'!C174</f>
        <v>PRESTIGE</v>
      </c>
      <c r="B179" s="50">
        <f>VLOOKUP($A179,'Data shares'!$C:$FM,102)</f>
        <v>40.200000000000003</v>
      </c>
      <c r="C179" s="50">
        <f>VLOOKUP($A179,'Data shares'!$C:$FM,110)</f>
        <v>37.4</v>
      </c>
      <c r="D179" s="50">
        <f>VLOOKUP($A179,'Data shares'!$C:$FM,114)</f>
        <v>46.74</v>
      </c>
      <c r="E179" s="50">
        <f>VLOOKUP($A179,'Data shares'!$C:$FM,106)</f>
        <v>44.91</v>
      </c>
      <c r="F179" s="50">
        <f>VLOOKUP($A179,'Data shares'!$C:$FM,108)</f>
        <v>-4.71</v>
      </c>
      <c r="G179" s="50">
        <f t="shared" si="5"/>
        <v>0.89512358049432206</v>
      </c>
    </row>
    <row r="180" spans="1:7" x14ac:dyDescent="0.25">
      <c r="A180" s="49" t="str">
        <f>'Data Vlaue (Cr)'!C175</f>
        <v>RBLBANK</v>
      </c>
      <c r="B180" s="50">
        <f>VLOOKUP($A180,'Data shares'!$C:$FM,102)</f>
        <v>31.87</v>
      </c>
      <c r="C180" s="50">
        <f>VLOOKUP($A180,'Data shares'!$C:$FM,110)</f>
        <v>31.67</v>
      </c>
      <c r="D180" s="50">
        <f>VLOOKUP($A180,'Data shares'!$C:$FM,114)</f>
        <v>32.39</v>
      </c>
      <c r="E180" s="50">
        <f>VLOOKUP($A180,'Data shares'!$C:$FM,106)</f>
        <v>43.19</v>
      </c>
      <c r="F180" s="50">
        <f>VLOOKUP($A180,'Data shares'!$C:$FM,108)</f>
        <v>-11.32</v>
      </c>
      <c r="G180" s="50">
        <f t="shared" si="5"/>
        <v>0.73790229219726799</v>
      </c>
    </row>
    <row r="181" spans="1:7" x14ac:dyDescent="0.25">
      <c r="A181" s="49" t="str">
        <f>'Data Vlaue (Cr)'!C176</f>
        <v>RECLTD</v>
      </c>
      <c r="B181" s="50">
        <f>VLOOKUP($A181,'Data shares'!$C:$FM,102)</f>
        <v>33.53</v>
      </c>
      <c r="C181" s="50">
        <f>VLOOKUP($A181,'Data shares'!$C:$FM,110)</f>
        <v>31.48</v>
      </c>
      <c r="D181" s="50">
        <f>VLOOKUP($A181,'Data shares'!$C:$FM,114)</f>
        <v>36.979999999999997</v>
      </c>
      <c r="E181" s="50">
        <f>VLOOKUP($A181,'Data shares'!$C:$FM,106)</f>
        <v>42.81</v>
      </c>
      <c r="F181" s="50">
        <f>VLOOKUP($A181,'Data shares'!$C:$FM,108)</f>
        <v>-9.2799999999999994</v>
      </c>
      <c r="G181" s="50">
        <f t="shared" si="5"/>
        <v>0.78322821770614337</v>
      </c>
    </row>
    <row r="182" spans="1:7" x14ac:dyDescent="0.25">
      <c r="A182" s="49" t="str">
        <f>'Data Vlaue (Cr)'!C177</f>
        <v>RELIANCE</v>
      </c>
      <c r="B182" s="50">
        <f>VLOOKUP($A182,'Data shares'!$C:$FM,102)</f>
        <v>23.58</v>
      </c>
      <c r="C182" s="50">
        <f>VLOOKUP($A182,'Data shares'!$C:$FM,110)</f>
        <v>23.11</v>
      </c>
      <c r="D182" s="50">
        <f>VLOOKUP($A182,'Data shares'!$C:$FM,114)</f>
        <v>24.53</v>
      </c>
      <c r="E182" s="50">
        <f>VLOOKUP($A182,'Data shares'!$C:$FM,106)</f>
        <v>26.47</v>
      </c>
      <c r="F182" s="50">
        <f>VLOOKUP($A182,'Data shares'!$C:$FM,108)</f>
        <v>-2.89</v>
      </c>
      <c r="G182" s="50">
        <f t="shared" si="5"/>
        <v>0.89081979599546657</v>
      </c>
    </row>
    <row r="183" spans="1:7" x14ac:dyDescent="0.25">
      <c r="A183" s="49" t="str">
        <f>'Data Vlaue (Cr)'!C178</f>
        <v>RVNL</v>
      </c>
      <c r="B183" s="50">
        <f>VLOOKUP($A183,'Data shares'!$C:$FM,102)</f>
        <v>45.66</v>
      </c>
      <c r="C183" s="50">
        <f>VLOOKUP($A183,'Data shares'!$C:$FM,110)</f>
        <v>45.43</v>
      </c>
      <c r="D183" s="50">
        <f>VLOOKUP($A183,'Data shares'!$C:$FM,114)</f>
        <v>46.43</v>
      </c>
      <c r="E183" s="50">
        <f>VLOOKUP($A183,'Data shares'!$C:$FM,106)</f>
        <v>58.38</v>
      </c>
      <c r="F183" s="50">
        <f>VLOOKUP($A183,'Data shares'!$C:$FM,108)</f>
        <v>-12.72</v>
      </c>
      <c r="G183" s="50">
        <f t="shared" si="5"/>
        <v>0.78211716341212734</v>
      </c>
    </row>
    <row r="184" spans="1:7" x14ac:dyDescent="0.25">
      <c r="A184" s="49" t="str">
        <f>'Data Vlaue (Cr)'!C179</f>
        <v>SAIL</v>
      </c>
      <c r="B184" s="50">
        <f>VLOOKUP($A184,'Data shares'!$C:$FM,102)</f>
        <v>37.69</v>
      </c>
      <c r="C184" s="50">
        <f>VLOOKUP($A184,'Data shares'!$C:$FM,110)</f>
        <v>35.229999999999997</v>
      </c>
      <c r="D184" s="50">
        <f>VLOOKUP($A184,'Data shares'!$C:$FM,114)</f>
        <v>42.32</v>
      </c>
      <c r="E184" s="50">
        <f>VLOOKUP($A184,'Data shares'!$C:$FM,106)</f>
        <v>44.6</v>
      </c>
      <c r="F184" s="50">
        <f>VLOOKUP($A184,'Data shares'!$C:$FM,108)</f>
        <v>-6.91</v>
      </c>
      <c r="G184" s="50">
        <f t="shared" si="5"/>
        <v>0.84506726457399095</v>
      </c>
    </row>
    <row r="185" spans="1:7" x14ac:dyDescent="0.25">
      <c r="A185" s="49" t="str">
        <f>'Data Vlaue (Cr)'!C180</f>
        <v>SAMMAANCAP</v>
      </c>
      <c r="B185" s="50">
        <f>VLOOKUP($A185,'Data shares'!$C:$FM,102)</f>
        <v>35.32</v>
      </c>
      <c r="C185" s="50">
        <f>VLOOKUP($A185,'Data shares'!$C:$FM,110)</f>
        <v>33.26</v>
      </c>
      <c r="D185" s="50">
        <f>VLOOKUP($A185,'Data shares'!$C:$FM,114)</f>
        <v>37.44</v>
      </c>
      <c r="E185" s="50">
        <f>VLOOKUP($A185,'Data shares'!$C:$FM,106)</f>
        <v>53.42</v>
      </c>
      <c r="F185" s="50">
        <f>VLOOKUP($A185,'Data shares'!$C:$FM,108)</f>
        <v>-18.100000000000001</v>
      </c>
      <c r="G185" s="50">
        <f t="shared" si="5"/>
        <v>0.66117558966679146</v>
      </c>
    </row>
    <row r="186" spans="1:7" x14ac:dyDescent="0.25">
      <c r="A186" s="49" t="str">
        <f>'Data Vlaue (Cr)'!C181</f>
        <v>SBICARD</v>
      </c>
      <c r="B186" s="50">
        <f>VLOOKUP($A186,'Data shares'!$C:$FM,102)</f>
        <v>35.619999999999997</v>
      </c>
      <c r="C186" s="50">
        <f>VLOOKUP($A186,'Data shares'!$C:$FM,110)</f>
        <v>34.93</v>
      </c>
      <c r="D186" s="50">
        <f>VLOOKUP($A186,'Data shares'!$C:$FM,114)</f>
        <v>36.83</v>
      </c>
      <c r="E186" s="50">
        <f>VLOOKUP($A186,'Data shares'!$C:$FM,106)</f>
        <v>32.18</v>
      </c>
      <c r="F186" s="50">
        <f>VLOOKUP($A186,'Data shares'!$C:$FM,108)</f>
        <v>3.44</v>
      </c>
      <c r="G186" s="50">
        <f t="shared" si="5"/>
        <v>1.1068986948415165</v>
      </c>
    </row>
    <row r="187" spans="1:7" x14ac:dyDescent="0.25">
      <c r="A187" s="49" t="str">
        <f>'Data Vlaue (Cr)'!C182</f>
        <v>SBILIFE</v>
      </c>
      <c r="B187" s="50">
        <f>VLOOKUP($A187,'Data shares'!$C:$FM,102)</f>
        <v>24.35</v>
      </c>
      <c r="C187" s="50">
        <f>VLOOKUP($A187,'Data shares'!$C:$FM,110)</f>
        <v>23.66</v>
      </c>
      <c r="D187" s="50">
        <f>VLOOKUP($A187,'Data shares'!$C:$FM,114)</f>
        <v>25.94</v>
      </c>
      <c r="E187" s="50">
        <f>VLOOKUP($A187,'Data shares'!$C:$FM,106)</f>
        <v>25.92</v>
      </c>
      <c r="F187" s="50">
        <f>VLOOKUP($A187,'Data shares'!$C:$FM,108)</f>
        <v>-1.57</v>
      </c>
      <c r="G187" s="50">
        <f t="shared" si="5"/>
        <v>0.93942901234567899</v>
      </c>
    </row>
    <row r="188" spans="1:7" x14ac:dyDescent="0.25">
      <c r="A188" s="49" t="str">
        <f>'Data Vlaue (Cr)'!C183</f>
        <v>SBIN</v>
      </c>
      <c r="B188" s="50">
        <f>VLOOKUP($A188,'Data shares'!$C:$FM,102)</f>
        <v>27.52</v>
      </c>
      <c r="C188" s="50">
        <f>VLOOKUP($A188,'Data shares'!$C:$FM,110)</f>
        <v>26.09</v>
      </c>
      <c r="D188" s="50">
        <f>VLOOKUP($A188,'Data shares'!$C:$FM,114)</f>
        <v>29.85</v>
      </c>
      <c r="E188" s="50">
        <f>VLOOKUP($A188,'Data shares'!$C:$FM,106)</f>
        <v>29.18</v>
      </c>
      <c r="F188" s="50">
        <f>VLOOKUP($A188,'Data shares'!$C:$FM,108)</f>
        <v>-1.66</v>
      </c>
      <c r="G188" s="50">
        <f t="shared" ref="G188:G204" si="6">B188/E188</f>
        <v>0.94311172035640845</v>
      </c>
    </row>
    <row r="189" spans="1:7" x14ac:dyDescent="0.25">
      <c r="A189" s="49" t="str">
        <f>'Data Vlaue (Cr)'!C184</f>
        <v>SHREECEM</v>
      </c>
      <c r="B189" s="50">
        <f>VLOOKUP($A189,'Data shares'!$C:$FM,102)</f>
        <v>25.91</v>
      </c>
      <c r="C189" s="50">
        <f>VLOOKUP($A189,'Data shares'!$C:$FM,110)</f>
        <v>25.23</v>
      </c>
      <c r="D189" s="50">
        <f>VLOOKUP($A189,'Data shares'!$C:$FM,114)</f>
        <v>29.39</v>
      </c>
      <c r="E189" s="50">
        <f>VLOOKUP($A189,'Data shares'!$C:$FM,106)</f>
        <v>27.8</v>
      </c>
      <c r="F189" s="50">
        <f>VLOOKUP($A189,'Data shares'!$C:$FM,108)</f>
        <v>-1.89</v>
      </c>
      <c r="G189" s="50">
        <f t="shared" si="6"/>
        <v>0.93201438848920859</v>
      </c>
    </row>
    <row r="190" spans="1:7" x14ac:dyDescent="0.25">
      <c r="A190" s="49" t="str">
        <f>'Data Vlaue (Cr)'!C185</f>
        <v>SHRIRAMFIN</v>
      </c>
      <c r="B190" s="50">
        <f>VLOOKUP($A190,'Data shares'!$C:$FM,102)</f>
        <v>44.04</v>
      </c>
      <c r="C190" s="50">
        <f>VLOOKUP($A190,'Data shares'!$C:$FM,110)</f>
        <v>43.22</v>
      </c>
      <c r="D190" s="50">
        <f>VLOOKUP($A190,'Data shares'!$C:$FM,114)</f>
        <v>45.85</v>
      </c>
      <c r="E190" s="50">
        <f>VLOOKUP($A190,'Data shares'!$C:$FM,106)</f>
        <v>45.11</v>
      </c>
      <c r="F190" s="50">
        <f>VLOOKUP($A190,'Data shares'!$C:$FM,108)</f>
        <v>-1.07</v>
      </c>
      <c r="G190" s="50">
        <f t="shared" si="6"/>
        <v>0.97628020394590997</v>
      </c>
    </row>
    <row r="191" spans="1:7" x14ac:dyDescent="0.25">
      <c r="A191" s="49" t="str">
        <f>'Data Vlaue (Cr)'!C186</f>
        <v>SIEMENS</v>
      </c>
      <c r="B191" s="50">
        <f>VLOOKUP($A191,'Data shares'!$C:$FM,102)</f>
        <v>39.270000000000003</v>
      </c>
      <c r="C191" s="50">
        <f>VLOOKUP($A191,'Data shares'!$C:$FM,110)</f>
        <v>37.94</v>
      </c>
      <c r="D191" s="50">
        <f>VLOOKUP($A191,'Data shares'!$C:$FM,114)</f>
        <v>42.14</v>
      </c>
      <c r="E191" s="50">
        <f>VLOOKUP($A191,'Data shares'!$C:$FM,106)</f>
        <v>41.19</v>
      </c>
      <c r="F191" s="50">
        <f>VLOOKUP($A191,'Data shares'!$C:$FM,108)</f>
        <v>-1.92</v>
      </c>
      <c r="G191" s="50">
        <f t="shared" si="6"/>
        <v>0.95338674435542625</v>
      </c>
    </row>
    <row r="192" spans="1:7" x14ac:dyDescent="0.25">
      <c r="A192" s="49" t="str">
        <f>'Data Vlaue (Cr)'!C187</f>
        <v>SOLARINDS</v>
      </c>
      <c r="B192" s="50">
        <f>VLOOKUP($A192,'Data shares'!$C:$FM,102)</f>
        <v>48.79</v>
      </c>
      <c r="C192" s="50">
        <f>VLOOKUP($A192,'Data shares'!$C:$FM,110)</f>
        <v>33.82</v>
      </c>
      <c r="D192" s="50">
        <f>VLOOKUP($A192,'Data shares'!$C:$FM,114)</f>
        <v>54.32</v>
      </c>
      <c r="E192" s="50">
        <f>VLOOKUP($A192,'Data shares'!$C:$FM,106)</f>
        <v>41.58</v>
      </c>
      <c r="F192" s="50">
        <f>VLOOKUP($A192,'Data shares'!$C:$FM,108)</f>
        <v>7.21</v>
      </c>
      <c r="G192" s="50">
        <f t="shared" si="6"/>
        <v>1.1734006734006734</v>
      </c>
    </row>
    <row r="193" spans="1:7" x14ac:dyDescent="0.25">
      <c r="A193" s="49" t="str">
        <f>'Data Vlaue (Cr)'!C188</f>
        <v>SONACOMS</v>
      </c>
      <c r="B193" s="50">
        <f>VLOOKUP($A193,'Data shares'!$C:$FM,102)</f>
        <v>38.270000000000003</v>
      </c>
      <c r="C193" s="50">
        <f>VLOOKUP($A193,'Data shares'!$C:$FM,110)</f>
        <v>37.78</v>
      </c>
      <c r="D193" s="50">
        <f>VLOOKUP($A193,'Data shares'!$C:$FM,114)</f>
        <v>39.67</v>
      </c>
      <c r="E193" s="50">
        <f>VLOOKUP($A193,'Data shares'!$C:$FM,106)</f>
        <v>41.42</v>
      </c>
      <c r="F193" s="50">
        <f>VLOOKUP($A193,'Data shares'!$C:$FM,108)</f>
        <v>-3.15</v>
      </c>
      <c r="G193" s="50">
        <f t="shared" si="6"/>
        <v>0.9239497827136649</v>
      </c>
    </row>
    <row r="194" spans="1:7" x14ac:dyDescent="0.25">
      <c r="A194" s="49" t="str">
        <f>'Data Vlaue (Cr)'!C189</f>
        <v>SRF</v>
      </c>
      <c r="B194" s="50">
        <f>VLOOKUP($A194,'Data shares'!$C:$FM,102)</f>
        <v>33.340000000000003</v>
      </c>
      <c r="C194" s="50">
        <f>VLOOKUP($A194,'Data shares'!$C:$FM,110)</f>
        <v>33.06</v>
      </c>
      <c r="D194" s="50">
        <f>VLOOKUP($A194,'Data shares'!$C:$FM,114)</f>
        <v>34.159999999999997</v>
      </c>
      <c r="E194" s="50">
        <f>VLOOKUP($A194,'Data shares'!$C:$FM,106)</f>
        <v>36.61</v>
      </c>
      <c r="F194" s="50">
        <f>VLOOKUP($A194,'Data shares'!$C:$FM,108)</f>
        <v>-3.27</v>
      </c>
      <c r="G194" s="50">
        <f t="shared" si="6"/>
        <v>0.91068014203769476</v>
      </c>
    </row>
    <row r="195" spans="1:7" x14ac:dyDescent="0.25">
      <c r="A195" s="49" t="str">
        <f>'Data Vlaue (Cr)'!C190</f>
        <v>SUNPHARMA</v>
      </c>
      <c r="B195" s="50">
        <f>VLOOKUP($A195,'Data shares'!$C:$FM,102)</f>
        <v>25.71</v>
      </c>
      <c r="C195" s="50">
        <f>VLOOKUP($A195,'Data shares'!$C:$FM,110)</f>
        <v>24.87</v>
      </c>
      <c r="D195" s="50">
        <f>VLOOKUP($A195,'Data shares'!$C:$FM,114)</f>
        <v>26.86</v>
      </c>
      <c r="E195" s="50">
        <f>VLOOKUP($A195,'Data shares'!$C:$FM,106)</f>
        <v>23.75</v>
      </c>
      <c r="F195" s="50">
        <f>VLOOKUP($A195,'Data shares'!$C:$FM,108)</f>
        <v>1.96</v>
      </c>
      <c r="G195" s="50">
        <f t="shared" si="6"/>
        <v>1.0825263157894738</v>
      </c>
    </row>
    <row r="196" spans="1:7" x14ac:dyDescent="0.25">
      <c r="A196" s="49" t="str">
        <f>'Data Vlaue (Cr)'!C191</f>
        <v>SUPREMEIND</v>
      </c>
      <c r="B196" s="50">
        <f>VLOOKUP($A196,'Data shares'!$C:$FM,102)</f>
        <v>40.44</v>
      </c>
      <c r="C196" s="50">
        <f>VLOOKUP($A196,'Data shares'!$C:$FM,110)</f>
        <v>39.25</v>
      </c>
      <c r="D196" s="50">
        <f>VLOOKUP($A196,'Data shares'!$C:$FM,114)</f>
        <v>43.27</v>
      </c>
      <c r="E196" s="50">
        <f>VLOOKUP($A196,'Data shares'!$C:$FM,106)</f>
        <v>38.36</v>
      </c>
      <c r="F196" s="50">
        <f>VLOOKUP($A196,'Data shares'!$C:$FM,108)</f>
        <v>2.08</v>
      </c>
      <c r="G196" s="50">
        <f t="shared" si="6"/>
        <v>1.05422314911366</v>
      </c>
    </row>
    <row r="197" spans="1:7" x14ac:dyDescent="0.25">
      <c r="A197" s="49" t="str">
        <f>'Data Vlaue (Cr)'!C192</f>
        <v>SUZLON</v>
      </c>
      <c r="B197" s="50">
        <f>VLOOKUP($A197,'Data shares'!$C:$FM,102)</f>
        <v>44.96</v>
      </c>
      <c r="C197" s="50">
        <f>VLOOKUP($A197,'Data shares'!$C:$FM,110)</f>
        <v>44.04</v>
      </c>
      <c r="D197" s="50">
        <f>VLOOKUP($A197,'Data shares'!$C:$FM,114)</f>
        <v>46.91</v>
      </c>
      <c r="E197" s="50">
        <f>VLOOKUP($A197,'Data shares'!$C:$FM,106)</f>
        <v>47.49</v>
      </c>
      <c r="F197" s="50">
        <f>VLOOKUP($A197,'Data shares'!$C:$FM,108)</f>
        <v>-2.5299999999999998</v>
      </c>
      <c r="G197" s="50">
        <f t="shared" si="6"/>
        <v>0.94672562644767322</v>
      </c>
    </row>
    <row r="198" spans="1:7" x14ac:dyDescent="0.25">
      <c r="A198" s="49" t="str">
        <f>'Data Vlaue (Cr)'!C193</f>
        <v>SWIGGY</v>
      </c>
      <c r="B198" s="50">
        <f>VLOOKUP($A198,'Data shares'!$C:$FM,102)</f>
        <v>45.52</v>
      </c>
      <c r="C198" s="50">
        <f>VLOOKUP($A198,'Data shares'!$C:$FM,110)</f>
        <v>45.43</v>
      </c>
      <c r="D198" s="50">
        <f>VLOOKUP($A198,'Data shares'!$C:$FM,114)</f>
        <v>45.81</v>
      </c>
      <c r="E198" s="50">
        <f>VLOOKUP($A198,'Data shares'!$C:$FM,106)</f>
        <v>45.48</v>
      </c>
      <c r="F198" s="50">
        <f>VLOOKUP($A198,'Data shares'!$C:$FM,108)</f>
        <v>0.04</v>
      </c>
      <c r="G198" s="50">
        <f t="shared" si="6"/>
        <v>1.0008795074758137</v>
      </c>
    </row>
    <row r="199" spans="1:7" x14ac:dyDescent="0.25">
      <c r="A199" s="49" t="str">
        <f>'Data Vlaue (Cr)'!C194</f>
        <v>TATACONSUM</v>
      </c>
      <c r="B199" s="50">
        <f>VLOOKUP($A199,'Data shares'!$C:$FM,102)</f>
        <v>28.47</v>
      </c>
      <c r="C199" s="50">
        <f>VLOOKUP($A199,'Data shares'!$C:$FM,110)</f>
        <v>27.94</v>
      </c>
      <c r="D199" s="50">
        <f>VLOOKUP($A199,'Data shares'!$C:$FM,114)</f>
        <v>30.68</v>
      </c>
      <c r="E199" s="50">
        <f>VLOOKUP($A199,'Data shares'!$C:$FM,106)</f>
        <v>27.36</v>
      </c>
      <c r="F199" s="50">
        <f>VLOOKUP($A199,'Data shares'!$C:$FM,108)</f>
        <v>1.1100000000000001</v>
      </c>
      <c r="G199" s="50">
        <f t="shared" si="6"/>
        <v>1.0405701754385965</v>
      </c>
    </row>
    <row r="200" spans="1:7" x14ac:dyDescent="0.25">
      <c r="A200" s="49" t="str">
        <f>'Data Vlaue (Cr)'!C195</f>
        <v>TATAELXSI</v>
      </c>
      <c r="B200" s="50">
        <f>VLOOKUP($A200,'Data shares'!$C:$FM,102)</f>
        <v>42.78</v>
      </c>
      <c r="C200" s="50">
        <f>VLOOKUP($A200,'Data shares'!$C:$FM,110)</f>
        <v>42.56</v>
      </c>
      <c r="D200" s="50">
        <f>VLOOKUP($A200,'Data shares'!$C:$FM,114)</f>
        <v>43.29</v>
      </c>
      <c r="E200" s="50">
        <f>VLOOKUP($A200,'Data shares'!$C:$FM,106)</f>
        <v>38.83</v>
      </c>
      <c r="F200" s="50">
        <f>VLOOKUP($A200,'Data shares'!$C:$FM,108)</f>
        <v>3.95</v>
      </c>
      <c r="G200" s="50">
        <f t="shared" si="6"/>
        <v>1.1017254699974248</v>
      </c>
    </row>
    <row r="201" spans="1:7" x14ac:dyDescent="0.25">
      <c r="A201" s="49" t="str">
        <f>'Data Vlaue (Cr)'!C196</f>
        <v>TATAPOWER</v>
      </c>
      <c r="B201" s="50">
        <f>VLOOKUP($A201,'Data shares'!$C:$FM,102)</f>
        <v>29.31</v>
      </c>
      <c r="C201" s="50">
        <f>VLOOKUP($A201,'Data shares'!$C:$FM,110)</f>
        <v>28.97</v>
      </c>
      <c r="D201" s="50">
        <f>VLOOKUP($A201,'Data shares'!$C:$FM,114)</f>
        <v>29.77</v>
      </c>
      <c r="E201" s="50">
        <f>VLOOKUP($A201,'Data shares'!$C:$FM,106)</f>
        <v>31.57</v>
      </c>
      <c r="F201" s="50">
        <f>VLOOKUP($A201,'Data shares'!$C:$FM,108)</f>
        <v>-2.2599999999999998</v>
      </c>
      <c r="G201" s="50">
        <f t="shared" si="6"/>
        <v>0.9284130503642698</v>
      </c>
    </row>
    <row r="202" spans="1:7" x14ac:dyDescent="0.25">
      <c r="A202" s="49" t="str">
        <f>'Data Vlaue (Cr)'!C197</f>
        <v>TATASTEEL</v>
      </c>
      <c r="B202" s="50">
        <f>VLOOKUP($A202,'Data shares'!$C:$FM,102)</f>
        <v>29.64</v>
      </c>
      <c r="C202" s="50">
        <f>VLOOKUP($A202,'Data shares'!$C:$FM,110)</f>
        <v>28.19</v>
      </c>
      <c r="D202" s="50">
        <f>VLOOKUP($A202,'Data shares'!$C:$FM,114)</f>
        <v>31.87</v>
      </c>
      <c r="E202" s="50">
        <f>VLOOKUP($A202,'Data shares'!$C:$FM,106)</f>
        <v>36.159999999999997</v>
      </c>
      <c r="F202" s="50">
        <f>VLOOKUP($A202,'Data shares'!$C:$FM,108)</f>
        <v>-6.52</v>
      </c>
      <c r="G202" s="50">
        <f t="shared" si="6"/>
        <v>0.81969026548672574</v>
      </c>
    </row>
    <row r="203" spans="1:7" x14ac:dyDescent="0.25">
      <c r="A203" s="49" t="str">
        <f>'Data Vlaue (Cr)'!C198</f>
        <v>TATATECH</v>
      </c>
      <c r="B203" s="50">
        <f>VLOOKUP($A203,'Data shares'!$C:$FM,102)</f>
        <v>30.08</v>
      </c>
      <c r="C203" s="50">
        <f>VLOOKUP($A203,'Data shares'!$C:$FM,110)</f>
        <v>28.25</v>
      </c>
      <c r="D203" s="50">
        <f>VLOOKUP($A203,'Data shares'!$C:$FM,114)</f>
        <v>35.880000000000003</v>
      </c>
      <c r="E203" s="50">
        <f>VLOOKUP($A203,'Data shares'!$C:$FM,106)</f>
        <v>33.64</v>
      </c>
      <c r="F203" s="50">
        <f>VLOOKUP($A203,'Data shares'!$C:$FM,108)</f>
        <v>-3.56</v>
      </c>
      <c r="G203" s="50">
        <f t="shared" si="6"/>
        <v>0.89417360285374548</v>
      </c>
    </row>
    <row r="204" spans="1:7" x14ac:dyDescent="0.25">
      <c r="A204" s="49" t="str">
        <f>'Data Vlaue (Cr)'!C199</f>
        <v>TCS</v>
      </c>
      <c r="B204" s="50">
        <f>VLOOKUP($A204,'Data shares'!$C:$FM,102)</f>
        <v>25.09</v>
      </c>
      <c r="C204" s="50">
        <f>VLOOKUP($A204,'Data shares'!$C:$FM,110)</f>
        <v>24.62</v>
      </c>
      <c r="D204" s="50">
        <f>VLOOKUP($A204,'Data shares'!$C:$FM,114)</f>
        <v>25.89</v>
      </c>
      <c r="E204" s="50">
        <f>VLOOKUP($A204,'Data shares'!$C:$FM,106)</f>
        <v>27.32</v>
      </c>
      <c r="F204" s="50">
        <f>VLOOKUP($A204,'Data shares'!$C:$FM,108)</f>
        <v>-2.23</v>
      </c>
      <c r="G204" s="50">
        <f t="shared" si="6"/>
        <v>0.91837481698389456</v>
      </c>
    </row>
    <row r="205" spans="1:7" x14ac:dyDescent="0.25">
      <c r="A205" s="49" t="str">
        <f>'Data Vlaue (Cr)'!C200</f>
        <v>TECHM</v>
      </c>
      <c r="B205" s="50">
        <f>VLOOKUP($A205,'Data shares'!$C:$FM,102)</f>
        <v>34.130000000000003</v>
      </c>
      <c r="C205" s="50">
        <f>VLOOKUP($A205,'Data shares'!$C:$FM,110)</f>
        <v>33.24</v>
      </c>
      <c r="D205" s="50">
        <f>VLOOKUP($A205,'Data shares'!$C:$FM,114)</f>
        <v>36.06</v>
      </c>
      <c r="E205" s="50">
        <f>VLOOKUP($A205,'Data shares'!$C:$FM,106)</f>
        <v>31.3</v>
      </c>
      <c r="F205" s="50">
        <f>VLOOKUP($A205,'Data shares'!$C:$FM,108)</f>
        <v>2.83</v>
      </c>
      <c r="G205" s="50">
        <f t="shared" ref="G205:G214" si="7">B205/E205</f>
        <v>1.0904153354632589</v>
      </c>
    </row>
    <row r="206" spans="1:7" x14ac:dyDescent="0.25">
      <c r="A206" s="49" t="str">
        <f>'Data Vlaue (Cr)'!C201</f>
        <v>TIINDIA</v>
      </c>
      <c r="B206" s="50">
        <f>VLOOKUP($A206,'Data shares'!$C:$FM,102)</f>
        <v>33.369999999999997</v>
      </c>
      <c r="C206" s="50">
        <f>VLOOKUP($A206,'Data shares'!$C:$FM,110)</f>
        <v>32.65</v>
      </c>
      <c r="D206" s="50">
        <f>VLOOKUP($A206,'Data shares'!$C:$FM,114)</f>
        <v>38.6</v>
      </c>
      <c r="E206" s="50">
        <f>VLOOKUP($A206,'Data shares'!$C:$FM,106)</f>
        <v>44.09</v>
      </c>
      <c r="F206" s="50">
        <f>VLOOKUP($A206,'Data shares'!$C:$FM,108)</f>
        <v>-10.72</v>
      </c>
      <c r="G206" s="50">
        <f t="shared" si="7"/>
        <v>0.75686096620548871</v>
      </c>
    </row>
    <row r="207" spans="1:7" x14ac:dyDescent="0.25">
      <c r="A207" s="49" t="str">
        <f>'Data Vlaue (Cr)'!C202</f>
        <v>TITAN</v>
      </c>
      <c r="B207" s="50">
        <f>VLOOKUP($A207,'Data shares'!$C:$FM,102)</f>
        <v>26.91</v>
      </c>
      <c r="C207" s="50">
        <f>VLOOKUP($A207,'Data shares'!$C:$FM,110)</f>
        <v>25.28</v>
      </c>
      <c r="D207" s="50">
        <f>VLOOKUP($A207,'Data shares'!$C:$FM,114)</f>
        <v>28.65</v>
      </c>
      <c r="E207" s="50">
        <f>VLOOKUP($A207,'Data shares'!$C:$FM,106)</f>
        <v>27.97</v>
      </c>
      <c r="F207" s="50">
        <f>VLOOKUP($A207,'Data shares'!$C:$FM,108)</f>
        <v>-1.06</v>
      </c>
      <c r="G207" s="50">
        <f t="shared" si="7"/>
        <v>0.96210225241330005</v>
      </c>
    </row>
    <row r="208" spans="1:7" x14ac:dyDescent="0.25">
      <c r="A208" s="49" t="str">
        <f>'Data Vlaue (Cr)'!C203</f>
        <v>TMPV</v>
      </c>
      <c r="B208" s="50">
        <f>VLOOKUP($A208,'Data shares'!$C:$FM,102)</f>
        <v>32.04</v>
      </c>
      <c r="C208" s="50">
        <f>VLOOKUP($A208,'Data shares'!$C:$FM,110)</f>
        <v>29.73</v>
      </c>
      <c r="D208" s="50">
        <f>VLOOKUP($A208,'Data shares'!$C:$FM,114)</f>
        <v>35.380000000000003</v>
      </c>
      <c r="E208" s="50">
        <f>VLOOKUP($A208,'Data shares'!$C:$FM,106)</f>
        <v>38.28</v>
      </c>
      <c r="F208" s="50">
        <f>VLOOKUP($A208,'Data shares'!$C:$FM,108)</f>
        <v>-6.24</v>
      </c>
      <c r="G208" s="50">
        <f t="shared" si="7"/>
        <v>0.83699059561128519</v>
      </c>
    </row>
    <row r="209" spans="1:7" x14ac:dyDescent="0.25">
      <c r="A209" s="49" t="str">
        <f>'Data Vlaue (Cr)'!C204</f>
        <v>TORNTPHARM</v>
      </c>
      <c r="B209" s="50">
        <f>VLOOKUP($A209,'Data shares'!$C:$FM,102)</f>
        <v>26.24</v>
      </c>
      <c r="C209" s="50">
        <f>VLOOKUP($A209,'Data shares'!$C:$FM,110)</f>
        <v>23.88</v>
      </c>
      <c r="D209" s="50">
        <f>VLOOKUP($A209,'Data shares'!$C:$FM,114)</f>
        <v>31.28</v>
      </c>
      <c r="E209" s="50">
        <f>VLOOKUP($A209,'Data shares'!$C:$FM,106)</f>
        <v>25.43</v>
      </c>
      <c r="F209" s="50">
        <f>VLOOKUP($A209,'Data shares'!$C:$FM,108)</f>
        <v>0.81</v>
      </c>
      <c r="G209" s="50">
        <f t="shared" si="7"/>
        <v>1.0318521431380259</v>
      </c>
    </row>
    <row r="210" spans="1:7" x14ac:dyDescent="0.25">
      <c r="A210" s="49" t="str">
        <f>'Data Vlaue (Cr)'!C205</f>
        <v>TORNTPOWER</v>
      </c>
      <c r="B210" s="50">
        <f>VLOOKUP($A210,'Data shares'!$C:$FM,102)</f>
        <v>28.71</v>
      </c>
      <c r="C210" s="50">
        <f>VLOOKUP($A210,'Data shares'!$C:$FM,110)</f>
        <v>27.2</v>
      </c>
      <c r="D210" s="50">
        <f>VLOOKUP($A210,'Data shares'!$C:$FM,114)</f>
        <v>34.1</v>
      </c>
      <c r="E210" s="50">
        <f>VLOOKUP($A210,'Data shares'!$C:$FM,106)</f>
        <v>41.7</v>
      </c>
      <c r="F210" s="50">
        <f>VLOOKUP($A210,'Data shares'!$C:$FM,108)</f>
        <v>-12.99</v>
      </c>
      <c r="G210" s="50">
        <f t="shared" si="7"/>
        <v>0.68848920863309349</v>
      </c>
    </row>
    <row r="211" spans="1:7" x14ac:dyDescent="0.25">
      <c r="A211" s="49" t="str">
        <f>'Data Vlaue (Cr)'!C206</f>
        <v>TRENT</v>
      </c>
      <c r="B211" s="50">
        <f>VLOOKUP($A211,'Data shares'!$C:$FM,102)</f>
        <v>36.22</v>
      </c>
      <c r="C211" s="50">
        <f>VLOOKUP($A211,'Data shares'!$C:$FM,110)</f>
        <v>34.97</v>
      </c>
      <c r="D211" s="50">
        <f>VLOOKUP($A211,'Data shares'!$C:$FM,114)</f>
        <v>38.83</v>
      </c>
      <c r="E211" s="50">
        <f>VLOOKUP($A211,'Data shares'!$C:$FM,106)</f>
        <v>44.13</v>
      </c>
      <c r="F211" s="50">
        <f>VLOOKUP($A211,'Data shares'!$C:$FM,108)</f>
        <v>-7.91</v>
      </c>
      <c r="G211" s="50">
        <f t="shared" si="7"/>
        <v>0.82075685474733739</v>
      </c>
    </row>
    <row r="212" spans="1:7" x14ac:dyDescent="0.25">
      <c r="A212" s="49" t="str">
        <f>'Data Vlaue (Cr)'!C207</f>
        <v>TVSMOTOR</v>
      </c>
      <c r="B212" s="50">
        <f>VLOOKUP($A212,'Data shares'!$C:$FM,102)</f>
        <v>32.880000000000003</v>
      </c>
      <c r="C212" s="50">
        <f>VLOOKUP($A212,'Data shares'!$C:$FM,110)</f>
        <v>32.090000000000003</v>
      </c>
      <c r="D212" s="50">
        <f>VLOOKUP($A212,'Data shares'!$C:$FM,114)</f>
        <v>34.130000000000003</v>
      </c>
      <c r="E212" s="50">
        <f>VLOOKUP($A212,'Data shares'!$C:$FM,106)</f>
        <v>33.549999999999997</v>
      </c>
      <c r="F212" s="50">
        <f>VLOOKUP($A212,'Data shares'!$C:$FM,108)</f>
        <v>-0.67</v>
      </c>
      <c r="G212" s="50">
        <f t="shared" si="7"/>
        <v>0.98002980625931457</v>
      </c>
    </row>
    <row r="213" spans="1:7" x14ac:dyDescent="0.25">
      <c r="A213" s="49" t="str">
        <f>'Data Vlaue (Cr)'!C208</f>
        <v>ULTRACEMCO</v>
      </c>
      <c r="B213" s="50">
        <f>VLOOKUP($A213,'Data shares'!$C:$FM,102)</f>
        <v>29.23</v>
      </c>
      <c r="C213" s="50">
        <f>VLOOKUP($A213,'Data shares'!$C:$FM,110)</f>
        <v>28.29</v>
      </c>
      <c r="D213" s="50">
        <f>VLOOKUP($A213,'Data shares'!$C:$FM,114)</f>
        <v>31.22</v>
      </c>
      <c r="E213" s="50">
        <f>VLOOKUP($A213,'Data shares'!$C:$FM,106)</f>
        <v>30.14</v>
      </c>
      <c r="F213" s="50">
        <f>VLOOKUP($A213,'Data shares'!$C:$FM,108)</f>
        <v>-0.91</v>
      </c>
      <c r="G213" s="50">
        <f t="shared" si="7"/>
        <v>0.96980756469807561</v>
      </c>
    </row>
    <row r="214" spans="1:7" x14ac:dyDescent="0.25">
      <c r="A214" s="49" t="str">
        <f>'Data Vlaue (Cr)'!C209</f>
        <v>UNIONBANK</v>
      </c>
      <c r="B214" s="50">
        <f>VLOOKUP($A214,'Data shares'!$C:$FM,102)</f>
        <v>38.69</v>
      </c>
      <c r="C214" s="50">
        <f>VLOOKUP($A214,'Data shares'!$C:$FM,110)</f>
        <v>37.85</v>
      </c>
      <c r="D214" s="50">
        <f>VLOOKUP($A214,'Data shares'!$C:$FM,114)</f>
        <v>40.19</v>
      </c>
      <c r="E214" s="50">
        <f>VLOOKUP($A214,'Data shares'!$C:$FM,106)</f>
        <v>44.1</v>
      </c>
      <c r="F214" s="50">
        <f>VLOOKUP($A214,'Data shares'!$C:$FM,108)</f>
        <v>-5.41</v>
      </c>
      <c r="G214" s="50">
        <f t="shared" si="7"/>
        <v>0.87732426303854871</v>
      </c>
    </row>
    <row r="215" spans="1:7" x14ac:dyDescent="0.25">
      <c r="A215" s="49" t="str">
        <f>'Data Vlaue (Cr)'!C210</f>
        <v>UNITDSPR</v>
      </c>
      <c r="B215" s="50">
        <f>VLOOKUP($A215,'Data shares'!$C:$FM,102)</f>
        <v>28.43</v>
      </c>
      <c r="C215" s="50">
        <f>VLOOKUP($A215,'Data shares'!$C:$FM,110)</f>
        <v>28.27</v>
      </c>
      <c r="D215" s="50">
        <f>VLOOKUP($A215,'Data shares'!$C:$FM,114)</f>
        <v>29.03</v>
      </c>
      <c r="E215" s="50">
        <f>VLOOKUP($A215,'Data shares'!$C:$FM,106)</f>
        <v>30.07</v>
      </c>
      <c r="F215" s="50">
        <f>VLOOKUP($A215,'Data shares'!$C:$FM,108)</f>
        <v>-1.64</v>
      </c>
      <c r="G215" s="50">
        <f t="shared" ref="G215:G217" si="8">B215/E215</f>
        <v>0.94546059195211174</v>
      </c>
    </row>
    <row r="216" spans="1:7" x14ac:dyDescent="0.25">
      <c r="A216" s="49" t="str">
        <f>'Data Vlaue (Cr)'!C211</f>
        <v>UNOMINDA</v>
      </c>
      <c r="B216" s="50">
        <f>VLOOKUP($A216,'Data shares'!$C:$FM,102)</f>
        <v>36.51</v>
      </c>
      <c r="C216" s="50">
        <f>VLOOKUP($A216,'Data shares'!$C:$FM,110)</f>
        <v>35.64</v>
      </c>
      <c r="D216" s="50">
        <f>VLOOKUP($A216,'Data shares'!$C:$FM,114)</f>
        <v>40.42</v>
      </c>
      <c r="E216" s="50">
        <f>VLOOKUP($A216,'Data shares'!$C:$FM,106)</f>
        <v>42.96</v>
      </c>
      <c r="F216" s="50">
        <f>VLOOKUP($A216,'Data shares'!$C:$FM,108)</f>
        <v>-6.45</v>
      </c>
      <c r="G216" s="50">
        <f t="shared" si="8"/>
        <v>0.84986033519553061</v>
      </c>
    </row>
    <row r="217" spans="1:7" x14ac:dyDescent="0.25">
      <c r="A217" s="49" t="str">
        <f>'Data Vlaue (Cr)'!C212</f>
        <v>UPL</v>
      </c>
      <c r="B217" s="50">
        <f>VLOOKUP($A217,'Data shares'!$C:$FM,102)</f>
        <v>31.9</v>
      </c>
      <c r="C217" s="50">
        <f>VLOOKUP($A217,'Data shares'!$C:$FM,110)</f>
        <v>30.36</v>
      </c>
      <c r="D217" s="50">
        <f>VLOOKUP($A217,'Data shares'!$C:$FM,114)</f>
        <v>34.03</v>
      </c>
      <c r="E217" s="50">
        <f>VLOOKUP($A217,'Data shares'!$C:$FM,106)</f>
        <v>41.96</v>
      </c>
      <c r="F217" s="50">
        <f>VLOOKUP($A217,'Data shares'!$C:$FM,108)</f>
        <v>-10.06</v>
      </c>
      <c r="G217" s="50">
        <f t="shared" si="8"/>
        <v>0.76024785510009529</v>
      </c>
    </row>
    <row r="218" spans="1:7" x14ac:dyDescent="0.25">
      <c r="A218" s="49" t="str">
        <f>'Data Vlaue (Cr)'!C213</f>
        <v>VBL</v>
      </c>
      <c r="B218" s="50">
        <f>VLOOKUP($A218,'Data shares'!$C:$FM,102)</f>
        <v>36.979999999999997</v>
      </c>
      <c r="C218" s="50">
        <f>VLOOKUP($A218,'Data shares'!$C:$FM,110)</f>
        <v>36.880000000000003</v>
      </c>
      <c r="D218" s="50">
        <f>VLOOKUP($A218,'Data shares'!$C:$FM,114)</f>
        <v>37.19</v>
      </c>
      <c r="E218" s="50">
        <f>VLOOKUP($A218,'Data shares'!$C:$FM,106)</f>
        <v>38.33</v>
      </c>
      <c r="F218" s="50">
        <f>VLOOKUP($A218,'Data shares'!$C:$FM,108)</f>
        <v>-1.35</v>
      </c>
      <c r="G218" s="50">
        <f t="shared" ref="G218:G225" si="9">B218/E218</f>
        <v>0.96477954604748239</v>
      </c>
    </row>
    <row r="219" spans="1:7" x14ac:dyDescent="0.25">
      <c r="A219" s="49" t="str">
        <f>'Data Vlaue (Cr)'!C214</f>
        <v>VEDL</v>
      </c>
      <c r="B219" s="50">
        <f>VLOOKUP($A219,'Data shares'!$C:$FM,102)</f>
        <v>35.01</v>
      </c>
      <c r="C219" s="50">
        <f>VLOOKUP($A219,'Data shares'!$C:$FM,110)</f>
        <v>33.619999999999997</v>
      </c>
      <c r="D219" s="50">
        <f>VLOOKUP($A219,'Data shares'!$C:$FM,114)</f>
        <v>37.01</v>
      </c>
      <c r="E219" s="50">
        <f>VLOOKUP($A219,'Data shares'!$C:$FM,106)</f>
        <v>40.81</v>
      </c>
      <c r="F219" s="50">
        <f>VLOOKUP($A219,'Data shares'!$C:$FM,108)</f>
        <v>-5.8</v>
      </c>
      <c r="G219" s="50">
        <f t="shared" si="9"/>
        <v>0.85787797108551811</v>
      </c>
    </row>
    <row r="220" spans="1:7" x14ac:dyDescent="0.25">
      <c r="A220" s="49" t="str">
        <f>'Data Vlaue (Cr)'!C215</f>
        <v>VMM</v>
      </c>
      <c r="B220" s="50">
        <f>VLOOKUP($A220,'Data shares'!$C:$FM,102)</f>
        <v>41.09</v>
      </c>
      <c r="C220" s="50">
        <f>VLOOKUP($A220,'Data shares'!$C:$FM,110)</f>
        <v>40.96</v>
      </c>
      <c r="D220" s="50">
        <f>VLOOKUP($A220,'Data shares'!$C:$FM,114)</f>
        <v>41.85</v>
      </c>
      <c r="E220" s="50">
        <f>VLOOKUP($A220,'Data shares'!$C:$FM,106)</f>
        <v>38.21</v>
      </c>
      <c r="F220" s="50">
        <f>VLOOKUP($A220,'Data shares'!$C:$FM,108)</f>
        <v>2.88</v>
      </c>
      <c r="G220" s="50">
        <f t="shared" si="9"/>
        <v>1.0753729390211988</v>
      </c>
    </row>
    <row r="221" spans="1:7" x14ac:dyDescent="0.25">
      <c r="A221" s="49" t="str">
        <f>'Data Vlaue (Cr)'!C216</f>
        <v>VOLTAS</v>
      </c>
      <c r="B221" s="50">
        <f>VLOOKUP($A221,'Data shares'!$C:$FM,102)</f>
        <v>38.28</v>
      </c>
      <c r="C221" s="50">
        <f>VLOOKUP($A221,'Data shares'!$C:$FM,110)</f>
        <v>36.049999999999997</v>
      </c>
      <c r="D221" s="50">
        <f>VLOOKUP($A221,'Data shares'!$C:$FM,114)</f>
        <v>42.58</v>
      </c>
      <c r="E221" s="50">
        <f>VLOOKUP($A221,'Data shares'!$C:$FM,106)</f>
        <v>40.090000000000003</v>
      </c>
      <c r="F221" s="50">
        <f>VLOOKUP($A221,'Data shares'!$C:$FM,108)</f>
        <v>-1.81</v>
      </c>
      <c r="G221" s="50">
        <f t="shared" si="9"/>
        <v>0.95485158393614367</v>
      </c>
    </row>
    <row r="222" spans="1:7" x14ac:dyDescent="0.25">
      <c r="A222" s="49" t="str">
        <f>'Data Vlaue (Cr)'!C217</f>
        <v>WAAREEENER</v>
      </c>
      <c r="B222" s="50">
        <f>VLOOKUP($A222,'Data shares'!$C:$FM,102)</f>
        <v>40.770000000000003</v>
      </c>
      <c r="C222" s="50">
        <f>VLOOKUP($A222,'Data shares'!$C:$FM,110)</f>
        <v>38.04</v>
      </c>
      <c r="D222" s="50">
        <f>VLOOKUP($A222,'Data shares'!$C:$FM,114)</f>
        <v>46.3</v>
      </c>
      <c r="E222" s="50">
        <f>VLOOKUP($A222,'Data shares'!$C:$FM,106)</f>
        <v>52.87</v>
      </c>
      <c r="F222" s="50">
        <f>VLOOKUP($A222,'Data shares'!$C:$FM,108)</f>
        <v>-12.1</v>
      </c>
      <c r="G222" s="50">
        <f t="shared" si="9"/>
        <v>0.77113675052014385</v>
      </c>
    </row>
    <row r="223" spans="1:7" x14ac:dyDescent="0.25">
      <c r="A223" s="49" t="str">
        <f>'Data Vlaue (Cr)'!C218</f>
        <v>WIPRO</v>
      </c>
      <c r="B223" s="50">
        <f>VLOOKUP($A223,'Data shares'!$C:$FM,102)</f>
        <v>29.24</v>
      </c>
      <c r="C223" s="50">
        <f>VLOOKUP($A223,'Data shares'!$C:$FM,110)</f>
        <v>29.66</v>
      </c>
      <c r="D223" s="50">
        <f>VLOOKUP($A223,'Data shares'!$C:$FM,114)</f>
        <v>28.43</v>
      </c>
      <c r="E223" s="50">
        <f>VLOOKUP($A223,'Data shares'!$C:$FM,106)</f>
        <v>31.49</v>
      </c>
      <c r="F223" s="50">
        <f>VLOOKUP($A223,'Data shares'!$C:$FM,108)</f>
        <v>-2.25</v>
      </c>
      <c r="G223" s="50">
        <f t="shared" si="9"/>
        <v>0.9285487456335344</v>
      </c>
    </row>
    <row r="224" spans="1:7" x14ac:dyDescent="0.25">
      <c r="A224" s="49" t="str">
        <f>'Data Vlaue (Cr)'!C219</f>
        <v>YESBANK</v>
      </c>
      <c r="B224" s="50">
        <f>VLOOKUP($A224,'Data shares'!$C:$FM,102)</f>
        <v>46.38</v>
      </c>
      <c r="C224" s="50">
        <f>VLOOKUP($A224,'Data shares'!$C:$FM,110)</f>
        <v>47.4</v>
      </c>
      <c r="D224" s="50">
        <f>VLOOKUP($A224,'Data shares'!$C:$FM,114)</f>
        <v>41.4</v>
      </c>
      <c r="E224" s="50">
        <f>VLOOKUP($A224,'Data shares'!$C:$FM,106)</f>
        <v>38.64</v>
      </c>
      <c r="F224" s="50">
        <f>VLOOKUP($A224,'Data shares'!$C:$FM,108)</f>
        <v>7.74</v>
      </c>
      <c r="G224" s="50">
        <f t="shared" si="9"/>
        <v>1.2003105590062113</v>
      </c>
    </row>
    <row r="225" spans="1:7" x14ac:dyDescent="0.25">
      <c r="A225" s="49" t="str">
        <f>'Data Vlaue (Cr)'!C220</f>
        <v>ZYDUSLIFE</v>
      </c>
      <c r="B225" s="50">
        <f>VLOOKUP($A225,'Data shares'!$C:$FM,102)</f>
        <v>25.82</v>
      </c>
      <c r="C225" s="50">
        <f>VLOOKUP($A225,'Data shares'!$C:$FM,110)</f>
        <v>24.44</v>
      </c>
      <c r="D225" s="50">
        <f>VLOOKUP($A225,'Data shares'!$C:$FM,114)</f>
        <v>29.62</v>
      </c>
      <c r="E225" s="50">
        <f>VLOOKUP($A225,'Data shares'!$C:$FM,106)</f>
        <v>28.15</v>
      </c>
      <c r="F225" s="50">
        <f>VLOOKUP($A225,'Data shares'!$C:$FM,108)</f>
        <v>-2.33</v>
      </c>
      <c r="G225" s="50">
        <f t="shared" si="9"/>
        <v>0.91722912966252224</v>
      </c>
    </row>
    <row r="226" spans="1:7" x14ac:dyDescent="0.25">
      <c r="A226" s="49"/>
      <c r="B226" s="50"/>
      <c r="C226" s="50"/>
      <c r="D226" s="50"/>
      <c r="E226" s="50"/>
      <c r="F226" s="50"/>
      <c r="G226" s="50"/>
    </row>
    <row r="227" spans="1:7" x14ac:dyDescent="0.25">
      <c r="A227" s="49"/>
      <c r="B227" s="50"/>
      <c r="C227" s="50"/>
      <c r="D227" s="50"/>
      <c r="E227" s="50"/>
      <c r="F227" s="50"/>
      <c r="G227" s="50"/>
    </row>
    <row r="228" spans="1:7" x14ac:dyDescent="0.25">
      <c r="A228" s="49"/>
      <c r="B228" s="50"/>
      <c r="C228" s="50"/>
      <c r="D228" s="50"/>
      <c r="E228" s="50"/>
      <c r="F228" s="50"/>
      <c r="G228" s="50"/>
    </row>
    <row r="229" spans="1:7" x14ac:dyDescent="0.25">
      <c r="A229" s="49"/>
      <c r="B229" s="50"/>
      <c r="C229" s="50"/>
      <c r="D229" s="50"/>
      <c r="E229" s="50"/>
      <c r="F229" s="50"/>
      <c r="G229"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20" activePane="bottomLeft" state="frozen"/>
      <selection pane="bottomLeft" activeCell="A28" sqref="A28"/>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9" t="s">
        <v>416</v>
      </c>
      <c r="B3" s="320"/>
      <c r="C3" s="320"/>
      <c r="D3" s="320"/>
      <c r="E3" s="320"/>
      <c r="F3" s="320"/>
    </row>
    <row r="4" spans="1:6" s="107" customFormat="1" ht="16.5" customHeight="1" x14ac:dyDescent="0.25">
      <c r="A4" s="174" t="s">
        <v>366</v>
      </c>
      <c r="B4" s="76" t="s">
        <v>417</v>
      </c>
      <c r="C4" s="76" t="s">
        <v>412</v>
      </c>
      <c r="D4" s="162" t="s">
        <v>418</v>
      </c>
      <c r="E4" s="162" t="s">
        <v>419</v>
      </c>
      <c r="F4" s="162" t="s">
        <v>419</v>
      </c>
    </row>
    <row r="5" spans="1:6" x14ac:dyDescent="0.25">
      <c r="A5" s="99" t="s">
        <v>680</v>
      </c>
      <c r="B5" s="49">
        <v>37756901</v>
      </c>
      <c r="C5" s="49">
        <v>9622500</v>
      </c>
      <c r="D5" s="49">
        <v>5354811.0949550001</v>
      </c>
      <c r="E5" s="50">
        <f>VLOOKUP($A5,'Data shares'!$C:$FA,154)*100</f>
        <v>26.14</v>
      </c>
      <c r="F5" s="173">
        <f>C5/B5</f>
        <v>0.25485407290179879</v>
      </c>
    </row>
    <row r="6" spans="1:6" x14ac:dyDescent="0.25">
      <c r="A6" s="99" t="s">
        <v>553</v>
      </c>
      <c r="B6" s="49">
        <v>7946564</v>
      </c>
      <c r="C6" s="49">
        <v>4418250</v>
      </c>
      <c r="D6" s="49">
        <v>2231621.34475125</v>
      </c>
      <c r="E6" s="50"/>
      <c r="F6" s="173">
        <f>C6/B6</f>
        <v>0.55599501872759094</v>
      </c>
    </row>
    <row r="7" spans="1:6" x14ac:dyDescent="0.25">
      <c r="A7" s="99" t="s">
        <v>544</v>
      </c>
      <c r="B7" s="49">
        <v>123369777</v>
      </c>
      <c r="C7" s="49">
        <v>69198200</v>
      </c>
      <c r="D7" s="49">
        <v>43970891.622985996</v>
      </c>
      <c r="E7" s="50">
        <f>VLOOKUP($A7,'Data shares'!$C:$FA,154)*100</f>
        <v>56.8</v>
      </c>
      <c r="F7" s="173">
        <f>C7/B7</f>
        <v>0.56090074637972309</v>
      </c>
    </row>
    <row r="8" spans="1:6" x14ac:dyDescent="0.25">
      <c r="A8" s="99" t="s">
        <v>578</v>
      </c>
      <c r="B8" s="49">
        <v>35196587</v>
      </c>
      <c r="C8" s="49">
        <v>29764800</v>
      </c>
      <c r="D8" s="49">
        <v>20430085.258253202</v>
      </c>
      <c r="E8" s="50">
        <f>VLOOKUP($A8,'Data shares'!$C:$FA,154)*100</f>
        <v>85.14</v>
      </c>
      <c r="F8" s="173">
        <f>C8/B8</f>
        <v>0.84567290572804688</v>
      </c>
    </row>
    <row r="9" spans="1:6" x14ac:dyDescent="0.25">
      <c r="A9" s="99" t="s">
        <v>159</v>
      </c>
      <c r="B9" s="49">
        <v>33645895</v>
      </c>
      <c r="C9" s="49">
        <v>30510042</v>
      </c>
      <c r="D9" s="49">
        <v>14747198.7105639</v>
      </c>
      <c r="E9" s="50">
        <f>VLOOKUP($A9,'Data shares'!$C:$FA,154)*100</f>
        <v>93.300000000000011</v>
      </c>
      <c r="F9" s="173">
        <f>C9/B9</f>
        <v>0.90679834791138714</v>
      </c>
    </row>
    <row r="10" spans="1:6" x14ac:dyDescent="0.25">
      <c r="A10" s="99" t="s">
        <v>605</v>
      </c>
      <c r="B10" s="49">
        <v>64724093</v>
      </c>
      <c r="C10" s="49">
        <v>35805600</v>
      </c>
      <c r="D10" s="49">
        <v>20136211.519547999</v>
      </c>
      <c r="E10" s="50">
        <f>VLOOKUP($A10,'Data shares'!$C:$FA,154)*100</f>
        <v>55.84</v>
      </c>
      <c r="F10" s="173">
        <f>C10/B10</f>
        <v>0.55320358062027997</v>
      </c>
    </row>
    <row r="11" spans="1:6" x14ac:dyDescent="0.25">
      <c r="A11" s="99" t="s">
        <v>160</v>
      </c>
      <c r="B11" s="49">
        <v>88142691</v>
      </c>
      <c r="C11" s="49">
        <v>36415400</v>
      </c>
      <c r="D11" s="49">
        <v>19617635.891686</v>
      </c>
      <c r="E11" s="50">
        <f>VLOOKUP($A11,'Data shares'!$C:$FA,154)*100</f>
        <v>42.16</v>
      </c>
      <c r="F11" s="173">
        <f>C11/B11</f>
        <v>0.41314145945464725</v>
      </c>
    </row>
    <row r="12" spans="1:6" x14ac:dyDescent="0.25">
      <c r="A12" s="99" t="s">
        <v>695</v>
      </c>
      <c r="B12" s="49">
        <v>482906787</v>
      </c>
      <c r="C12" s="49">
        <v>132141650</v>
      </c>
      <c r="D12" s="49">
        <v>76508408.632211998</v>
      </c>
      <c r="E12" s="50">
        <f>VLOOKUP($A12,'Data shares'!$C:$FA,154)*100</f>
        <v>27.92</v>
      </c>
      <c r="F12" s="173">
        <f>C12/B12</f>
        <v>0.27363800542318739</v>
      </c>
    </row>
    <row r="13" spans="1:6" x14ac:dyDescent="0.25">
      <c r="A13" s="99" t="s">
        <v>497</v>
      </c>
      <c r="B13" s="49">
        <v>5873365</v>
      </c>
      <c r="C13" s="49">
        <v>1601000</v>
      </c>
      <c r="D13" s="49">
        <v>1144485.7411187501</v>
      </c>
      <c r="E13" s="50">
        <f>VLOOKUP($A13,'Data shares'!$C:$FA,154)*100</f>
        <v>27.36</v>
      </c>
      <c r="F13" s="173">
        <f>C13/B13</f>
        <v>0.27258649854044487</v>
      </c>
    </row>
    <row r="14" spans="1:6" x14ac:dyDescent="0.25">
      <c r="A14" s="99" t="s">
        <v>679</v>
      </c>
      <c r="B14" s="49">
        <v>3260820</v>
      </c>
      <c r="C14" s="49">
        <v>2977800</v>
      </c>
      <c r="D14" s="49">
        <v>1121806.0674000001</v>
      </c>
      <c r="E14" s="50">
        <f>VLOOKUP($A14,'Data shares'!$C:$FA,154)*100</f>
        <v>93.96</v>
      </c>
      <c r="F14" s="173">
        <f>C14/B14</f>
        <v>0.91320588072938713</v>
      </c>
    </row>
    <row r="15" spans="1:6" x14ac:dyDescent="0.25">
      <c r="A15" s="99" t="s">
        <v>164</v>
      </c>
      <c r="B15" s="49">
        <v>97233107</v>
      </c>
      <c r="C15" s="49">
        <v>79241400</v>
      </c>
      <c r="D15" s="49">
        <v>54275034.985730998</v>
      </c>
      <c r="E15" s="50">
        <f>VLOOKUP($A15,'Data shares'!$C:$FA,154)*100</f>
        <v>82.56</v>
      </c>
      <c r="F15" s="173">
        <f>C15/B15</f>
        <v>0.81496315858753743</v>
      </c>
    </row>
    <row r="16" spans="1:6" x14ac:dyDescent="0.25">
      <c r="A16" s="99" t="s">
        <v>608</v>
      </c>
      <c r="B16" s="49">
        <v>96940911</v>
      </c>
      <c r="C16" s="49">
        <v>99477500</v>
      </c>
      <c r="D16" s="49">
        <v>32435063.838350002</v>
      </c>
      <c r="E16" s="50">
        <f>VLOOKUP($A16,'Data shares'!$C:$FA,154)*100</f>
        <v>107.28999999999999</v>
      </c>
      <c r="F16" s="173">
        <f>C16/B16</f>
        <v>1.0261663416800364</v>
      </c>
    </row>
    <row r="17" spans="1:6" x14ac:dyDescent="0.25">
      <c r="A17" s="99" t="s">
        <v>597</v>
      </c>
      <c r="B17" s="49">
        <v>29871221</v>
      </c>
      <c r="C17" s="49">
        <v>7191800</v>
      </c>
      <c r="D17" s="49">
        <v>4981658.2159399996</v>
      </c>
      <c r="E17" s="50">
        <f>VLOOKUP($A17,'Data shares'!$C:$FA,154)*100</f>
        <v>24.25</v>
      </c>
      <c r="F17" s="173">
        <f>C17/B17</f>
        <v>0.24076016176238663</v>
      </c>
    </row>
    <row r="18" spans="1:6" x14ac:dyDescent="0.25">
      <c r="A18" s="99" t="s">
        <v>165</v>
      </c>
      <c r="B18" s="49">
        <v>15524629</v>
      </c>
      <c r="C18" s="49">
        <v>4023375</v>
      </c>
      <c r="D18" s="49">
        <v>2340304.6314987498</v>
      </c>
      <c r="E18" s="50">
        <f>VLOOKUP($A18,'Data shares'!$C:$FA,154)*100</f>
        <v>26.19</v>
      </c>
      <c r="F18" s="173">
        <f>C18/B18</f>
        <v>0.25916078252175945</v>
      </c>
    </row>
    <row r="19" spans="1:6" x14ac:dyDescent="0.25">
      <c r="A19" s="99" t="s">
        <v>167</v>
      </c>
      <c r="B19" s="49">
        <v>423779104</v>
      </c>
      <c r="C19" s="49">
        <v>289620000</v>
      </c>
      <c r="D19" s="49">
        <v>123728321.7217</v>
      </c>
      <c r="E19" s="50"/>
      <c r="F19" s="173">
        <f>C19/B19</f>
        <v>0.68342208774880986</v>
      </c>
    </row>
    <row r="20" spans="1:6" x14ac:dyDescent="0.25">
      <c r="A20" s="99" t="s">
        <v>169</v>
      </c>
      <c r="B20" s="49">
        <v>62818628</v>
      </c>
      <c r="C20" s="49">
        <v>23905750</v>
      </c>
      <c r="D20" s="49">
        <v>14478585.0448275</v>
      </c>
      <c r="E20" s="50">
        <f>VLOOKUP($A20,'Data shares'!$C:$FA,154)*100</f>
        <v>38.5</v>
      </c>
      <c r="F20" s="173">
        <f>C20/B20</f>
        <v>0.3805519280045403</v>
      </c>
    </row>
    <row r="21" spans="1:6" x14ac:dyDescent="0.25">
      <c r="A21" s="99" t="s">
        <v>503</v>
      </c>
      <c r="B21" s="49">
        <v>17577908</v>
      </c>
      <c r="C21" s="49">
        <v>20486700</v>
      </c>
      <c r="D21" s="49">
        <v>9657106.1886952501</v>
      </c>
      <c r="E21" s="50">
        <f>VLOOKUP($A21,'Data shares'!$C:$FA,154)*100</f>
        <v>118.63</v>
      </c>
      <c r="F21" s="173">
        <f>C21/B21</f>
        <v>1.1654799877209507</v>
      </c>
    </row>
    <row r="22" spans="1:6" x14ac:dyDescent="0.25">
      <c r="A22" s="99" t="s">
        <v>495</v>
      </c>
      <c r="B22" s="49">
        <v>86532345</v>
      </c>
      <c r="C22" s="49">
        <v>36394000</v>
      </c>
      <c r="D22" s="49">
        <v>24350426.019280002</v>
      </c>
      <c r="E22" s="50">
        <f>VLOOKUP($A22,'Data shares'!$C:$FA,154)*100</f>
        <v>42.71</v>
      </c>
      <c r="F22" s="173">
        <f>C22/B22</f>
        <v>0.42058261566816429</v>
      </c>
    </row>
    <row r="23" spans="1:6" x14ac:dyDescent="0.25">
      <c r="A23" s="99" t="s">
        <v>171</v>
      </c>
      <c r="B23" s="49">
        <v>41977935</v>
      </c>
      <c r="C23" s="49">
        <v>27313550</v>
      </c>
      <c r="D23" s="49">
        <v>20225233.3661015</v>
      </c>
      <c r="E23" s="50">
        <f>VLOOKUP($A23,'Data shares'!$C:$FA,154)*100</f>
        <v>65.66</v>
      </c>
      <c r="F23" s="173">
        <f>C23/B23</f>
        <v>0.65066445026416853</v>
      </c>
    </row>
    <row r="24" spans="1:6" x14ac:dyDescent="0.25">
      <c r="A24" s="99" t="s">
        <v>173</v>
      </c>
      <c r="B24" s="49">
        <v>331596880</v>
      </c>
      <c r="C24" s="49">
        <v>93503125</v>
      </c>
      <c r="D24" s="49">
        <v>63619746.854293697</v>
      </c>
      <c r="E24" s="50">
        <f>VLOOKUP($A24,'Data shares'!$C:$FA,154)*100</f>
        <v>28.720000000000002</v>
      </c>
      <c r="F24" s="173">
        <f>C24/B24</f>
        <v>0.28197830148462194</v>
      </c>
    </row>
    <row r="25" spans="1:6" x14ac:dyDescent="0.25">
      <c r="A25" s="99" t="s">
        <v>174</v>
      </c>
      <c r="B25" s="49">
        <v>12553818</v>
      </c>
      <c r="C25" s="49">
        <v>5404800</v>
      </c>
      <c r="D25" s="49">
        <v>2387402.7754830001</v>
      </c>
      <c r="E25" s="50">
        <f>VLOOKUP($A25,'Data shares'!$C:$FA,154)*100</f>
        <v>43.71</v>
      </c>
      <c r="F25" s="173">
        <f>C25/B25</f>
        <v>0.43053037729239024</v>
      </c>
    </row>
    <row r="26" spans="1:6" x14ac:dyDescent="0.25">
      <c r="A26" s="99" t="s">
        <v>176</v>
      </c>
      <c r="B26" s="49">
        <v>65784745</v>
      </c>
      <c r="C26" s="49">
        <v>18083250</v>
      </c>
      <c r="D26" s="49">
        <v>11095212.900599999</v>
      </c>
      <c r="E26" s="50">
        <f>VLOOKUP($A26,'Data shares'!$C:$FA,154)*100</f>
        <v>27.79</v>
      </c>
      <c r="F26" s="173">
        <f>C26/B26</f>
        <v>0.27488515764559096</v>
      </c>
    </row>
    <row r="27" spans="1:6" x14ac:dyDescent="0.25">
      <c r="A27" s="99" t="s">
        <v>689</v>
      </c>
      <c r="B27" s="49">
        <v>5401993</v>
      </c>
      <c r="C27" s="49">
        <v>424150</v>
      </c>
      <c r="D27" s="49">
        <v>282351.24049350002</v>
      </c>
      <c r="E27" s="50">
        <f>VLOOKUP($A27,'Data shares'!$C:$FA,154)*100</f>
        <v>7.89</v>
      </c>
      <c r="F27" s="173">
        <f>C27/B27</f>
        <v>7.851731759000799E-2</v>
      </c>
    </row>
    <row r="28" spans="1:6" x14ac:dyDescent="0.25">
      <c r="A28" s="99" t="s">
        <v>177</v>
      </c>
      <c r="B28" s="49">
        <v>387962395</v>
      </c>
      <c r="C28" s="49">
        <v>108146250</v>
      </c>
      <c r="D28" s="49">
        <v>72572955.520290002</v>
      </c>
      <c r="E28" s="50">
        <f>VLOOKUP($A28,'Data shares'!$C:$FA,154)*100</f>
        <v>28.349999999999998</v>
      </c>
      <c r="F28" s="173">
        <f>C28/B28</f>
        <v>0.27875446536512899</v>
      </c>
    </row>
    <row r="29" spans="1:6" x14ac:dyDescent="0.25">
      <c r="A29" s="99" t="s">
        <v>179</v>
      </c>
      <c r="B29" s="49">
        <v>145616308</v>
      </c>
      <c r="C29" s="49">
        <v>134737200</v>
      </c>
      <c r="D29" s="49">
        <v>83392652.705183998</v>
      </c>
      <c r="E29" s="50">
        <f>VLOOKUP($A29,'Data shares'!$C:$FA,154)*100</f>
        <v>93.06</v>
      </c>
      <c r="F29" s="173">
        <f>C29/B29</f>
        <v>0.92528921966624778</v>
      </c>
    </row>
    <row r="30" spans="1:6" x14ac:dyDescent="0.25">
      <c r="A30" s="99" t="s">
        <v>180</v>
      </c>
      <c r="B30" s="49">
        <v>279476623</v>
      </c>
      <c r="C30" s="49">
        <v>181657125</v>
      </c>
      <c r="D30" s="49">
        <v>99814139.777780995</v>
      </c>
      <c r="E30" s="50">
        <f>VLOOKUP($A30,'Data shares'!$C:$FA,154)*100</f>
        <v>65.83</v>
      </c>
      <c r="F30" s="173">
        <f>C30/B30</f>
        <v>0.64999041082588149</v>
      </c>
    </row>
    <row r="31" spans="1:6" x14ac:dyDescent="0.25">
      <c r="A31" s="99" t="s">
        <v>601</v>
      </c>
      <c r="B31" s="49">
        <v>181770921</v>
      </c>
      <c r="C31" s="49">
        <v>103194000</v>
      </c>
      <c r="D31" s="49">
        <v>53859810.769075997</v>
      </c>
      <c r="E31" s="50">
        <f>VLOOKUP($A31,'Data shares'!$C:$FA,154)*100</f>
        <v>57.489999999999995</v>
      </c>
      <c r="F31" s="173">
        <f>C31/B31</f>
        <v>0.56771456860253244</v>
      </c>
    </row>
    <row r="32" spans="1:6" x14ac:dyDescent="0.25">
      <c r="A32" s="99" t="s">
        <v>669</v>
      </c>
      <c r="B32" s="49">
        <v>13786716</v>
      </c>
      <c r="C32" s="49">
        <v>9668400</v>
      </c>
      <c r="D32" s="49">
        <v>2954766.9826079998</v>
      </c>
      <c r="E32" s="50"/>
      <c r="F32" s="173">
        <f>C32/B32</f>
        <v>0.70128375749525851</v>
      </c>
    </row>
    <row r="33" spans="1:6" x14ac:dyDescent="0.25">
      <c r="A33" s="99" t="s">
        <v>185</v>
      </c>
      <c r="B33" s="49">
        <v>535778534</v>
      </c>
      <c r="C33" s="49">
        <v>176070150</v>
      </c>
      <c r="D33" s="49">
        <v>99528862.817370698</v>
      </c>
      <c r="E33" s="50"/>
      <c r="F33" s="173">
        <f>C33/B33</f>
        <v>0.32862486797576701</v>
      </c>
    </row>
    <row r="34" spans="1:6" x14ac:dyDescent="0.25">
      <c r="A34" s="99" t="s">
        <v>187</v>
      </c>
      <c r="B34" s="49">
        <v>40107751</v>
      </c>
      <c r="C34" s="49">
        <v>12949500</v>
      </c>
      <c r="D34" s="49">
        <v>7753447.5444449997</v>
      </c>
      <c r="E34" s="50">
        <f>VLOOKUP($A34,'Data shares'!$C:$FA,154)*100</f>
        <v>33.19</v>
      </c>
      <c r="F34" s="173">
        <f>C34/B34</f>
        <v>0.32286776688126939</v>
      </c>
    </row>
    <row r="35" spans="1:6" x14ac:dyDescent="0.25">
      <c r="A35" s="99" t="s">
        <v>189</v>
      </c>
      <c r="B35" s="49">
        <v>342859930</v>
      </c>
      <c r="C35" s="49">
        <v>81517125</v>
      </c>
      <c r="D35" s="49">
        <v>60429632.8746332</v>
      </c>
      <c r="E35" s="50">
        <f>VLOOKUP($A35,'Data shares'!$C:$FA,154)*100</f>
        <v>24.13</v>
      </c>
      <c r="F35" s="173">
        <f>C35/B35</f>
        <v>0.23775634848901708</v>
      </c>
    </row>
    <row r="36" spans="1:6" x14ac:dyDescent="0.25">
      <c r="A36" s="99" t="s">
        <v>190</v>
      </c>
      <c r="B36" s="49">
        <v>192361942</v>
      </c>
      <c r="C36" s="49">
        <v>178691625</v>
      </c>
      <c r="D36" s="49">
        <v>84061859.7053812</v>
      </c>
      <c r="E36" s="50">
        <f>VLOOKUP($A36,'Data shares'!$C:$FA,154)*100</f>
        <v>94.78</v>
      </c>
      <c r="F36" s="173">
        <f>C36/B36</f>
        <v>0.92893439909231112</v>
      </c>
    </row>
    <row r="37" spans="1:6" x14ac:dyDescent="0.25">
      <c r="A37" s="99" t="s">
        <v>191</v>
      </c>
      <c r="B37" s="49">
        <v>108004143</v>
      </c>
      <c r="C37" s="49">
        <v>75272500</v>
      </c>
      <c r="D37" s="49">
        <v>33906640.298749998</v>
      </c>
      <c r="E37" s="50">
        <f>VLOOKUP($A37,'Data shares'!$C:$FA,154)*100</f>
        <v>70.989999999999995</v>
      </c>
      <c r="F37" s="173">
        <f>C37/B37</f>
        <v>0.69694085716693299</v>
      </c>
    </row>
    <row r="38" spans="1:6" x14ac:dyDescent="0.25">
      <c r="A38" s="99" t="s">
        <v>677</v>
      </c>
      <c r="B38" s="49">
        <v>15745076</v>
      </c>
      <c r="C38" s="49">
        <v>5861375</v>
      </c>
      <c r="D38" s="49">
        <v>2040440.5597875</v>
      </c>
      <c r="E38" s="50">
        <f>VLOOKUP($A38,'Data shares'!$C:$FA,154)*100</f>
        <v>38.659999999999997</v>
      </c>
      <c r="F38" s="173">
        <f>C38/B38</f>
        <v>0.37226717737024578</v>
      </c>
    </row>
    <row r="39" spans="1:6" x14ac:dyDescent="0.25">
      <c r="A39" s="99" t="s">
        <v>192</v>
      </c>
      <c r="B39" s="49">
        <v>868841</v>
      </c>
      <c r="C39" s="49">
        <v>738775</v>
      </c>
      <c r="D39" s="49">
        <v>254515.38084825</v>
      </c>
      <c r="E39" s="50">
        <f>VLOOKUP($A39,'Data shares'!$C:$FA,154)*100</f>
        <v>86.66</v>
      </c>
      <c r="F39" s="173">
        <f>C39/B39</f>
        <v>0.85029942187350738</v>
      </c>
    </row>
    <row r="40" spans="1:6" x14ac:dyDescent="0.25">
      <c r="A40" s="99" t="s">
        <v>194</v>
      </c>
      <c r="B40" s="49">
        <v>306020745</v>
      </c>
      <c r="C40" s="49">
        <v>95945500</v>
      </c>
      <c r="D40" s="49">
        <v>53095734.058801502</v>
      </c>
      <c r="E40" s="50">
        <f>VLOOKUP($A40,'Data shares'!$C:$FA,154)*100</f>
        <v>31.879999999999995</v>
      </c>
      <c r="F40" s="173">
        <f>C40/B40</f>
        <v>0.31352613039354571</v>
      </c>
    </row>
    <row r="41" spans="1:6" x14ac:dyDescent="0.25">
      <c r="A41" s="99" t="s">
        <v>195</v>
      </c>
      <c r="B41" s="49">
        <v>14553559</v>
      </c>
      <c r="C41" s="49">
        <v>3915750</v>
      </c>
      <c r="D41" s="49">
        <v>2798369.0092449998</v>
      </c>
      <c r="E41" s="50">
        <f>VLOOKUP($A41,'Data shares'!$C:$FA,154)*100</f>
        <v>27.229999999999997</v>
      </c>
      <c r="F41" s="173">
        <f>C41/B41</f>
        <v>0.26905789848380041</v>
      </c>
    </row>
    <row r="42" spans="1:6" x14ac:dyDescent="0.25">
      <c r="A42" s="99" t="s">
        <v>583</v>
      </c>
      <c r="B42" s="49">
        <v>61182611</v>
      </c>
      <c r="C42" s="49">
        <v>25545750</v>
      </c>
      <c r="D42" s="49">
        <v>9691632.5410949998</v>
      </c>
      <c r="E42" s="50">
        <f>VLOOKUP($A42,'Data shares'!$C:$FA,154)*100</f>
        <v>44.14</v>
      </c>
      <c r="F42" s="173">
        <f>C42/B42</f>
        <v>0.41753285095989118</v>
      </c>
    </row>
    <row r="43" spans="1:6" x14ac:dyDescent="0.25">
      <c r="A43" s="99" t="s">
        <v>610</v>
      </c>
      <c r="B43" s="49">
        <v>37147595</v>
      </c>
      <c r="C43" s="49">
        <v>12804000</v>
      </c>
      <c r="D43" s="49">
        <v>6118824.1828725003</v>
      </c>
      <c r="E43" s="50"/>
      <c r="F43" s="173">
        <f>C43/B43</f>
        <v>0.34467911045116112</v>
      </c>
    </row>
    <row r="44" spans="1:6" x14ac:dyDescent="0.25">
      <c r="A44" s="99" t="s">
        <v>196</v>
      </c>
      <c r="B44" s="49">
        <v>504315430</v>
      </c>
      <c r="C44" s="49">
        <v>337513500</v>
      </c>
      <c r="D44" s="49">
        <v>187659273.06549001</v>
      </c>
      <c r="E44" s="50">
        <f>VLOOKUP($A44,'Data shares'!$C:$FA,154)*100</f>
        <v>68.13</v>
      </c>
      <c r="F44" s="173">
        <f>C44/B44</f>
        <v>0.66925079012553712</v>
      </c>
    </row>
    <row r="45" spans="1:6" x14ac:dyDescent="0.25">
      <c r="A45" s="99" t="s">
        <v>596</v>
      </c>
      <c r="B45" s="49">
        <v>26647500</v>
      </c>
      <c r="C45" s="49">
        <v>19575225</v>
      </c>
      <c r="D45" s="49">
        <v>7176376.9893727498</v>
      </c>
      <c r="E45" s="50">
        <f>VLOOKUP($A45,'Data shares'!$C:$FA,154)*100</f>
        <v>75.97</v>
      </c>
      <c r="F45" s="173">
        <f>C45/B45</f>
        <v>0.73459893048128344</v>
      </c>
    </row>
    <row r="46" spans="1:6" x14ac:dyDescent="0.25">
      <c r="A46" s="99" t="s">
        <v>611</v>
      </c>
      <c r="B46" s="49">
        <v>103080397</v>
      </c>
      <c r="C46" s="49">
        <v>26458800</v>
      </c>
      <c r="D46" s="49">
        <v>18999007.752261501</v>
      </c>
      <c r="E46" s="50">
        <f>VLOOKUP($A46,'Data shares'!$C:$FA,154)*100</f>
        <v>25.88</v>
      </c>
      <c r="F46" s="173">
        <f>C46/B46</f>
        <v>0.25668120001516875</v>
      </c>
    </row>
    <row r="47" spans="1:6" x14ac:dyDescent="0.25">
      <c r="A47" s="99" t="s">
        <v>198</v>
      </c>
      <c r="B47" s="49">
        <v>63646863</v>
      </c>
      <c r="C47" s="49">
        <v>28395625</v>
      </c>
      <c r="D47" s="49">
        <v>19921424.911575001</v>
      </c>
      <c r="E47" s="50">
        <f>VLOOKUP($A47,'Data shares'!$C:$FA,154)*100</f>
        <v>45.11</v>
      </c>
      <c r="F47" s="173">
        <f>C47/B47</f>
        <v>0.4461433550935574</v>
      </c>
    </row>
    <row r="48" spans="1:6" x14ac:dyDescent="0.25">
      <c r="A48" s="99" t="s">
        <v>199</v>
      </c>
      <c r="B48" s="49">
        <v>76385219</v>
      </c>
      <c r="C48" s="49">
        <v>23524500</v>
      </c>
      <c r="D48" s="49">
        <v>15814191.3600337</v>
      </c>
      <c r="E48" s="50">
        <f>VLOOKUP($A48,'Data shares'!$C:$FA,154)*100</f>
        <v>31.16</v>
      </c>
      <c r="F48" s="173">
        <f>C48/B48</f>
        <v>0.30797188655045943</v>
      </c>
    </row>
    <row r="49" spans="1:6" x14ac:dyDescent="0.25">
      <c r="A49" s="99" t="s">
        <v>200</v>
      </c>
      <c r="B49" s="49">
        <v>320531323</v>
      </c>
      <c r="C49" s="49">
        <v>140815800</v>
      </c>
      <c r="D49" s="49">
        <v>64575754.360460997</v>
      </c>
      <c r="E49" s="50">
        <f>VLOOKUP($A49,'Data shares'!$C:$FA,154)*100</f>
        <v>44.55</v>
      </c>
      <c r="F49" s="173">
        <f>C49/B49</f>
        <v>0.43931993504422656</v>
      </c>
    </row>
    <row r="50" spans="1:6" x14ac:dyDescent="0.25">
      <c r="A50" s="99" t="s">
        <v>696</v>
      </c>
      <c r="B50" s="49">
        <v>12661431</v>
      </c>
      <c r="C50" s="49">
        <v>3557200</v>
      </c>
      <c r="D50" s="49">
        <v>1473257.510488</v>
      </c>
      <c r="E50" s="50">
        <f>VLOOKUP($A50,'Data shares'!$C:$FA,154)*100</f>
        <v>28.57</v>
      </c>
      <c r="F50" s="173">
        <f>C50/B50</f>
        <v>0.28094770646382705</v>
      </c>
    </row>
    <row r="51" spans="1:6" x14ac:dyDescent="0.25">
      <c r="A51" s="99" t="s">
        <v>470</v>
      </c>
      <c r="B51" s="49">
        <v>50256271</v>
      </c>
      <c r="C51" s="49">
        <v>29983875</v>
      </c>
      <c r="D51" s="49">
        <v>18255919.572618701</v>
      </c>
      <c r="E51" s="50">
        <f>VLOOKUP($A51,'Data shares'!$C:$FA,154)*100</f>
        <v>61.429999999999993</v>
      </c>
      <c r="F51" s="173">
        <f>C51/B51</f>
        <v>0.59661957410250355</v>
      </c>
    </row>
    <row r="52" spans="1:6" x14ac:dyDescent="0.25">
      <c r="A52" s="99" t="s">
        <v>201</v>
      </c>
      <c r="B52" s="49">
        <v>19054573</v>
      </c>
      <c r="C52" s="49">
        <v>10379700</v>
      </c>
      <c r="D52" s="49">
        <v>5514230.1275392501</v>
      </c>
      <c r="E52" s="50">
        <f>VLOOKUP($A52,'Data shares'!$C:$FA,154)*100</f>
        <v>55.110000000000007</v>
      </c>
      <c r="F52" s="173">
        <f>C52/B52</f>
        <v>0.54473537664685534</v>
      </c>
    </row>
    <row r="53" spans="1:6" x14ac:dyDescent="0.25">
      <c r="A53" s="99" t="s">
        <v>202</v>
      </c>
      <c r="B53" s="49">
        <v>51639257</v>
      </c>
      <c r="C53" s="49">
        <v>36733750</v>
      </c>
      <c r="D53" s="49">
        <v>22988464.3429875</v>
      </c>
      <c r="E53" s="50">
        <f>VLOOKUP($A53,'Data shares'!$C:$FA,154)*100</f>
        <v>71.67</v>
      </c>
      <c r="F53" s="173">
        <f>C53/B53</f>
        <v>0.71135318620095556</v>
      </c>
    </row>
    <row r="54" spans="1:6" x14ac:dyDescent="0.25">
      <c r="A54" s="99" t="s">
        <v>523</v>
      </c>
      <c r="B54" s="49">
        <v>96587231</v>
      </c>
      <c r="C54" s="49">
        <v>65199600</v>
      </c>
      <c r="D54" s="49">
        <v>41159058.018533997</v>
      </c>
      <c r="E54" s="50">
        <f>VLOOKUP($A54,'Data shares'!$C:$FA,154)*100</f>
        <v>67.92</v>
      </c>
      <c r="F54" s="173">
        <f>C54/B54</f>
        <v>0.6750333281632227</v>
      </c>
    </row>
    <row r="55" spans="1:6" x14ac:dyDescent="0.25">
      <c r="A55" s="99" t="s">
        <v>203</v>
      </c>
      <c r="B55" s="49">
        <v>20374200</v>
      </c>
      <c r="C55" s="49">
        <v>6127800</v>
      </c>
      <c r="D55" s="49">
        <v>3967922.3286600001</v>
      </c>
      <c r="E55" s="50"/>
      <c r="F55" s="173">
        <f>C55/B55</f>
        <v>0.30076272933415793</v>
      </c>
    </row>
    <row r="56" spans="1:6" x14ac:dyDescent="0.25">
      <c r="A56" s="99" t="s">
        <v>204</v>
      </c>
      <c r="B56" s="49">
        <v>76827821</v>
      </c>
      <c r="C56" s="49">
        <v>50370000</v>
      </c>
      <c r="D56" s="49">
        <v>28489576.71655</v>
      </c>
      <c r="E56" s="50">
        <f>VLOOKUP($A56,'Data shares'!$C:$FA,154)*100</f>
        <v>65.94</v>
      </c>
      <c r="F56" s="173">
        <f>C56/B56</f>
        <v>0.65562187426869756</v>
      </c>
    </row>
    <row r="57" spans="1:6" x14ac:dyDescent="0.25">
      <c r="A57" s="99" t="s">
        <v>524</v>
      </c>
      <c r="B57" s="49">
        <v>12425160</v>
      </c>
      <c r="C57" s="49">
        <v>4565275</v>
      </c>
      <c r="D57" s="49">
        <v>2476946.4679147499</v>
      </c>
      <c r="E57" s="50">
        <f>VLOOKUP($A57,'Data shares'!$C:$FA,154)*100</f>
        <v>36.99</v>
      </c>
      <c r="F57" s="173">
        <f>C57/B57</f>
        <v>0.3674218279684125</v>
      </c>
    </row>
    <row r="58" spans="1:6" x14ac:dyDescent="0.25">
      <c r="A58" s="99" t="s">
        <v>599</v>
      </c>
      <c r="B58" s="49">
        <v>83072620</v>
      </c>
      <c r="C58" s="49">
        <v>51414350</v>
      </c>
      <c r="D58" s="49">
        <v>32895031.635049999</v>
      </c>
      <c r="E58" s="50">
        <f>VLOOKUP($A58,'Data shares'!$C:$FA,154)*100</f>
        <v>62.33</v>
      </c>
      <c r="F58" s="173">
        <f>C58/B58</f>
        <v>0.6189084923528354</v>
      </c>
    </row>
    <row r="59" spans="1:6" x14ac:dyDescent="0.25">
      <c r="A59" s="99" t="s">
        <v>205</v>
      </c>
      <c r="B59" s="49">
        <v>15815194</v>
      </c>
      <c r="C59" s="49">
        <v>4176700</v>
      </c>
      <c r="D59" s="49">
        <v>2636726.7014310001</v>
      </c>
      <c r="E59" s="50">
        <f>VLOOKUP($A59,'Data shares'!$C:$FA,154)*100</f>
        <v>26.56</v>
      </c>
      <c r="F59" s="173">
        <f>C59/B59</f>
        <v>0.26409413630967787</v>
      </c>
    </row>
    <row r="60" spans="1:6" x14ac:dyDescent="0.25">
      <c r="A60" s="99" t="s">
        <v>512</v>
      </c>
      <c r="B60" s="49">
        <v>6478285</v>
      </c>
      <c r="C60" s="49">
        <v>6400950</v>
      </c>
      <c r="D60" s="49">
        <v>2162127.9146165</v>
      </c>
      <c r="E60" s="50">
        <f>VLOOKUP($A60,'Data shares'!$C:$FA,154)*100</f>
        <v>104.19</v>
      </c>
      <c r="F60" s="173">
        <f>C60/B60</f>
        <v>0.98806242701579194</v>
      </c>
    </row>
    <row r="61" spans="1:6" x14ac:dyDescent="0.25">
      <c r="A61" s="99" t="s">
        <v>207</v>
      </c>
      <c r="B61" s="49">
        <v>96251298</v>
      </c>
      <c r="C61" s="49">
        <v>72416025</v>
      </c>
      <c r="D61" s="49">
        <v>48028592.222399198</v>
      </c>
      <c r="E61" s="50">
        <f>VLOOKUP($A61,'Data shares'!$C:$FA,154)*100</f>
        <v>75.92</v>
      </c>
      <c r="F61" s="173">
        <f>C61/B61</f>
        <v>0.75236413954646097</v>
      </c>
    </row>
    <row r="62" spans="1:6" x14ac:dyDescent="0.25">
      <c r="A62" s="99" t="s">
        <v>582</v>
      </c>
      <c r="B62" s="49">
        <v>16494391</v>
      </c>
      <c r="C62" s="49">
        <v>7683600</v>
      </c>
      <c r="D62" s="49">
        <v>3819618.4463594998</v>
      </c>
      <c r="E62" s="50">
        <f>VLOOKUP($A62,'Data shares'!$C:$FA,154)*100</f>
        <v>47.67</v>
      </c>
      <c r="F62" s="173">
        <f>C62/B62</f>
        <v>0.46583108160828735</v>
      </c>
    </row>
    <row r="63" spans="1:6" x14ac:dyDescent="0.25">
      <c r="A63" s="99" t="s">
        <v>208</v>
      </c>
      <c r="B63" s="49">
        <v>61026255</v>
      </c>
      <c r="C63" s="49">
        <v>25891250</v>
      </c>
      <c r="D63" s="49">
        <v>13030066.786274999</v>
      </c>
      <c r="E63" s="50">
        <f>VLOOKUP($A63,'Data shares'!$C:$FA,154)*100</f>
        <v>42.99</v>
      </c>
      <c r="F63" s="173">
        <f>C63/B63</f>
        <v>0.42426411386377877</v>
      </c>
    </row>
    <row r="64" spans="1:6" x14ac:dyDescent="0.25">
      <c r="A64" s="99" t="s">
        <v>209</v>
      </c>
      <c r="B64" s="49">
        <v>20960143</v>
      </c>
      <c r="C64" s="49">
        <v>8086600</v>
      </c>
      <c r="D64" s="49">
        <v>4279283.0137149999</v>
      </c>
      <c r="E64" s="50">
        <f>VLOOKUP($A64,'Data shares'!$C:$FA,154)*100</f>
        <v>39.1</v>
      </c>
      <c r="F64" s="173">
        <f>C64/B64</f>
        <v>0.38580843651686919</v>
      </c>
    </row>
    <row r="65" spans="1:6" x14ac:dyDescent="0.25">
      <c r="A65" s="99" t="s">
        <v>665</v>
      </c>
      <c r="B65" s="49">
        <v>1366821859</v>
      </c>
      <c r="C65" s="49">
        <v>306667925</v>
      </c>
      <c r="D65" s="49">
        <v>189778570.622033</v>
      </c>
      <c r="E65" s="50">
        <f>VLOOKUP($A65,'Data shares'!$C:$FA,154)*100</f>
        <v>22.720000000000002</v>
      </c>
      <c r="F65" s="173">
        <f>C65/B65</f>
        <v>0.22436568670650739</v>
      </c>
    </row>
    <row r="66" spans="1:6" x14ac:dyDescent="0.25">
      <c r="A66" s="99" t="s">
        <v>211</v>
      </c>
      <c r="B66" s="49">
        <v>50211048</v>
      </c>
      <c r="C66" s="49">
        <v>53308800</v>
      </c>
      <c r="D66" s="49">
        <v>21495833.254854001</v>
      </c>
      <c r="E66" s="50">
        <f>VLOOKUP($A66,'Data shares'!$C:$FA,154)*100</f>
        <v>108.2</v>
      </c>
      <c r="F66" s="173">
        <f>C66/B66</f>
        <v>1.0616946294369318</v>
      </c>
    </row>
    <row r="67" spans="1:6" x14ac:dyDescent="0.25">
      <c r="A67" s="99" t="s">
        <v>212</v>
      </c>
      <c r="B67" s="49">
        <v>359450597</v>
      </c>
      <c r="C67" s="49">
        <v>144685000</v>
      </c>
      <c r="D67" s="49">
        <v>78957747.307549998</v>
      </c>
      <c r="E67" s="50">
        <f>VLOOKUP($A67,'Data shares'!$C:$FA,154)*100</f>
        <v>41.099999999999994</v>
      </c>
      <c r="F67" s="173">
        <f>C67/B67</f>
        <v>0.40251706690029504</v>
      </c>
    </row>
    <row r="68" spans="1:6" x14ac:dyDescent="0.25">
      <c r="A68" s="99" t="s">
        <v>700</v>
      </c>
      <c r="B68" s="49">
        <v>736885</v>
      </c>
      <c r="C68" s="49">
        <v>224250</v>
      </c>
      <c r="D68" s="49">
        <v>97042.106273750003</v>
      </c>
      <c r="E68" s="50">
        <f>VLOOKUP($A68,'Data shares'!$C:$FA,154)*100</f>
        <v>32.090000000000003</v>
      </c>
      <c r="F68" s="173">
        <f>C68/B68</f>
        <v>0.30432156985146935</v>
      </c>
    </row>
    <row r="69" spans="1:6" x14ac:dyDescent="0.25">
      <c r="A69" s="99" t="s">
        <v>675</v>
      </c>
      <c r="B69" s="49">
        <v>70894446</v>
      </c>
      <c r="C69" s="49">
        <v>14913325</v>
      </c>
      <c r="D69" s="49">
        <v>10916301.127922</v>
      </c>
      <c r="E69" s="50">
        <f>VLOOKUP($A69,'Data shares'!$C:$FA,154)*100</f>
        <v>21.43</v>
      </c>
      <c r="F69" s="173">
        <f>C69/B69</f>
        <v>0.21035956751816637</v>
      </c>
    </row>
    <row r="70" spans="1:6" x14ac:dyDescent="0.25">
      <c r="A70" s="99" t="s">
        <v>213</v>
      </c>
      <c r="B70" s="49">
        <v>471255857</v>
      </c>
      <c r="C70" s="49">
        <v>138130650</v>
      </c>
      <c r="D70" s="49">
        <v>74802507.165823504</v>
      </c>
      <c r="E70" s="50">
        <f>VLOOKUP($A70,'Data shares'!$C:$FA,154)*100</f>
        <v>29.48</v>
      </c>
      <c r="F70" s="173">
        <f>C70/B70</f>
        <v>0.29311179468269188</v>
      </c>
    </row>
    <row r="71" spans="1:6" x14ac:dyDescent="0.25">
      <c r="A71" s="99" t="s">
        <v>214</v>
      </c>
      <c r="B71" s="49">
        <v>15844372</v>
      </c>
      <c r="C71" s="49">
        <v>13753875</v>
      </c>
      <c r="D71" s="49">
        <v>10300695.5510625</v>
      </c>
      <c r="E71" s="50">
        <f>VLOOKUP($A71,'Data shares'!$C:$FA,154)*100</f>
        <v>87.339999999999989</v>
      </c>
      <c r="F71" s="173">
        <f>C71/B71</f>
        <v>0.86806059590118179</v>
      </c>
    </row>
    <row r="72" spans="1:6" x14ac:dyDescent="0.25">
      <c r="A72" s="99" t="s">
        <v>630</v>
      </c>
      <c r="B72" s="49">
        <v>534704421</v>
      </c>
      <c r="C72" s="49">
        <v>200817225</v>
      </c>
      <c r="D72" s="49">
        <v>124314790.530633</v>
      </c>
      <c r="E72" s="50">
        <f>VLOOKUP($A72,'Data shares'!$C:$FA,154)*100</f>
        <v>37.909999999999997</v>
      </c>
      <c r="F72" s="173">
        <f>C72/B72</f>
        <v>0.37556679375201951</v>
      </c>
    </row>
    <row r="73" spans="1:6" x14ac:dyDescent="0.25">
      <c r="A73" s="99" t="s">
        <v>699</v>
      </c>
      <c r="B73" s="49">
        <v>6329596</v>
      </c>
      <c r="C73" s="49">
        <v>2553925</v>
      </c>
      <c r="D73" s="49">
        <v>1016869.90209475</v>
      </c>
      <c r="E73" s="50">
        <f>VLOOKUP($A73,'Data shares'!$C:$FA,154)*100</f>
        <v>41.3</v>
      </c>
      <c r="F73" s="173">
        <f>C73/B73</f>
        <v>0.40348941701808455</v>
      </c>
    </row>
    <row r="74" spans="1:6" x14ac:dyDescent="0.25">
      <c r="A74" s="99" t="s">
        <v>217</v>
      </c>
      <c r="B74" s="49">
        <v>53250524</v>
      </c>
      <c r="C74" s="49">
        <v>15121500</v>
      </c>
      <c r="D74" s="49">
        <v>12119628.258555001</v>
      </c>
      <c r="E74" s="50">
        <f>VLOOKUP($A74,'Data shares'!$C:$FA,154)*100</f>
        <v>28.599999999999998</v>
      </c>
      <c r="F74" s="173">
        <f>C74/B74</f>
        <v>0.28396903662394007</v>
      </c>
    </row>
    <row r="75" spans="1:6" x14ac:dyDescent="0.25">
      <c r="A75" s="99" t="s">
        <v>218</v>
      </c>
      <c r="B75" s="49">
        <v>23870110</v>
      </c>
      <c r="C75" s="49">
        <v>13573450</v>
      </c>
      <c r="D75" s="49">
        <v>8028794.8597312504</v>
      </c>
      <c r="E75" s="50">
        <f>VLOOKUP($A75,'Data shares'!$C:$FA,154)*100</f>
        <v>57.31</v>
      </c>
      <c r="F75" s="173">
        <f>C75/B75</f>
        <v>0.56863793254408967</v>
      </c>
    </row>
    <row r="76" spans="1:6" x14ac:dyDescent="0.25">
      <c r="A76" s="99" t="s">
        <v>219</v>
      </c>
      <c r="B76" s="49">
        <v>38401443</v>
      </c>
      <c r="C76" s="49">
        <v>16976000</v>
      </c>
      <c r="D76" s="49">
        <v>11974626.350707499</v>
      </c>
      <c r="E76" s="50">
        <f>VLOOKUP($A76,'Data shares'!$C:$FA,154)*100</f>
        <v>44.49</v>
      </c>
      <c r="F76" s="173">
        <f>C76/B76</f>
        <v>0.44206672129482216</v>
      </c>
    </row>
    <row r="77" spans="1:6" x14ac:dyDescent="0.25">
      <c r="A77" s="99" t="s">
        <v>513</v>
      </c>
      <c r="B77" s="49">
        <v>28450886</v>
      </c>
      <c r="C77" s="49">
        <v>14214000</v>
      </c>
      <c r="D77" s="49">
        <v>6948898.4524724996</v>
      </c>
      <c r="E77" s="50">
        <f>VLOOKUP($A77,'Data shares'!$C:$FA,154)*100</f>
        <v>50.56</v>
      </c>
      <c r="F77" s="173">
        <f>C77/B77</f>
        <v>0.49959779811426613</v>
      </c>
    </row>
    <row r="78" spans="1:6" x14ac:dyDescent="0.25">
      <c r="A78" s="99" t="s">
        <v>220</v>
      </c>
      <c r="B78" s="49">
        <v>29751886</v>
      </c>
      <c r="C78" s="49">
        <v>14173000</v>
      </c>
      <c r="D78" s="49">
        <v>8249261.3627150003</v>
      </c>
      <c r="E78" s="50">
        <f>VLOOKUP($A78,'Data shares'!$C:$FA,154)*100</f>
        <v>48.559999999999995</v>
      </c>
      <c r="F78" s="173">
        <f>C78/B78</f>
        <v>0.47637316168796828</v>
      </c>
    </row>
    <row r="79" spans="1:6" x14ac:dyDescent="0.25">
      <c r="A79" s="99" t="s">
        <v>222</v>
      </c>
      <c r="B79" s="49">
        <v>145140505</v>
      </c>
      <c r="C79" s="49">
        <v>54572700</v>
      </c>
      <c r="D79" s="49">
        <v>35760913.0897725</v>
      </c>
      <c r="E79" s="50">
        <f>VLOOKUP($A79,'Data shares'!$C:$FA,154)*100</f>
        <v>38.519999999999996</v>
      </c>
      <c r="F79" s="173">
        <f>C79/B79</f>
        <v>0.37599910514297852</v>
      </c>
    </row>
    <row r="80" spans="1:6" x14ac:dyDescent="0.25">
      <c r="A80" s="99" t="s">
        <v>475</v>
      </c>
      <c r="B80" s="49">
        <v>30592324</v>
      </c>
      <c r="C80" s="49">
        <v>10399200</v>
      </c>
      <c r="D80" s="49">
        <v>5828203.4057820002</v>
      </c>
      <c r="E80" s="50">
        <f>VLOOKUP($A80,'Data shares'!$C:$FA,154)*100</f>
        <v>35.03</v>
      </c>
      <c r="F80" s="173">
        <f>C80/B80</f>
        <v>0.33992840818500747</v>
      </c>
    </row>
    <row r="81" spans="1:6" x14ac:dyDescent="0.25">
      <c r="A81" s="99" t="s">
        <v>224</v>
      </c>
      <c r="B81" s="49">
        <v>1496665645</v>
      </c>
      <c r="C81" s="49">
        <v>477609550</v>
      </c>
      <c r="D81" s="49">
        <v>319536384.39744401</v>
      </c>
      <c r="E81" s="50"/>
      <c r="F81" s="173">
        <f>C81/B81</f>
        <v>0.31911573008679572</v>
      </c>
    </row>
    <row r="82" spans="1:6" x14ac:dyDescent="0.25">
      <c r="A82" s="99" t="s">
        <v>225</v>
      </c>
      <c r="B82" s="49">
        <v>156090005</v>
      </c>
      <c r="C82" s="49">
        <v>75543600</v>
      </c>
      <c r="D82" s="49">
        <v>45075621.067367002</v>
      </c>
      <c r="E82" s="50">
        <f>VLOOKUP($A82,'Data shares'!$C:$FA,154)*100</f>
        <v>49.220000000000006</v>
      </c>
      <c r="F82" s="173">
        <f>C82/B82</f>
        <v>0.48397461451807883</v>
      </c>
    </row>
    <row r="83" spans="1:6" x14ac:dyDescent="0.25">
      <c r="A83" s="99" t="s">
        <v>226</v>
      </c>
      <c r="B83" s="49">
        <v>19589014</v>
      </c>
      <c r="C83" s="49">
        <v>8103150</v>
      </c>
      <c r="D83" s="49">
        <v>4214927.757429</v>
      </c>
      <c r="E83" s="50">
        <f>VLOOKUP($A83,'Data shares'!$C:$FA,154)*100</f>
        <v>42.33</v>
      </c>
      <c r="F83" s="173">
        <f>C83/B83</f>
        <v>0.41365787987082964</v>
      </c>
    </row>
    <row r="84" spans="1:6" x14ac:dyDescent="0.25">
      <c r="A84" s="99" t="s">
        <v>228</v>
      </c>
      <c r="B84" s="49">
        <v>218611634</v>
      </c>
      <c r="C84" s="49">
        <v>61956300</v>
      </c>
      <c r="D84" s="49">
        <v>37564876.947765999</v>
      </c>
      <c r="E84" s="50">
        <f>VLOOKUP($A84,'Data shares'!$C:$FA,154)*100</f>
        <v>29.189999999999998</v>
      </c>
      <c r="F84" s="173">
        <f>C84/B84</f>
        <v>0.28340806418381193</v>
      </c>
    </row>
    <row r="85" spans="1:6" x14ac:dyDescent="0.25">
      <c r="A85" s="99" t="s">
        <v>229</v>
      </c>
      <c r="B85" s="49">
        <v>143933168</v>
      </c>
      <c r="C85" s="49">
        <v>76626000</v>
      </c>
      <c r="D85" s="49">
        <v>40057277.048732199</v>
      </c>
      <c r="E85" s="50">
        <f>VLOOKUP($A85,'Data shares'!$C:$FA,154)*100</f>
        <v>54.120000000000005</v>
      </c>
      <c r="F85" s="173">
        <f>C85/B85</f>
        <v>0.53237207979747936</v>
      </c>
    </row>
    <row r="86" spans="1:6" x14ac:dyDescent="0.25">
      <c r="A86" s="99" t="s">
        <v>230</v>
      </c>
      <c r="B86" s="49">
        <v>89517840</v>
      </c>
      <c r="C86" s="49">
        <v>29585700</v>
      </c>
      <c r="D86" s="49">
        <v>18623800.701294001</v>
      </c>
      <c r="E86" s="50">
        <f>VLOOKUP($A86,'Data shares'!$C:$FA,154)*100</f>
        <v>33.489999999999995</v>
      </c>
      <c r="F86" s="173">
        <f>C86/B86</f>
        <v>0.33050060189119845</v>
      </c>
    </row>
    <row r="87" spans="1:6" x14ac:dyDescent="0.25">
      <c r="A87" s="99" t="s">
        <v>666</v>
      </c>
      <c r="B87" s="49">
        <v>241870587</v>
      </c>
      <c r="C87" s="49">
        <v>72991625</v>
      </c>
      <c r="D87" s="49">
        <v>32867722.941550002</v>
      </c>
      <c r="E87" s="50">
        <f>VLOOKUP($A87,'Data shares'!$C:$FA,154)*100</f>
        <v>30.680000000000003</v>
      </c>
      <c r="F87" s="173">
        <f>C87/B87</f>
        <v>0.30177966616503066</v>
      </c>
    </row>
    <row r="88" spans="1:6" x14ac:dyDescent="0.25">
      <c r="A88" s="99" t="s">
        <v>607</v>
      </c>
      <c r="B88" s="49">
        <v>75071250</v>
      </c>
      <c r="C88" s="49">
        <v>47907600</v>
      </c>
      <c r="D88" s="49">
        <v>25405333.686382499</v>
      </c>
      <c r="E88" s="50">
        <f>VLOOKUP($A88,'Data shares'!$C:$FA,154)*100</f>
        <v>64.929999999999993</v>
      </c>
      <c r="F88" s="173">
        <f>C88/B88</f>
        <v>0.63816174634097611</v>
      </c>
    </row>
    <row r="89" spans="1:6" x14ac:dyDescent="0.25">
      <c r="A89" s="99" t="s">
        <v>694</v>
      </c>
      <c r="B89" s="49">
        <v>21329205</v>
      </c>
      <c r="C89" s="49">
        <v>9641225</v>
      </c>
      <c r="D89" s="49">
        <v>5899003.1739237504</v>
      </c>
      <c r="E89" s="50">
        <f>VLOOKUP($A89,'Data shares'!$C:$FA,154)*100</f>
        <v>46.44</v>
      </c>
      <c r="F89" s="173">
        <f>C89/B89</f>
        <v>0.45201989478745225</v>
      </c>
    </row>
    <row r="90" spans="1:6" x14ac:dyDescent="0.25">
      <c r="A90" s="99" t="s">
        <v>232</v>
      </c>
      <c r="B90" s="49">
        <v>668616020</v>
      </c>
      <c r="C90" s="49">
        <v>167480600</v>
      </c>
      <c r="D90" s="49">
        <v>115232840.753723</v>
      </c>
      <c r="E90" s="50">
        <f>VLOOKUP($A90,'Data shares'!$C:$FA,154)*100</f>
        <v>25.7</v>
      </c>
      <c r="F90" s="173">
        <f>C90/B90</f>
        <v>0.25048846421597853</v>
      </c>
    </row>
    <row r="91" spans="1:6" x14ac:dyDescent="0.25">
      <c r="A91" s="99" t="s">
        <v>472</v>
      </c>
      <c r="B91" s="49">
        <v>27086521</v>
      </c>
      <c r="C91" s="49">
        <v>8276125</v>
      </c>
      <c r="D91" s="49">
        <v>5428655.6177230002</v>
      </c>
      <c r="E91" s="50">
        <f>VLOOKUP($A91,'Data shares'!$C:$FA,154)*100</f>
        <v>31.019999999999996</v>
      </c>
      <c r="F91" s="173">
        <f>C91/B91</f>
        <v>0.30554403793680257</v>
      </c>
    </row>
    <row r="92" spans="1:6" x14ac:dyDescent="0.25">
      <c r="A92" s="99" t="s">
        <v>233</v>
      </c>
      <c r="B92" s="49">
        <v>58892926</v>
      </c>
      <c r="C92" s="49">
        <v>32190925</v>
      </c>
      <c r="D92" s="49">
        <v>20218256.129653499</v>
      </c>
      <c r="E92" s="50">
        <f>VLOOKUP($A92,'Data shares'!$C:$FA,154)*100</f>
        <v>55.34</v>
      </c>
      <c r="F92" s="173">
        <f>C92/B92</f>
        <v>0.54660087698818016</v>
      </c>
    </row>
    <row r="93" spans="1:6" x14ac:dyDescent="0.25">
      <c r="A93" s="99" t="s">
        <v>234</v>
      </c>
      <c r="B93" s="49">
        <v>12096038468</v>
      </c>
      <c r="C93" s="49">
        <v>8675421075</v>
      </c>
      <c r="D93" s="49">
        <v>5867301609.7995501</v>
      </c>
      <c r="E93" s="50">
        <f>VLOOKUP($A93,'Data shares'!$C:$FA,154)*100</f>
        <v>72.39</v>
      </c>
      <c r="F93" s="173">
        <f>C93/B93</f>
        <v>0.71721176300412537</v>
      </c>
    </row>
    <row r="94" spans="1:6" x14ac:dyDescent="0.25">
      <c r="A94" s="99" t="s">
        <v>235</v>
      </c>
      <c r="B94" s="49">
        <v>1101871266</v>
      </c>
      <c r="C94" s="49">
        <v>644733075</v>
      </c>
      <c r="D94" s="49">
        <v>394352525.67679501</v>
      </c>
      <c r="E94" s="50">
        <f>VLOOKUP($A94,'Data shares'!$C:$FA,154)*100</f>
        <v>59.08</v>
      </c>
      <c r="F94" s="173">
        <f>C94/B94</f>
        <v>0.58512559034278333</v>
      </c>
    </row>
    <row r="95" spans="1:6" x14ac:dyDescent="0.25">
      <c r="A95" s="99" t="s">
        <v>514</v>
      </c>
      <c r="B95" s="49">
        <v>133395043</v>
      </c>
      <c r="C95" s="49">
        <v>136976250</v>
      </c>
      <c r="D95" s="49">
        <v>59409519.867825001</v>
      </c>
      <c r="E95" s="50"/>
      <c r="F95" s="173">
        <f>C95/B95</f>
        <v>1.0268466272768471</v>
      </c>
    </row>
    <row r="96" spans="1:6" x14ac:dyDescent="0.25">
      <c r="A96" s="99" t="s">
        <v>501</v>
      </c>
      <c r="B96" s="49">
        <v>123332004</v>
      </c>
      <c r="C96" s="49">
        <v>33754000</v>
      </c>
      <c r="D96" s="49">
        <v>20967553.986869998</v>
      </c>
      <c r="E96" s="50">
        <f>VLOOKUP($A96,'Data shares'!$C:$FA,154)*100</f>
        <v>27.66</v>
      </c>
      <c r="F96" s="173">
        <f>C96/B96</f>
        <v>0.27368403095112281</v>
      </c>
    </row>
    <row r="97" spans="1:6" x14ac:dyDescent="0.25">
      <c r="A97" s="99" t="s">
        <v>577</v>
      </c>
      <c r="B97" s="49">
        <v>52862157</v>
      </c>
      <c r="C97" s="49">
        <v>18967000</v>
      </c>
      <c r="D97" s="49">
        <v>9747673.6323000006</v>
      </c>
      <c r="E97" s="50">
        <f>VLOOKUP($A97,'Data shares'!$C:$FA,154)*100</f>
        <v>37.1</v>
      </c>
      <c r="F97" s="173">
        <f>C97/B97</f>
        <v>0.35880109848714647</v>
      </c>
    </row>
    <row r="98" spans="1:6" x14ac:dyDescent="0.25">
      <c r="A98" s="99" t="s">
        <v>238</v>
      </c>
      <c r="B98" s="49">
        <v>33878797</v>
      </c>
      <c r="C98" s="49">
        <v>17281050</v>
      </c>
      <c r="D98" s="49">
        <v>7469591.9024595004</v>
      </c>
      <c r="E98" s="50"/>
      <c r="F98" s="173">
        <f>C98/B98</f>
        <v>0.5100845227768861</v>
      </c>
    </row>
    <row r="99" spans="1:6" x14ac:dyDescent="0.25">
      <c r="A99" s="99" t="s">
        <v>239</v>
      </c>
      <c r="B99" s="49">
        <v>93808799</v>
      </c>
      <c r="C99" s="49">
        <v>52140900</v>
      </c>
      <c r="D99" s="49">
        <v>35406913.739952996</v>
      </c>
      <c r="E99" s="50">
        <f>VLOOKUP($A99,'Data shares'!$C:$FA,154)*100</f>
        <v>56.18</v>
      </c>
      <c r="F99" s="173">
        <f>C99/B99</f>
        <v>0.55582099500069282</v>
      </c>
    </row>
    <row r="100" spans="1:6" x14ac:dyDescent="0.25">
      <c r="A100" s="99" t="s">
        <v>473</v>
      </c>
      <c r="B100" s="49">
        <v>193625858</v>
      </c>
      <c r="C100" s="49">
        <v>111589700</v>
      </c>
      <c r="D100" s="49">
        <v>66501998.996197999</v>
      </c>
      <c r="E100" s="50">
        <f>VLOOKUP($A100,'Data shares'!$C:$FA,154)*100</f>
        <v>58.4</v>
      </c>
      <c r="F100" s="173">
        <f>C100/B100</f>
        <v>0.57631610339978456</v>
      </c>
    </row>
    <row r="101" spans="1:6" x14ac:dyDescent="0.25">
      <c r="A101" s="99" t="s">
        <v>240</v>
      </c>
      <c r="B101" s="49">
        <v>475237614</v>
      </c>
      <c r="C101" s="49">
        <v>126740800</v>
      </c>
      <c r="D101" s="49">
        <v>76352317.655816004</v>
      </c>
      <c r="E101" s="50">
        <f>VLOOKUP($A101,'Data shares'!$C:$FA,154)*100</f>
        <v>27.01</v>
      </c>
      <c r="F101" s="173">
        <f>C101/B101</f>
        <v>0.26668932817258023</v>
      </c>
    </row>
    <row r="102" spans="1:6" x14ac:dyDescent="0.25">
      <c r="A102" s="99" t="s">
        <v>667</v>
      </c>
      <c r="B102" s="49">
        <v>144708707</v>
      </c>
      <c r="C102" s="49">
        <v>150221500</v>
      </c>
      <c r="D102" s="49">
        <v>82383302.546294704</v>
      </c>
      <c r="E102" s="50">
        <f>VLOOKUP($A102,'Data shares'!$C:$FA,154)*100</f>
        <v>104.39</v>
      </c>
      <c r="F102" s="173">
        <f>C102/B102</f>
        <v>1.0380957933650807</v>
      </c>
    </row>
    <row r="103" spans="1:6" x14ac:dyDescent="0.25">
      <c r="A103" s="99" t="s">
        <v>241</v>
      </c>
      <c r="B103" s="49">
        <v>684903861</v>
      </c>
      <c r="C103" s="49">
        <v>212077125</v>
      </c>
      <c r="D103" s="49">
        <v>101678034.188201</v>
      </c>
      <c r="E103" s="50">
        <f>VLOOKUP($A103,'Data shares'!$C:$FA,154)*100</f>
        <v>31.31</v>
      </c>
      <c r="F103" s="173">
        <f>C103/B103</f>
        <v>0.30964510068662032</v>
      </c>
    </row>
    <row r="104" spans="1:6" x14ac:dyDescent="0.25">
      <c r="A104" s="99" t="s">
        <v>663</v>
      </c>
      <c r="B104" s="49">
        <v>119011160</v>
      </c>
      <c r="C104" s="49">
        <v>99725700</v>
      </c>
      <c r="D104" s="49">
        <v>35744935.1506695</v>
      </c>
      <c r="E104" s="50">
        <f>VLOOKUP($A104,'Data shares'!$C:$FA,154)*100</f>
        <v>86.240000000000009</v>
      </c>
      <c r="F104" s="173">
        <f>C104/B104</f>
        <v>0.83795250798328491</v>
      </c>
    </row>
    <row r="105" spans="1:6" x14ac:dyDescent="0.25">
      <c r="A105" s="99" t="s">
        <v>591</v>
      </c>
      <c r="B105" s="49">
        <v>267310350</v>
      </c>
      <c r="C105" s="49">
        <v>128099250</v>
      </c>
      <c r="D105" s="49">
        <v>45034733.655452497</v>
      </c>
      <c r="E105" s="50">
        <f>VLOOKUP($A105,'Data shares'!$C:$FA,154)*100</f>
        <v>49.34</v>
      </c>
      <c r="F105" s="173">
        <f>C105/B105</f>
        <v>0.47921545125357101</v>
      </c>
    </row>
    <row r="106" spans="1:6" x14ac:dyDescent="0.25">
      <c r="A106" s="99" t="s">
        <v>242</v>
      </c>
      <c r="B106" s="49">
        <v>1317896781</v>
      </c>
      <c r="C106" s="49">
        <v>331147200</v>
      </c>
      <c r="D106" s="49">
        <v>180038074.464448</v>
      </c>
      <c r="E106" s="50">
        <f>VLOOKUP($A106,'Data shares'!$C:$FA,154)*100</f>
        <v>25.55</v>
      </c>
      <c r="F106" s="173">
        <f>C106/B106</f>
        <v>0.25126945051700522</v>
      </c>
    </row>
    <row r="107" spans="1:6" x14ac:dyDescent="0.25">
      <c r="A107" s="99" t="s">
        <v>243</v>
      </c>
      <c r="B107" s="49">
        <v>45844541</v>
      </c>
      <c r="C107" s="49">
        <v>20235625</v>
      </c>
      <c r="D107" s="49">
        <v>11018537.894843699</v>
      </c>
      <c r="E107" s="50">
        <f>VLOOKUP($A107,'Data shares'!$C:$FA,154)*100</f>
        <v>44.81</v>
      </c>
      <c r="F107" s="173">
        <f>C107/B107</f>
        <v>0.44139661034014932</v>
      </c>
    </row>
    <row r="108" spans="1:6" x14ac:dyDescent="0.25">
      <c r="A108" s="99" t="s">
        <v>569</v>
      </c>
      <c r="B108" s="49">
        <v>490240515</v>
      </c>
      <c r="C108" s="49">
        <v>280787400</v>
      </c>
      <c r="D108" s="49">
        <v>161109968.042184</v>
      </c>
      <c r="E108" s="50">
        <f>VLOOKUP($A108,'Data shares'!$C:$FA,154)*100</f>
        <v>58.230000000000004</v>
      </c>
      <c r="F108" s="173">
        <f>C108/B108</f>
        <v>0.57275437547221086</v>
      </c>
    </row>
    <row r="109" spans="1:6" x14ac:dyDescent="0.25">
      <c r="A109" s="99" t="s">
        <v>579</v>
      </c>
      <c r="B109" s="49">
        <v>75294901</v>
      </c>
      <c r="C109" s="49">
        <v>38385000</v>
      </c>
      <c r="D109" s="49">
        <v>26659495.018610001</v>
      </c>
      <c r="E109" s="50">
        <f>VLOOKUP($A109,'Data shares'!$C:$FA,154)*100</f>
        <v>51.190000000000005</v>
      </c>
      <c r="F109" s="173">
        <f>C109/B109</f>
        <v>0.50979547738564657</v>
      </c>
    </row>
    <row r="110" spans="1:6" x14ac:dyDescent="0.25">
      <c r="A110" s="99" t="s">
        <v>244</v>
      </c>
      <c r="B110" s="49">
        <v>133242960</v>
      </c>
      <c r="C110" s="49">
        <v>60872175</v>
      </c>
      <c r="D110" s="49">
        <v>48581690.550412498</v>
      </c>
      <c r="E110" s="50"/>
      <c r="F110" s="173">
        <f>C110/B110</f>
        <v>0.45685096608481229</v>
      </c>
    </row>
    <row r="111" spans="1:6" x14ac:dyDescent="0.25">
      <c r="A111" s="99" t="s">
        <v>245</v>
      </c>
      <c r="B111" s="49">
        <v>58777851</v>
      </c>
      <c r="C111" s="49">
        <v>74470000</v>
      </c>
      <c r="D111" s="49">
        <v>36226339.40755</v>
      </c>
      <c r="E111" s="50">
        <f>VLOOKUP($A111,'Data shares'!$C:$FA,154)*100</f>
        <v>129.59</v>
      </c>
      <c r="F111" s="173">
        <f>C111/B111</f>
        <v>1.2669738470023342</v>
      </c>
    </row>
    <row r="112" spans="1:6" x14ac:dyDescent="0.25">
      <c r="A112" s="99" t="s">
        <v>581</v>
      </c>
      <c r="B112" s="49">
        <v>57686748</v>
      </c>
      <c r="C112" s="49">
        <v>46998825</v>
      </c>
      <c r="D112" s="49">
        <v>22136139.110740699</v>
      </c>
      <c r="E112" s="50"/>
      <c r="F112" s="173">
        <f>C112/B112</f>
        <v>0.81472481340081782</v>
      </c>
    </row>
    <row r="113" spans="1:6" x14ac:dyDescent="0.25">
      <c r="A113" s="99" t="s">
        <v>674</v>
      </c>
      <c r="B113" s="49">
        <v>4679418</v>
      </c>
      <c r="C113" s="49">
        <v>6012800</v>
      </c>
      <c r="D113" s="49">
        <v>2722757.9627100001</v>
      </c>
      <c r="E113" s="50">
        <f>VLOOKUP($A113,'Data shares'!$C:$FA,154)*100</f>
        <v>131.24</v>
      </c>
      <c r="F113" s="173">
        <f>C113/B113</f>
        <v>1.284946119367836</v>
      </c>
    </row>
    <row r="114" spans="1:6" x14ac:dyDescent="0.25">
      <c r="A114" s="99" t="s">
        <v>609</v>
      </c>
      <c r="B114" s="49">
        <v>9320940</v>
      </c>
      <c r="C114" s="49">
        <v>3371200</v>
      </c>
      <c r="D114" s="49">
        <v>1490174.0462297499</v>
      </c>
      <c r="E114" s="50">
        <f>VLOOKUP($A114,'Data shares'!$C:$FA,154)*100</f>
        <v>37.65</v>
      </c>
      <c r="F114" s="173">
        <f>C114/B114</f>
        <v>0.36168025971629469</v>
      </c>
    </row>
    <row r="115" spans="1:6" x14ac:dyDescent="0.25">
      <c r="A115" s="99" t="s">
        <v>681</v>
      </c>
      <c r="B115" s="49">
        <v>19953342</v>
      </c>
      <c r="C115" s="49">
        <v>7142500</v>
      </c>
      <c r="D115" s="49">
        <v>2617973.7903049998</v>
      </c>
      <c r="E115" s="50">
        <f>VLOOKUP($A115,'Data shares'!$C:$FA,154)*100</f>
        <v>37.049999999999997</v>
      </c>
      <c r="F115" s="173">
        <f>C115/B115</f>
        <v>0.35796008508248894</v>
      </c>
    </row>
    <row r="116" spans="1:6" x14ac:dyDescent="0.25">
      <c r="A116" s="99" t="s">
        <v>246</v>
      </c>
      <c r="B116" s="49">
        <v>882793124</v>
      </c>
      <c r="C116" s="49">
        <v>274252000</v>
      </c>
      <c r="D116" s="49">
        <v>214689339.52711999</v>
      </c>
      <c r="E116" s="50">
        <f>VLOOKUP($A116,'Data shares'!$C:$FA,154)*100</f>
        <v>31.269999999999996</v>
      </c>
      <c r="F116" s="173">
        <f>C116/B116</f>
        <v>0.31066395120676088</v>
      </c>
    </row>
    <row r="117" spans="1:6" x14ac:dyDescent="0.25">
      <c r="A117" s="99" t="s">
        <v>576</v>
      </c>
      <c r="B117" s="49">
        <v>24611073</v>
      </c>
      <c r="C117" s="49">
        <v>12752975</v>
      </c>
      <c r="D117" s="49">
        <v>6276232.9831854999</v>
      </c>
      <c r="E117" s="50">
        <f>VLOOKUP($A117,'Data shares'!$C:$FA,154)*100</f>
        <v>52.31</v>
      </c>
      <c r="F117" s="173">
        <f>C117/B117</f>
        <v>0.51818037352536395</v>
      </c>
    </row>
    <row r="118" spans="1:6" x14ac:dyDescent="0.25">
      <c r="A118" s="99" t="s">
        <v>535</v>
      </c>
      <c r="B118" s="49">
        <v>58713729</v>
      </c>
      <c r="C118" s="49">
        <v>27460950</v>
      </c>
      <c r="D118" s="49">
        <v>15687766.746353</v>
      </c>
      <c r="E118" s="50">
        <f>VLOOKUP($A118,'Data shares'!$C:$FA,154)*100</f>
        <v>47.65</v>
      </c>
      <c r="F118" s="173">
        <f>C118/B118</f>
        <v>0.46770917922791105</v>
      </c>
    </row>
    <row r="119" spans="1:6" x14ac:dyDescent="0.25">
      <c r="A119" s="99" t="s">
        <v>248</v>
      </c>
      <c r="B119" s="49">
        <v>45183075</v>
      </c>
      <c r="C119" s="49">
        <v>43310000</v>
      </c>
      <c r="D119" s="49">
        <v>30692674.092900001</v>
      </c>
      <c r="E119" s="50">
        <f>VLOOKUP($A119,'Data shares'!$C:$FA,154)*100</f>
        <v>96.789999999999992</v>
      </c>
      <c r="F119" s="173">
        <f>C119/B119</f>
        <v>0.95854476482620976</v>
      </c>
    </row>
    <row r="120" spans="1:6" x14ac:dyDescent="0.25">
      <c r="A120" s="99" t="s">
        <v>606</v>
      </c>
      <c r="B120" s="49">
        <v>33206238</v>
      </c>
      <c r="C120" s="49">
        <v>21464100</v>
      </c>
      <c r="D120" s="49">
        <v>8302977.9605780002</v>
      </c>
      <c r="E120" s="50"/>
      <c r="F120" s="173">
        <f>C120/B120</f>
        <v>0.64638758536874907</v>
      </c>
    </row>
    <row r="121" spans="1:6" x14ac:dyDescent="0.25">
      <c r="A121" s="99" t="s">
        <v>587</v>
      </c>
      <c r="B121" s="49">
        <v>42165698</v>
      </c>
      <c r="C121" s="49">
        <v>30332250</v>
      </c>
      <c r="D121" s="49">
        <v>17524979.343207002</v>
      </c>
      <c r="E121" s="50">
        <f>VLOOKUP($A121,'Data shares'!$C:$FA,154)*100</f>
        <v>72.5</v>
      </c>
      <c r="F121" s="173">
        <f>C121/B121</f>
        <v>0.71935842257372329</v>
      </c>
    </row>
    <row r="122" spans="1:6" x14ac:dyDescent="0.25">
      <c r="A122" s="99" t="s">
        <v>249</v>
      </c>
      <c r="B122" s="49">
        <v>136099497</v>
      </c>
      <c r="C122" s="49">
        <v>31588200</v>
      </c>
      <c r="D122" s="49">
        <v>15339111.483697699</v>
      </c>
      <c r="E122" s="50">
        <f>VLOOKUP($A122,'Data shares'!$C:$FA,154)*100</f>
        <v>23.74</v>
      </c>
      <c r="F122" s="173">
        <f>C122/B122</f>
        <v>0.23209637578601777</v>
      </c>
    </row>
    <row r="123" spans="1:6" x14ac:dyDescent="0.25">
      <c r="A123" s="99" t="s">
        <v>564</v>
      </c>
      <c r="B123" s="49">
        <v>127514625</v>
      </c>
      <c r="C123" s="49">
        <v>86312250</v>
      </c>
      <c r="D123" s="49">
        <v>39931109.010360003</v>
      </c>
      <c r="E123" s="50">
        <f>VLOOKUP($A123,'Data shares'!$C:$FA,154)*100</f>
        <v>69.179999999999993</v>
      </c>
      <c r="F123" s="173">
        <f>C123/B123</f>
        <v>0.6768811812762654</v>
      </c>
    </row>
    <row r="124" spans="1:6" x14ac:dyDescent="0.25">
      <c r="A124" s="99" t="s">
        <v>692</v>
      </c>
      <c r="B124" s="49">
        <v>12564965</v>
      </c>
      <c r="C124" s="49">
        <v>6796500</v>
      </c>
      <c r="D124" s="49">
        <v>3484917.376617</v>
      </c>
      <c r="E124" s="50">
        <f>VLOOKUP($A124,'Data shares'!$C:$FA,154)*100</f>
        <v>55.45</v>
      </c>
      <c r="F124" s="173">
        <f>C124/B124</f>
        <v>0.54090878884262705</v>
      </c>
    </row>
    <row r="125" spans="1:6" x14ac:dyDescent="0.25">
      <c r="A125" s="99" t="s">
        <v>250</v>
      </c>
      <c r="B125" s="49">
        <v>32222448</v>
      </c>
      <c r="C125" s="49">
        <v>10718925</v>
      </c>
      <c r="D125" s="49">
        <v>6524535.49027</v>
      </c>
      <c r="E125" s="50">
        <f>VLOOKUP($A125,'Data shares'!$C:$FA,154)*100</f>
        <v>33.75</v>
      </c>
      <c r="F125" s="173">
        <f>C125/B125</f>
        <v>0.33265396223154742</v>
      </c>
    </row>
    <row r="126" spans="1:6" x14ac:dyDescent="0.25">
      <c r="A126" s="99" t="s">
        <v>251</v>
      </c>
      <c r="B126" s="49">
        <v>120808308</v>
      </c>
      <c r="C126" s="49">
        <v>28483400</v>
      </c>
      <c r="D126" s="49">
        <v>19779755.218605999</v>
      </c>
      <c r="E126" s="50">
        <f>VLOOKUP($A126,'Data shares'!$C:$FA,154)*100</f>
        <v>23.91</v>
      </c>
      <c r="F126" s="173">
        <f>C126/B126</f>
        <v>0.23577351981454786</v>
      </c>
    </row>
    <row r="127" spans="1:6" x14ac:dyDescent="0.25">
      <c r="A127" s="99" t="s">
        <v>253</v>
      </c>
      <c r="B127" s="49">
        <v>82205057</v>
      </c>
      <c r="C127" s="49">
        <v>81042000</v>
      </c>
      <c r="D127" s="49">
        <v>50351783.149920002</v>
      </c>
      <c r="E127" s="50">
        <f>VLOOKUP($A127,'Data shares'!$C:$FA,154)*100</f>
        <v>100.05</v>
      </c>
      <c r="F127" s="173">
        <f>C127/B127</f>
        <v>0.98585175848731543</v>
      </c>
    </row>
    <row r="128" spans="1:6" x14ac:dyDescent="0.25">
      <c r="A128" s="99" t="s">
        <v>670</v>
      </c>
      <c r="B128" s="49">
        <v>16926669</v>
      </c>
      <c r="C128" s="49">
        <v>3957300</v>
      </c>
      <c r="D128" s="49">
        <v>2849365.050336</v>
      </c>
      <c r="E128" s="50">
        <f>VLOOKUP($A128,'Data shares'!$C:$FA,154)*100</f>
        <v>23.47</v>
      </c>
      <c r="F128" s="173">
        <f>C128/B128</f>
        <v>0.2337908303163487</v>
      </c>
    </row>
    <row r="129" spans="1:6" x14ac:dyDescent="0.25">
      <c r="A129" s="99" t="s">
        <v>254</v>
      </c>
      <c r="B129" s="49">
        <v>77572761</v>
      </c>
      <c r="C129" s="49">
        <v>33130800</v>
      </c>
      <c r="D129" s="49">
        <v>24697076.418444</v>
      </c>
      <c r="E129" s="50">
        <f>VLOOKUP($A129,'Data shares'!$C:$FA,154)*100</f>
        <v>43.19</v>
      </c>
      <c r="F129" s="173">
        <f>C129/B129</f>
        <v>0.42709321639331621</v>
      </c>
    </row>
    <row r="130" spans="1:6" x14ac:dyDescent="0.25">
      <c r="A130" s="99" t="s">
        <v>255</v>
      </c>
      <c r="B130" s="49">
        <v>19673414</v>
      </c>
      <c r="C130" s="49">
        <v>6704950</v>
      </c>
      <c r="D130" s="49">
        <v>3516595.2771895002</v>
      </c>
      <c r="E130" s="50">
        <f>VLOOKUP($A130,'Data shares'!$C:$FA,154)*100</f>
        <v>34.78</v>
      </c>
      <c r="F130" s="173">
        <f>C130/B130</f>
        <v>0.34081273336696927</v>
      </c>
    </row>
    <row r="131" spans="1:6" x14ac:dyDescent="0.25">
      <c r="A131" s="99" t="s">
        <v>602</v>
      </c>
      <c r="B131" s="49">
        <v>111298748</v>
      </c>
      <c r="C131" s="49">
        <v>21108675</v>
      </c>
      <c r="D131" s="49">
        <v>14715467.349003701</v>
      </c>
      <c r="E131" s="50">
        <f>VLOOKUP($A131,'Data shares'!$C:$FA,154)*100</f>
        <v>19.189999999999998</v>
      </c>
      <c r="F131" s="173">
        <f>C131/B131</f>
        <v>0.18965779381453599</v>
      </c>
    </row>
    <row r="132" spans="1:6" x14ac:dyDescent="0.25">
      <c r="A132" s="99" t="s">
        <v>671</v>
      </c>
      <c r="B132" s="49">
        <v>11364224</v>
      </c>
      <c r="C132" s="49">
        <v>10870400</v>
      </c>
      <c r="D132" s="49">
        <v>4433993.3367179995</v>
      </c>
      <c r="E132" s="50">
        <f>VLOOKUP($A132,'Data shares'!$C:$FA,154)*100</f>
        <v>96.89</v>
      </c>
      <c r="F132" s="173">
        <f>C132/B132</f>
        <v>0.95654573510694618</v>
      </c>
    </row>
    <row r="133" spans="1:6" x14ac:dyDescent="0.25">
      <c r="A133" s="99" t="s">
        <v>517</v>
      </c>
      <c r="B133" s="49">
        <v>38177113</v>
      </c>
      <c r="C133" s="49">
        <v>28787500</v>
      </c>
      <c r="D133" s="49">
        <v>14074720.657268699</v>
      </c>
      <c r="E133" s="50">
        <f>VLOOKUP($A133,'Data shares'!$C:$FA,154)*100</f>
        <v>78.2</v>
      </c>
      <c r="F133" s="173">
        <f>C133/B133</f>
        <v>0.75405125578772814</v>
      </c>
    </row>
    <row r="134" spans="1:6" x14ac:dyDescent="0.25">
      <c r="A134" s="99" t="s">
        <v>257</v>
      </c>
      <c r="B134" s="49">
        <v>35051266</v>
      </c>
      <c r="C134" s="49">
        <v>11144800</v>
      </c>
      <c r="D134" s="49">
        <v>9536051.4813679997</v>
      </c>
      <c r="E134" s="50">
        <f>VLOOKUP($A134,'Data shares'!$C:$FA,154)*100</f>
        <v>31.89</v>
      </c>
      <c r="F134" s="173">
        <f>C134/B134</f>
        <v>0.31795713170531414</v>
      </c>
    </row>
    <row r="135" spans="1:6" x14ac:dyDescent="0.25">
      <c r="A135" s="99" t="s">
        <v>558</v>
      </c>
      <c r="B135" s="49">
        <v>588447385</v>
      </c>
      <c r="C135" s="49">
        <v>202513350</v>
      </c>
      <c r="D135" s="49">
        <v>129919272.708795</v>
      </c>
      <c r="E135" s="50">
        <f>VLOOKUP($A135,'Data shares'!$C:$FA,154)*100</f>
        <v>34.729999999999997</v>
      </c>
      <c r="F135" s="173">
        <f>C135/B135</f>
        <v>0.34414861066975427</v>
      </c>
    </row>
    <row r="136" spans="1:6" x14ac:dyDescent="0.25">
      <c r="A136" s="99" t="s">
        <v>698</v>
      </c>
      <c r="B136" s="49">
        <v>29196111</v>
      </c>
      <c r="C136" s="49">
        <v>5547450</v>
      </c>
      <c r="D136" s="49">
        <v>2798269.3990015001</v>
      </c>
      <c r="E136" s="50">
        <f>VLOOKUP($A136,'Data shares'!$C:$FA,154)*100</f>
        <v>19.45</v>
      </c>
      <c r="F136" s="173">
        <f>C136/B136</f>
        <v>0.19000647038230536</v>
      </c>
    </row>
    <row r="137" spans="1:6" x14ac:dyDescent="0.25">
      <c r="A137" s="99" t="s">
        <v>487</v>
      </c>
      <c r="B137" s="49">
        <v>19838356</v>
      </c>
      <c r="C137" s="49">
        <v>6791400</v>
      </c>
      <c r="D137" s="49">
        <v>4620429.1514975</v>
      </c>
      <c r="E137" s="50">
        <f>VLOOKUP($A137,'Data shares'!$C:$FA,154)*100</f>
        <v>34.43</v>
      </c>
      <c r="F137" s="173">
        <f>C137/B137</f>
        <v>0.34233683476594534</v>
      </c>
    </row>
    <row r="138" spans="1:6" x14ac:dyDescent="0.25">
      <c r="A138" s="99" t="s">
        <v>262</v>
      </c>
      <c r="B138" s="49">
        <v>16050690</v>
      </c>
      <c r="C138" s="49">
        <v>7472300</v>
      </c>
      <c r="D138" s="49">
        <v>3752802.1170199998</v>
      </c>
      <c r="E138" s="50">
        <f>VLOOKUP($A138,'Data shares'!$C:$FA,154)*100</f>
        <v>48</v>
      </c>
      <c r="F138" s="173">
        <f>C138/B138</f>
        <v>0.46554384889372358</v>
      </c>
    </row>
    <row r="139" spans="1:6" x14ac:dyDescent="0.25">
      <c r="A139" s="99" t="s">
        <v>486</v>
      </c>
      <c r="B139" s="49">
        <v>26709548</v>
      </c>
      <c r="C139" s="49">
        <v>4285000</v>
      </c>
      <c r="D139" s="49">
        <v>2769645.5228375001</v>
      </c>
      <c r="E139" s="50">
        <f>VLOOKUP($A139,'Data shares'!$C:$FA,154)*100</f>
        <v>16.64</v>
      </c>
      <c r="F139" s="173">
        <f>C139/B139</f>
        <v>0.16042952130826024</v>
      </c>
    </row>
    <row r="140" spans="1:6" x14ac:dyDescent="0.25">
      <c r="A140" s="99" t="s">
        <v>263</v>
      </c>
      <c r="B140" s="49">
        <v>134225816</v>
      </c>
      <c r="C140" s="49">
        <v>119928750</v>
      </c>
      <c r="D140" s="49">
        <v>54753682.049924999</v>
      </c>
      <c r="E140" s="50">
        <f>VLOOKUP($A140,'Data shares'!$C:$FA,154)*100</f>
        <v>91.09</v>
      </c>
      <c r="F140" s="173">
        <f>C140/B140</f>
        <v>0.89348497609431554</v>
      </c>
    </row>
    <row r="141" spans="1:6" x14ac:dyDescent="0.25">
      <c r="A141" s="99" t="s">
        <v>264</v>
      </c>
      <c r="B141" s="49">
        <v>60562281</v>
      </c>
      <c r="C141" s="49">
        <v>14279250</v>
      </c>
      <c r="D141" s="49">
        <v>9762935.3019562494</v>
      </c>
      <c r="E141" s="50">
        <f>VLOOKUP($A141,'Data shares'!$C:$FA,154)*100</f>
        <v>23.810000000000002</v>
      </c>
      <c r="F141" s="173">
        <f>C141/B141</f>
        <v>0.23577794237968019</v>
      </c>
    </row>
    <row r="142" spans="1:6" x14ac:dyDescent="0.25">
      <c r="A142" s="99" t="s">
        <v>550</v>
      </c>
      <c r="B142" s="49">
        <v>154894704</v>
      </c>
      <c r="C142" s="49">
        <v>111806500</v>
      </c>
      <c r="D142" s="49">
        <v>70571643.892554998</v>
      </c>
      <c r="E142" s="50">
        <f>VLOOKUP($A142,'Data shares'!$C:$FA,154)*100</f>
        <v>72.740000000000009</v>
      </c>
      <c r="F142" s="173">
        <f>C142/B142</f>
        <v>0.72182261312175011</v>
      </c>
    </row>
    <row r="143" spans="1:6" x14ac:dyDescent="0.25">
      <c r="A143" s="99" t="s">
        <v>265</v>
      </c>
      <c r="B143" s="49">
        <v>71801274</v>
      </c>
      <c r="C143" s="49">
        <v>25255500</v>
      </c>
      <c r="D143" s="49">
        <v>19144284.091235001</v>
      </c>
      <c r="E143" s="50">
        <f>VLOOKUP($A143,'Data shares'!$C:$FA,154)*100</f>
        <v>35.480000000000004</v>
      </c>
      <c r="F143" s="173">
        <f>C143/B143</f>
        <v>0.35174166965338249</v>
      </c>
    </row>
    <row r="144" spans="1:6" x14ac:dyDescent="0.25">
      <c r="A144" s="99" t="s">
        <v>584</v>
      </c>
      <c r="B144" s="49">
        <v>491233252</v>
      </c>
      <c r="C144" s="49">
        <v>152006400</v>
      </c>
      <c r="D144" s="49">
        <v>79430993.399360001</v>
      </c>
      <c r="E144" s="50">
        <f>VLOOKUP($A144,'Data shares'!$C:$FA,154)*100</f>
        <v>31.209999999999997</v>
      </c>
      <c r="F144" s="173">
        <f>C144/B144</f>
        <v>0.30943833582340635</v>
      </c>
    </row>
    <row r="145" spans="1:6" x14ac:dyDescent="0.25">
      <c r="A145" s="99" t="s">
        <v>267</v>
      </c>
      <c r="B145" s="49">
        <v>517037525</v>
      </c>
      <c r="C145" s="49">
        <v>456678000</v>
      </c>
      <c r="D145" s="49">
        <v>289045246.46375197</v>
      </c>
      <c r="E145" s="50">
        <f>VLOOKUP($A145,'Data shares'!$C:$FA,154)*100</f>
        <v>89.27000000000001</v>
      </c>
      <c r="F145" s="173">
        <f>C145/B145</f>
        <v>0.8832589085289313</v>
      </c>
    </row>
    <row r="146" spans="1:6" x14ac:dyDescent="0.25">
      <c r="A146" s="99" t="s">
        <v>268</v>
      </c>
      <c r="B146" s="49">
        <v>550512361</v>
      </c>
      <c r="C146" s="49">
        <v>184690500</v>
      </c>
      <c r="D146" s="49">
        <v>101892775.51792499</v>
      </c>
      <c r="E146" s="50">
        <f>VLOOKUP($A146,'Data shares'!$C:$FA,154)*100</f>
        <v>34.28</v>
      </c>
      <c r="F146" s="173">
        <f>C146/B146</f>
        <v>0.33548837970597356</v>
      </c>
    </row>
    <row r="147" spans="1:6" x14ac:dyDescent="0.25">
      <c r="A147" s="99" t="s">
        <v>683</v>
      </c>
      <c r="B147" s="49">
        <v>12490416</v>
      </c>
      <c r="C147" s="49">
        <v>3738000</v>
      </c>
      <c r="D147" s="49">
        <v>1739664.0515650001</v>
      </c>
      <c r="E147" s="50">
        <f>VLOOKUP($A147,'Data shares'!$C:$FA,154)*100</f>
        <v>30.56</v>
      </c>
      <c r="F147" s="173">
        <f>C147/B147</f>
        <v>0.29926945587721016</v>
      </c>
    </row>
    <row r="148" spans="1:6" x14ac:dyDescent="0.25">
      <c r="A148" s="99" t="s">
        <v>612</v>
      </c>
      <c r="B148" s="49">
        <v>205669742</v>
      </c>
      <c r="C148" s="49">
        <v>58281250</v>
      </c>
      <c r="D148" s="49">
        <v>44336801.232468702</v>
      </c>
      <c r="E148" s="50">
        <f>VLOOKUP($A148,'Data shares'!$C:$FA,154)*100</f>
        <v>28.51</v>
      </c>
      <c r="F148" s="173">
        <f>C148/B148</f>
        <v>0.2833729912492427</v>
      </c>
    </row>
    <row r="149" spans="1:6" x14ac:dyDescent="0.25">
      <c r="A149" s="99" t="s">
        <v>528</v>
      </c>
      <c r="B149" s="49">
        <v>17614093</v>
      </c>
      <c r="C149" s="49">
        <v>12008500</v>
      </c>
      <c r="D149" s="49">
        <v>8195951.3443989996</v>
      </c>
      <c r="E149" s="50">
        <f>VLOOKUP($A149,'Data shares'!$C:$FA,154)*100</f>
        <v>69.58</v>
      </c>
      <c r="F149" s="173">
        <f>C149/B149</f>
        <v>0.68175522861154414</v>
      </c>
    </row>
    <row r="150" spans="1:6" x14ac:dyDescent="0.25">
      <c r="A150" s="99" t="s">
        <v>518</v>
      </c>
      <c r="B150" s="49">
        <v>3594855</v>
      </c>
      <c r="C150" s="49">
        <v>2517150</v>
      </c>
      <c r="D150" s="49">
        <v>1335731.8619144999</v>
      </c>
      <c r="E150" s="50"/>
      <c r="F150" s="173">
        <f>C150/B150</f>
        <v>0.70020904876552736</v>
      </c>
    </row>
    <row r="151" spans="1:6" x14ac:dyDescent="0.25">
      <c r="A151" s="99" t="s">
        <v>586</v>
      </c>
      <c r="B151" s="49">
        <v>105756420</v>
      </c>
      <c r="C151" s="49">
        <v>37045400</v>
      </c>
      <c r="D151" s="49">
        <v>21058681.605654001</v>
      </c>
      <c r="E151" s="50">
        <f>VLOOKUP($A151,'Data shares'!$C:$FA,154)*100</f>
        <v>35.49</v>
      </c>
      <c r="F151" s="173">
        <f>C151/B151</f>
        <v>0.35028984528787943</v>
      </c>
    </row>
    <row r="152" spans="1:6" x14ac:dyDescent="0.25">
      <c r="A152" s="99" t="s">
        <v>269</v>
      </c>
      <c r="B152" s="49">
        <v>711370982</v>
      </c>
      <c r="C152" s="49">
        <v>227250000</v>
      </c>
      <c r="D152" s="49">
        <v>103587303.456405</v>
      </c>
      <c r="E152" s="50">
        <f>VLOOKUP($A152,'Data shares'!$C:$FA,154)*100</f>
        <v>32.31</v>
      </c>
      <c r="F152" s="173">
        <f>C152/B152</f>
        <v>0.31945357028915189</v>
      </c>
    </row>
    <row r="153" spans="1:6" x14ac:dyDescent="0.25">
      <c r="A153" s="99" t="s">
        <v>270</v>
      </c>
      <c r="B153" s="49">
        <v>955549</v>
      </c>
      <c r="C153" s="49">
        <v>500325</v>
      </c>
      <c r="D153" s="49">
        <v>346150.95586034999</v>
      </c>
      <c r="E153" s="50">
        <f>VLOOKUP($A153,'Data shares'!$C:$FA,154)*100</f>
        <v>52.669999999999995</v>
      </c>
      <c r="F153" s="173">
        <f>C153/B153</f>
        <v>0.52359952236881624</v>
      </c>
    </row>
    <row r="154" spans="1:6" x14ac:dyDescent="0.25">
      <c r="A154" s="99" t="s">
        <v>664</v>
      </c>
      <c r="B154" s="49">
        <v>51786533</v>
      </c>
      <c r="C154" s="49">
        <v>42048000</v>
      </c>
      <c r="D154" s="49">
        <v>21262773.769703999</v>
      </c>
      <c r="E154" s="50">
        <f>VLOOKUP($A154,'Data shares'!$C:$FA,154)*100</f>
        <v>82.45</v>
      </c>
      <c r="F154" s="173">
        <f>C154/B154</f>
        <v>0.81194854268386729</v>
      </c>
    </row>
    <row r="155" spans="1:6" x14ac:dyDescent="0.25">
      <c r="A155" s="99" t="s">
        <v>574</v>
      </c>
      <c r="B155" s="49">
        <v>95930888</v>
      </c>
      <c r="C155" s="49">
        <v>27537675</v>
      </c>
      <c r="D155" s="49">
        <v>14330776.6311437</v>
      </c>
      <c r="E155" s="50">
        <f>VLOOKUP($A155,'Data shares'!$C:$FA,154)*100</f>
        <v>29.28</v>
      </c>
      <c r="F155" s="173">
        <f>C155/B155</f>
        <v>0.28705743868439954</v>
      </c>
    </row>
    <row r="156" spans="1:6" x14ac:dyDescent="0.25">
      <c r="A156" s="99" t="s">
        <v>529</v>
      </c>
      <c r="B156" s="49">
        <v>16286398</v>
      </c>
      <c r="C156" s="49">
        <v>8059900</v>
      </c>
      <c r="D156" s="49">
        <v>4571495.8199209999</v>
      </c>
      <c r="E156" s="50">
        <f>VLOOKUP($A156,'Data shares'!$C:$FA,154)*100</f>
        <v>51.32</v>
      </c>
      <c r="F156" s="173">
        <f>C156/B156</f>
        <v>0.49488536384779497</v>
      </c>
    </row>
    <row r="157" spans="1:6" x14ac:dyDescent="0.25">
      <c r="A157" s="99" t="s">
        <v>272</v>
      </c>
      <c r="B157" s="49">
        <v>112500013</v>
      </c>
      <c r="C157" s="49">
        <v>61016600</v>
      </c>
      <c r="D157" s="49">
        <v>31104404.264805999</v>
      </c>
      <c r="E157" s="50">
        <f>VLOOKUP($A157,'Data shares'!$C:$FA,154)*100</f>
        <v>54.92</v>
      </c>
      <c r="F157" s="173">
        <f>C157/B157</f>
        <v>0.54236971510394405</v>
      </c>
    </row>
    <row r="158" spans="1:6" x14ac:dyDescent="0.25">
      <c r="A158" s="99" t="s">
        <v>273</v>
      </c>
      <c r="B158" s="49">
        <v>217835555</v>
      </c>
      <c r="C158" s="49">
        <v>103242100</v>
      </c>
      <c r="D158" s="49">
        <v>56040060.879660003</v>
      </c>
      <c r="E158" s="50">
        <f>VLOOKUP($A158,'Data shares'!$C:$FA,154)*100</f>
        <v>48.24</v>
      </c>
      <c r="F158" s="173">
        <f>C158/B158</f>
        <v>0.4739451280118161</v>
      </c>
    </row>
    <row r="159" spans="1:6" x14ac:dyDescent="0.25">
      <c r="A159" s="99" t="s">
        <v>678</v>
      </c>
      <c r="B159" s="49">
        <v>24101986</v>
      </c>
      <c r="C159" s="49">
        <v>33709800</v>
      </c>
      <c r="D159" s="49">
        <v>13073464.4972475</v>
      </c>
      <c r="E159" s="50">
        <f>VLOOKUP($A159,'Data shares'!$C:$FA,154)*100</f>
        <v>143.46</v>
      </c>
      <c r="F159" s="173">
        <f>C159/B159</f>
        <v>1.3986316314348535</v>
      </c>
    </row>
    <row r="160" spans="1:6" x14ac:dyDescent="0.25">
      <c r="A160" s="99" t="s">
        <v>644</v>
      </c>
      <c r="B160" s="49">
        <v>21502901</v>
      </c>
      <c r="C160" s="49">
        <v>5125400</v>
      </c>
      <c r="D160" s="49">
        <v>3606026.1440699999</v>
      </c>
      <c r="E160" s="50">
        <f>VLOOKUP($A160,'Data shares'!$C:$FA,154)*100</f>
        <v>23.97</v>
      </c>
      <c r="F160" s="173">
        <f>C160/B160</f>
        <v>0.23835853590173717</v>
      </c>
    </row>
    <row r="161" spans="1:6" x14ac:dyDescent="0.25">
      <c r="A161" s="99" t="s">
        <v>274</v>
      </c>
      <c r="B161" s="49">
        <v>31214205</v>
      </c>
      <c r="C161" s="49">
        <v>11509000</v>
      </c>
      <c r="D161" s="49">
        <v>8314851.458745</v>
      </c>
      <c r="E161" s="50">
        <f>VLOOKUP($A161,'Data shares'!$C:$FA,154)*100</f>
        <v>37.18</v>
      </c>
      <c r="F161" s="173">
        <f>C161/B161</f>
        <v>0.36871033556677163</v>
      </c>
    </row>
    <row r="162" spans="1:6" x14ac:dyDescent="0.25">
      <c r="A162" s="99" t="s">
        <v>483</v>
      </c>
      <c r="B162" s="49">
        <v>8178275</v>
      </c>
      <c r="C162" s="49">
        <v>3994375</v>
      </c>
      <c r="D162" s="49">
        <v>2426292.5716749998</v>
      </c>
      <c r="E162" s="50">
        <f>VLOOKUP($A162,'Data shares'!$C:$FA,154)*100</f>
        <v>49.1</v>
      </c>
      <c r="F162" s="173">
        <f>C162/B162</f>
        <v>0.48841289880812272</v>
      </c>
    </row>
    <row r="163" spans="1:6" x14ac:dyDescent="0.25">
      <c r="A163" s="99" t="s">
        <v>275</v>
      </c>
      <c r="B163" s="49">
        <v>515822637</v>
      </c>
      <c r="C163" s="49">
        <v>420552000</v>
      </c>
      <c r="D163" s="49">
        <v>257074962.32232001</v>
      </c>
      <c r="E163" s="50">
        <f>VLOOKUP($A163,'Data shares'!$C:$FA,154)*100</f>
        <v>82.34</v>
      </c>
      <c r="F163" s="173">
        <f>C163/B163</f>
        <v>0.81530349743064878</v>
      </c>
    </row>
    <row r="164" spans="1:6" x14ac:dyDescent="0.25">
      <c r="A164" s="99" t="s">
        <v>668</v>
      </c>
      <c r="B164" s="49">
        <v>28118603</v>
      </c>
      <c r="C164" s="49">
        <v>18761600</v>
      </c>
      <c r="D164" s="49">
        <v>13228547.270861</v>
      </c>
      <c r="E164" s="50">
        <f>VLOOKUP($A164,'Data shares'!$C:$FA,154)*100</f>
        <v>67.239999999999995</v>
      </c>
      <c r="F164" s="173">
        <f>C164/B164</f>
        <v>0.66723087203158704</v>
      </c>
    </row>
    <row r="165" spans="1:6" x14ac:dyDescent="0.25">
      <c r="A165" s="99" t="s">
        <v>572</v>
      </c>
      <c r="B165" s="49">
        <v>69300607</v>
      </c>
      <c r="C165" s="49">
        <v>11843650</v>
      </c>
      <c r="D165" s="49">
        <v>7698416.3752474999</v>
      </c>
      <c r="E165" s="50">
        <f>VLOOKUP($A165,'Data shares'!$C:$FA,154)*100</f>
        <v>17.380000000000003</v>
      </c>
      <c r="F165" s="173">
        <f>C165/B165</f>
        <v>0.17090254346545622</v>
      </c>
    </row>
    <row r="166" spans="1:6" x14ac:dyDescent="0.25">
      <c r="A166" s="99" t="s">
        <v>519</v>
      </c>
      <c r="B166" s="49">
        <v>8693344</v>
      </c>
      <c r="C166" s="49">
        <v>4340375</v>
      </c>
      <c r="D166" s="49">
        <v>1940696.61006625</v>
      </c>
      <c r="E166" s="50">
        <f>VLOOKUP($A166,'Data shares'!$C:$FA,154)*100</f>
        <v>51.27</v>
      </c>
      <c r="F166" s="173">
        <f>C166/B166</f>
        <v>0.49927565272926044</v>
      </c>
    </row>
    <row r="167" spans="1:6" x14ac:dyDescent="0.25">
      <c r="A167" s="99" t="s">
        <v>276</v>
      </c>
      <c r="B167" s="49">
        <v>660840864</v>
      </c>
      <c r="C167" s="49">
        <v>137896300</v>
      </c>
      <c r="D167" s="49">
        <v>82066420.891234994</v>
      </c>
      <c r="E167" s="50">
        <f>VLOOKUP($A167,'Data shares'!$C:$FA,154)*100</f>
        <v>21.23</v>
      </c>
      <c r="F167" s="173">
        <f>C167/B167</f>
        <v>0.20866793733869338</v>
      </c>
    </row>
    <row r="168" spans="1:6" x14ac:dyDescent="0.25">
      <c r="A168" s="99" t="s">
        <v>685</v>
      </c>
      <c r="B168" s="49">
        <v>1917916</v>
      </c>
      <c r="C168" s="49">
        <v>879700</v>
      </c>
      <c r="D168" s="49">
        <v>403520.97484500002</v>
      </c>
      <c r="E168" s="50">
        <f>VLOOKUP($A168,'Data shares'!$C:$FA,154)*100</f>
        <v>47.06</v>
      </c>
      <c r="F168" s="173">
        <f>C168/B168</f>
        <v>0.45867493675426868</v>
      </c>
    </row>
    <row r="169" spans="1:6" x14ac:dyDescent="0.25">
      <c r="A169" s="99" t="s">
        <v>676</v>
      </c>
      <c r="B169" s="49">
        <v>92833839</v>
      </c>
      <c r="C169" s="49">
        <v>20553750</v>
      </c>
      <c r="D169" s="49">
        <v>9100544.1102712508</v>
      </c>
      <c r="E169" s="50">
        <f>VLOOKUP($A169,'Data shares'!$C:$FA,154)*100</f>
        <v>22.29</v>
      </c>
      <c r="F169" s="173">
        <f>C169/B169</f>
        <v>0.22140364140278632</v>
      </c>
    </row>
    <row r="170" spans="1:6" x14ac:dyDescent="0.25">
      <c r="A170" s="99" t="s">
        <v>688</v>
      </c>
      <c r="B170" s="49">
        <v>23961540</v>
      </c>
      <c r="C170" s="49">
        <v>16792875</v>
      </c>
      <c r="D170" s="49">
        <v>8804527.7934280001</v>
      </c>
      <c r="E170" s="50">
        <f>VLOOKUP($A170,'Data shares'!$C:$FA,154)*100</f>
        <v>71.709999999999994</v>
      </c>
      <c r="F170" s="173">
        <f>C170/B170</f>
        <v>0.70082619898387166</v>
      </c>
    </row>
    <row r="171" spans="1:6" x14ac:dyDescent="0.25">
      <c r="A171" s="99" t="s">
        <v>604</v>
      </c>
      <c r="B171" s="49">
        <v>25234534</v>
      </c>
      <c r="C171" s="49">
        <v>10687950</v>
      </c>
      <c r="D171" s="49">
        <v>6668632.5672509996</v>
      </c>
      <c r="E171" s="50"/>
      <c r="F171" s="173">
        <f>C171/B171</f>
        <v>0.4235445758578304</v>
      </c>
    </row>
    <row r="172" spans="1:6" x14ac:dyDescent="0.25">
      <c r="A172" s="99" t="s">
        <v>279</v>
      </c>
      <c r="B172" s="49">
        <v>92573471</v>
      </c>
      <c r="C172" s="49">
        <v>117748050</v>
      </c>
      <c r="D172" s="49">
        <v>50256079.6576612</v>
      </c>
      <c r="E172" s="50">
        <f>VLOOKUP($A172,'Data shares'!$C:$FA,154)*100</f>
        <v>129.57</v>
      </c>
      <c r="F172" s="173">
        <f>C172/B172</f>
        <v>1.2719416127326586</v>
      </c>
    </row>
    <row r="173" spans="1:6" x14ac:dyDescent="0.25">
      <c r="A173" s="99" t="s">
        <v>280</v>
      </c>
      <c r="B173" s="49">
        <v>187084550</v>
      </c>
      <c r="C173" s="49">
        <v>118353200</v>
      </c>
      <c r="D173" s="49">
        <v>62295036.416928001</v>
      </c>
      <c r="E173" s="50"/>
      <c r="F173" s="173">
        <f>C173/B173</f>
        <v>0.63261878118743642</v>
      </c>
    </row>
    <row r="174" spans="1:6" x14ac:dyDescent="0.25">
      <c r="A174" s="99" t="s">
        <v>281</v>
      </c>
      <c r="B174" s="49">
        <v>664381721</v>
      </c>
      <c r="C174" s="49">
        <v>210463000</v>
      </c>
      <c r="D174" s="49">
        <v>108167209.83575</v>
      </c>
      <c r="E174" s="50">
        <f>VLOOKUP($A174,'Data shares'!$C:$FA,154)*100</f>
        <v>32.300000000000004</v>
      </c>
      <c r="F174" s="173">
        <f>C174/B174</f>
        <v>0.31678023844969688</v>
      </c>
    </row>
    <row r="175" spans="1:6" x14ac:dyDescent="0.25">
      <c r="A175" s="99" t="s">
        <v>673</v>
      </c>
      <c r="B175" s="49">
        <v>84941460</v>
      </c>
      <c r="C175" s="49">
        <v>103690850</v>
      </c>
      <c r="D175" s="49">
        <v>41107408.194301501</v>
      </c>
      <c r="E175" s="50"/>
      <c r="F175" s="173">
        <f>C175/B175</f>
        <v>1.2207330789934621</v>
      </c>
    </row>
    <row r="176" spans="1:6" x14ac:dyDescent="0.25">
      <c r="A176" s="99" t="s">
        <v>282</v>
      </c>
      <c r="B176" s="49">
        <v>216861410</v>
      </c>
      <c r="C176" s="49">
        <v>216839200</v>
      </c>
      <c r="D176" s="49">
        <v>178760920.78089401</v>
      </c>
      <c r="E176" s="50">
        <f>VLOOKUP($A176,'Data shares'!$C:$FA,154)*100</f>
        <v>101.25999999999999</v>
      </c>
      <c r="F176" s="173">
        <f>C176/B176</f>
        <v>0.99989758436044474</v>
      </c>
    </row>
    <row r="177" spans="1:6" x14ac:dyDescent="0.25">
      <c r="A177" s="99" t="s">
        <v>684</v>
      </c>
      <c r="B177" s="49">
        <v>122372064</v>
      </c>
      <c r="C177" s="49">
        <v>129984700</v>
      </c>
      <c r="D177" s="49">
        <v>82121499.660713002</v>
      </c>
      <c r="E177" s="50">
        <f>VLOOKUP($A177,'Data shares'!$C:$FA,154)*100</f>
        <v>110.13999999999999</v>
      </c>
      <c r="F177" s="173">
        <f>C177/B177</f>
        <v>1.0622089368370873</v>
      </c>
    </row>
    <row r="178" spans="1:6" x14ac:dyDescent="0.25">
      <c r="A178" s="99" t="s">
        <v>536</v>
      </c>
      <c r="B178" s="49">
        <v>44841373</v>
      </c>
      <c r="C178" s="49">
        <v>40389600</v>
      </c>
      <c r="D178" s="49">
        <v>21919250.090224002</v>
      </c>
      <c r="E178" s="50">
        <f>VLOOKUP($A178,'Data shares'!$C:$FA,154)*100</f>
        <v>91.45</v>
      </c>
      <c r="F178" s="173">
        <f>C178/B178</f>
        <v>0.90072175087056316</v>
      </c>
    </row>
    <row r="179" spans="1:6" x14ac:dyDescent="0.25">
      <c r="A179" s="99" t="s">
        <v>462</v>
      </c>
      <c r="B179" s="49">
        <v>45527821</v>
      </c>
      <c r="C179" s="49">
        <v>16361250</v>
      </c>
      <c r="D179" s="49">
        <v>10863498.616110001</v>
      </c>
      <c r="E179" s="50">
        <f>VLOOKUP($A179,'Data shares'!$C:$FA,154)*100</f>
        <v>36.32</v>
      </c>
      <c r="F179" s="173">
        <f>C179/B179</f>
        <v>0.35936817621910788</v>
      </c>
    </row>
    <row r="180" spans="1:6" x14ac:dyDescent="0.25">
      <c r="A180" s="99" t="s">
        <v>283</v>
      </c>
      <c r="B180" s="49">
        <v>580324288</v>
      </c>
      <c r="C180" s="49">
        <v>158117250</v>
      </c>
      <c r="D180" s="49">
        <v>81264534.056250006</v>
      </c>
      <c r="E180" s="50">
        <f>VLOOKUP($A180,'Data shares'!$C:$FA,154)*100</f>
        <v>27.839999999999996</v>
      </c>
      <c r="F180" s="173">
        <f>C180/B180</f>
        <v>0.27246360917432427</v>
      </c>
    </row>
    <row r="181" spans="1:6" x14ac:dyDescent="0.25">
      <c r="A181" s="99" t="s">
        <v>284</v>
      </c>
      <c r="B181" s="49">
        <v>1655049</v>
      </c>
      <c r="C181" s="49">
        <v>479350</v>
      </c>
      <c r="D181" s="49">
        <v>322558.6340505</v>
      </c>
      <c r="E181" s="50">
        <f>VLOOKUP($A181,'Data shares'!$C:$FA,154)*100</f>
        <v>29.18</v>
      </c>
      <c r="F181" s="173">
        <f>C181/B181</f>
        <v>0.28962888712056262</v>
      </c>
    </row>
    <row r="182" spans="1:6" x14ac:dyDescent="0.25">
      <c r="A182" s="99" t="s">
        <v>561</v>
      </c>
      <c r="B182" s="49">
        <v>210567108</v>
      </c>
      <c r="C182" s="49">
        <v>63700725</v>
      </c>
      <c r="D182" s="49">
        <v>39210817.921274997</v>
      </c>
      <c r="E182" s="50">
        <f>VLOOKUP($A182,'Data shares'!$C:$FA,154)*100</f>
        <v>30.81</v>
      </c>
      <c r="F182" s="173">
        <f>C182/B182</f>
        <v>0.30251982660083832</v>
      </c>
    </row>
    <row r="183" spans="1:6" x14ac:dyDescent="0.25">
      <c r="A183" s="99" t="s">
        <v>285</v>
      </c>
      <c r="B183" s="49">
        <v>10374894</v>
      </c>
      <c r="C183" s="49">
        <v>6032250</v>
      </c>
      <c r="D183" s="49">
        <v>3171187.6380659998</v>
      </c>
      <c r="E183" s="50">
        <f>VLOOKUP($A183,'Data shares'!$C:$FA,154)*100</f>
        <v>59.61</v>
      </c>
      <c r="F183" s="173">
        <f>C183/B183</f>
        <v>0.58142762711599749</v>
      </c>
    </row>
    <row r="184" spans="1:6" x14ac:dyDescent="0.25">
      <c r="A184" s="99" t="s">
        <v>645</v>
      </c>
      <c r="B184" s="49">
        <v>3644817</v>
      </c>
      <c r="C184" s="49">
        <v>1296900</v>
      </c>
      <c r="D184" s="49">
        <v>682413.86760400003</v>
      </c>
      <c r="E184" s="50">
        <f>VLOOKUP($A184,'Data shares'!$C:$FA,154)*100</f>
        <v>36.14</v>
      </c>
      <c r="F184" s="173">
        <f>C184/B184</f>
        <v>0.35582033336653118</v>
      </c>
    </row>
    <row r="185" spans="1:6" x14ac:dyDescent="0.25">
      <c r="A185" s="99" t="s">
        <v>613</v>
      </c>
      <c r="B185" s="49">
        <v>61283708</v>
      </c>
      <c r="C185" s="49">
        <v>22041425</v>
      </c>
      <c r="D185" s="49">
        <v>12188221.781176001</v>
      </c>
      <c r="E185" s="50">
        <f>VLOOKUP($A185,'Data shares'!$C:$FA,154)*100</f>
        <v>36.47</v>
      </c>
      <c r="F185" s="173">
        <f>C185/B185</f>
        <v>0.35966206548729068</v>
      </c>
    </row>
    <row r="186" spans="1:6" x14ac:dyDescent="0.25">
      <c r="A186" s="99" t="s">
        <v>286</v>
      </c>
      <c r="B186" s="49">
        <v>19721628</v>
      </c>
      <c r="C186" s="49">
        <v>7320800</v>
      </c>
      <c r="D186" s="49">
        <v>4099488.8775920002</v>
      </c>
      <c r="E186" s="50">
        <f>VLOOKUP($A186,'Data shares'!$C:$FA,154)*100</f>
        <v>37.97</v>
      </c>
      <c r="F186" s="173">
        <f>C186/B186</f>
        <v>0.37120667725808437</v>
      </c>
    </row>
    <row r="187" spans="1:6" x14ac:dyDescent="0.25">
      <c r="A187" s="99" t="s">
        <v>288</v>
      </c>
      <c r="B187" s="49">
        <v>121755902</v>
      </c>
      <c r="C187" s="49">
        <v>31955350</v>
      </c>
      <c r="D187" s="49">
        <v>19703137.076815501</v>
      </c>
      <c r="E187" s="50">
        <f>VLOOKUP($A187,'Data shares'!$C:$FA,154)*100</f>
        <v>26.889999999999997</v>
      </c>
      <c r="F187" s="173">
        <f>C187/B187</f>
        <v>0.262454217619775</v>
      </c>
    </row>
    <row r="188" spans="1:6" x14ac:dyDescent="0.25">
      <c r="A188" s="99" t="s">
        <v>573</v>
      </c>
      <c r="B188" s="49">
        <v>9724371</v>
      </c>
      <c r="C188" s="49">
        <v>3326400</v>
      </c>
      <c r="D188" s="49">
        <v>1958466.50265525</v>
      </c>
      <c r="E188" s="50">
        <f>VLOOKUP($A188,'Data shares'!$C:$FA,154)*100</f>
        <v>34.53</v>
      </c>
      <c r="F188" s="173">
        <f>C188/B188</f>
        <v>0.34206839702022884</v>
      </c>
    </row>
    <row r="189" spans="1:6" x14ac:dyDescent="0.25">
      <c r="A189" s="99" t="s">
        <v>682</v>
      </c>
      <c r="B189" s="49">
        <v>1815546735</v>
      </c>
      <c r="C189" s="49">
        <v>687876475</v>
      </c>
      <c r="D189" s="49">
        <v>298364853.55210203</v>
      </c>
      <c r="E189" s="50">
        <f>VLOOKUP($A189,'Data shares'!$C:$FA,154)*100</f>
        <v>39.090000000000003</v>
      </c>
      <c r="F189" s="173">
        <f>C189/B189</f>
        <v>0.37888117212251216</v>
      </c>
    </row>
    <row r="190" spans="1:6" x14ac:dyDescent="0.25">
      <c r="A190" s="99" t="s">
        <v>691</v>
      </c>
      <c r="B190" s="49">
        <v>389472858</v>
      </c>
      <c r="C190" s="49">
        <v>68636100</v>
      </c>
      <c r="D190" s="49">
        <v>49577270.957084</v>
      </c>
      <c r="E190" s="50"/>
      <c r="F190" s="173">
        <f>C190/B190</f>
        <v>0.17622819816625065</v>
      </c>
    </row>
    <row r="191" spans="1:6" x14ac:dyDescent="0.25">
      <c r="A191" s="99" t="s">
        <v>291</v>
      </c>
      <c r="B191" s="49">
        <v>65472757</v>
      </c>
      <c r="C191" s="49">
        <v>17992700</v>
      </c>
      <c r="D191" s="49">
        <v>13071363.664062001</v>
      </c>
      <c r="E191" s="50">
        <f>VLOOKUP($A191,'Data shares'!$C:$FA,154)*100</f>
        <v>27.74</v>
      </c>
      <c r="F191" s="173">
        <f>C191/B191</f>
        <v>0.27481201074211675</v>
      </c>
    </row>
    <row r="192" spans="1:6" x14ac:dyDescent="0.25">
      <c r="A192" s="99" t="s">
        <v>603</v>
      </c>
      <c r="B192" s="49">
        <v>5241946</v>
      </c>
      <c r="C192" s="49">
        <v>3128200</v>
      </c>
      <c r="D192" s="49">
        <v>1202316.3935179999</v>
      </c>
      <c r="E192" s="50">
        <f>VLOOKUP($A192,'Data shares'!$C:$FA,154)*100</f>
        <v>61.46</v>
      </c>
      <c r="F192" s="173">
        <f>C192/B192</f>
        <v>0.59676311049369835</v>
      </c>
    </row>
    <row r="193" spans="1:6" x14ac:dyDescent="0.25">
      <c r="A193" s="99" t="s">
        <v>293</v>
      </c>
      <c r="B193" s="49">
        <v>169808198</v>
      </c>
      <c r="C193" s="49">
        <v>123837250</v>
      </c>
      <c r="D193" s="49">
        <v>59022752.465281002</v>
      </c>
      <c r="E193" s="50">
        <f>VLOOKUP($A193,'Data shares'!$C:$FA,154)*100</f>
        <v>73.7</v>
      </c>
      <c r="F193" s="173">
        <f>C193/B193</f>
        <v>0.72927721663944634</v>
      </c>
    </row>
    <row r="194" spans="1:6" x14ac:dyDescent="0.25">
      <c r="A194" s="99" t="s">
        <v>294</v>
      </c>
      <c r="B194" s="49">
        <v>1049350971</v>
      </c>
      <c r="C194" s="49">
        <v>386138500</v>
      </c>
      <c r="D194" s="49">
        <v>192689814.69936001</v>
      </c>
      <c r="E194" s="50">
        <f>VLOOKUP($A194,'Data shares'!$C:$FA,154)*100</f>
        <v>37.61</v>
      </c>
      <c r="F194" s="173">
        <f>C194/B194</f>
        <v>0.36797840824602429</v>
      </c>
    </row>
    <row r="195" spans="1:6" x14ac:dyDescent="0.25">
      <c r="A195" s="99" t="s">
        <v>662</v>
      </c>
      <c r="B195" s="49">
        <v>27144562</v>
      </c>
      <c r="C195" s="49">
        <v>10563200</v>
      </c>
      <c r="D195" s="49">
        <v>5572401.32852</v>
      </c>
      <c r="E195" s="50">
        <f>VLOOKUP($A195,'Data shares'!$C:$FA,154)*100</f>
        <v>39.290000000000006</v>
      </c>
      <c r="F195" s="173">
        <f>C195/B195</f>
        <v>0.38914608384544941</v>
      </c>
    </row>
    <row r="196" spans="1:6" x14ac:dyDescent="0.25">
      <c r="A196" s="99" t="s">
        <v>295</v>
      </c>
      <c r="B196" s="49">
        <v>153229333</v>
      </c>
      <c r="C196" s="49">
        <v>64365350</v>
      </c>
      <c r="D196" s="49">
        <v>34679057.950792499</v>
      </c>
      <c r="E196" s="50">
        <f>VLOOKUP($A196,'Data shares'!$C:$FA,154)*100</f>
        <v>42.74</v>
      </c>
      <c r="F196" s="173">
        <f>C196/B196</f>
        <v>0.4200589321889171</v>
      </c>
    </row>
    <row r="197" spans="1:6" x14ac:dyDescent="0.25">
      <c r="A197" s="99" t="s">
        <v>296</v>
      </c>
      <c r="B197" s="49">
        <v>95553300</v>
      </c>
      <c r="C197" s="49">
        <v>27438600</v>
      </c>
      <c r="D197" s="49">
        <v>17431333.661352001</v>
      </c>
      <c r="E197" s="50">
        <f>VLOOKUP($A197,'Data shares'!$C:$FA,154)*100</f>
        <v>29.080000000000002</v>
      </c>
      <c r="F197" s="173">
        <f>C197/B197</f>
        <v>0.28715491772654633</v>
      </c>
    </row>
    <row r="198" spans="1:6" x14ac:dyDescent="0.25">
      <c r="A198" s="99" t="s">
        <v>594</v>
      </c>
      <c r="B198" s="49">
        <v>16239060</v>
      </c>
      <c r="C198" s="49">
        <v>3438200</v>
      </c>
      <c r="D198" s="49">
        <v>2613228.0489599998</v>
      </c>
      <c r="E198" s="50">
        <f>VLOOKUP($A198,'Data shares'!$C:$FA,154)*100</f>
        <v>21.23</v>
      </c>
      <c r="F198" s="173">
        <f>C198/B198</f>
        <v>0.21172407762518275</v>
      </c>
    </row>
    <row r="199" spans="1:6" x14ac:dyDescent="0.25">
      <c r="A199" s="99" t="s">
        <v>297</v>
      </c>
      <c r="B199" s="49">
        <v>41744334</v>
      </c>
      <c r="C199" s="49">
        <v>15722700</v>
      </c>
      <c r="D199" s="49">
        <v>9285508.3340302501</v>
      </c>
      <c r="E199" s="50"/>
      <c r="F199" s="173">
        <f>C199/B199</f>
        <v>0.37664273192141479</v>
      </c>
    </row>
    <row r="200" spans="1:6" x14ac:dyDescent="0.25">
      <c r="A200" s="99" t="s">
        <v>687</v>
      </c>
      <c r="B200" s="49">
        <v>317244234</v>
      </c>
      <c r="C200" s="49">
        <v>120691200</v>
      </c>
      <c r="D200" s="49">
        <v>57479878.167640001</v>
      </c>
      <c r="E200" s="50"/>
      <c r="F200" s="173">
        <f>C200/B200</f>
        <v>0.3804362288267783</v>
      </c>
    </row>
    <row r="201" spans="1:6" x14ac:dyDescent="0.25">
      <c r="A201" s="99" t="s">
        <v>298</v>
      </c>
      <c r="B201" s="49">
        <v>10726004</v>
      </c>
      <c r="C201" s="49">
        <v>4230000</v>
      </c>
      <c r="D201" s="49">
        <v>3117235.0795425</v>
      </c>
      <c r="E201" s="50">
        <f>VLOOKUP($A201,'Data shares'!$C:$FA,154)*100</f>
        <v>40.28</v>
      </c>
      <c r="F201" s="173">
        <f>C201/B201</f>
        <v>0.39436867634955197</v>
      </c>
    </row>
    <row r="202" spans="1:6" x14ac:dyDescent="0.25">
      <c r="A202" s="99" t="s">
        <v>299</v>
      </c>
      <c r="B202" s="49">
        <v>24646022</v>
      </c>
      <c r="C202" s="49">
        <v>5030300</v>
      </c>
      <c r="D202" s="49">
        <v>3045715.5823545</v>
      </c>
      <c r="E202" s="50">
        <f>VLOOKUP($A202,'Data shares'!$C:$FA,154)*100</f>
        <v>20.669999999999998</v>
      </c>
      <c r="F202" s="173">
        <f>C202/B202</f>
        <v>0.20410190334164272</v>
      </c>
    </row>
    <row r="203" spans="1:6" x14ac:dyDescent="0.25">
      <c r="A203" s="99" t="s">
        <v>482</v>
      </c>
      <c r="B203" s="49">
        <v>33590487</v>
      </c>
      <c r="C203" s="49">
        <v>13334100</v>
      </c>
      <c r="D203" s="49">
        <v>7290330.8632150004</v>
      </c>
      <c r="E203" s="50">
        <f>VLOOKUP($A203,'Data shares'!$C:$FA,154)*100</f>
        <v>40.489999999999995</v>
      </c>
      <c r="F203" s="173">
        <f>C203/B203</f>
        <v>0.39696060375665287</v>
      </c>
    </row>
    <row r="204" spans="1:6" x14ac:dyDescent="0.25">
      <c r="A204" s="99" t="s">
        <v>300</v>
      </c>
      <c r="B204" s="49">
        <v>32253708</v>
      </c>
      <c r="C204" s="49">
        <v>10932250</v>
      </c>
      <c r="D204" s="49">
        <v>8208032.7444937499</v>
      </c>
      <c r="E204" s="50">
        <f>VLOOKUP($A204,'Data shares'!$C:$FA,154)*100</f>
        <v>34.21</v>
      </c>
      <c r="F204" s="173">
        <f>C204/B204</f>
        <v>0.33894552527107891</v>
      </c>
    </row>
    <row r="205" spans="1:6" x14ac:dyDescent="0.25">
      <c r="A205" s="99" t="s">
        <v>302</v>
      </c>
      <c r="B205" s="49">
        <v>12994504</v>
      </c>
      <c r="C205" s="49">
        <v>3493250</v>
      </c>
      <c r="D205" s="49">
        <v>2424106.6872345</v>
      </c>
      <c r="E205" s="50">
        <f>VLOOKUP($A205,'Data shares'!$C:$FA,154)*100</f>
        <v>27.200000000000003</v>
      </c>
      <c r="F205" s="173">
        <f>C205/B205</f>
        <v>0.26882518948010636</v>
      </c>
    </row>
    <row r="206" spans="1:6" x14ac:dyDescent="0.25">
      <c r="A206" s="99" t="s">
        <v>592</v>
      </c>
      <c r="B206" s="49">
        <v>289041713</v>
      </c>
      <c r="C206" s="49">
        <v>171902400</v>
      </c>
      <c r="D206" s="49">
        <v>95647145.881418198</v>
      </c>
      <c r="E206" s="50"/>
      <c r="F206" s="173">
        <f>C206/B206</f>
        <v>0.5947321520337101</v>
      </c>
    </row>
    <row r="207" spans="1:6" x14ac:dyDescent="0.25">
      <c r="A207" s="99" t="s">
        <v>568</v>
      </c>
      <c r="B207" s="49">
        <v>38847259</v>
      </c>
      <c r="C207" s="49">
        <v>20387600</v>
      </c>
      <c r="D207" s="49">
        <v>12345684.007948</v>
      </c>
      <c r="E207" s="50">
        <f>VLOOKUP($A207,'Data shares'!$C:$FA,154)*100</f>
        <v>53.010000000000005</v>
      </c>
      <c r="F207" s="173">
        <f>C207/B207</f>
        <v>0.52481437622149862</v>
      </c>
    </row>
    <row r="208" spans="1:6" x14ac:dyDescent="0.25">
      <c r="A208" s="99" t="s">
        <v>672</v>
      </c>
      <c r="B208" s="49">
        <v>27343613</v>
      </c>
      <c r="C208" s="49">
        <v>7040000</v>
      </c>
      <c r="D208" s="49">
        <v>4536772.2493390003</v>
      </c>
      <c r="E208" s="50">
        <f>VLOOKUP($A208,'Data shares'!$C:$FA,154)*100</f>
        <v>26.02</v>
      </c>
      <c r="F208" s="173">
        <f>C208/B208</f>
        <v>0.25746414711179538</v>
      </c>
    </row>
    <row r="209" spans="1:6" x14ac:dyDescent="0.25">
      <c r="A209" s="99" t="s">
        <v>303</v>
      </c>
      <c r="B209" s="49">
        <v>84189026</v>
      </c>
      <c r="C209" s="49">
        <v>46884355</v>
      </c>
      <c r="D209" s="49">
        <v>27838495.414972</v>
      </c>
      <c r="E209" s="50">
        <f>VLOOKUP($A209,'Data shares'!$C:$FA,154)*100</f>
        <v>56.210000000000008</v>
      </c>
      <c r="F209" s="173">
        <f>C209/B209</f>
        <v>0.556893899687116</v>
      </c>
    </row>
    <row r="210" spans="1:6" x14ac:dyDescent="0.25">
      <c r="A210" s="99" t="s">
        <v>585</v>
      </c>
      <c r="B210" s="49">
        <v>205765243</v>
      </c>
      <c r="C210" s="49">
        <v>72726750</v>
      </c>
      <c r="D210" s="49">
        <v>43403666.515166201</v>
      </c>
      <c r="E210" s="50">
        <f>VLOOKUP($A210,'Data shares'!$C:$FA,154)*100</f>
        <v>35.97</v>
      </c>
      <c r="F210" s="173">
        <f>C210/B210</f>
        <v>0.35344526091804535</v>
      </c>
    </row>
    <row r="211" spans="1:6" x14ac:dyDescent="0.25">
      <c r="A211" s="99" t="s">
        <v>304</v>
      </c>
      <c r="B211" s="49">
        <v>255495438</v>
      </c>
      <c r="C211" s="49">
        <v>110887600</v>
      </c>
      <c r="D211" s="49">
        <v>50990253.431431003</v>
      </c>
      <c r="E211" s="50">
        <f>VLOOKUP($A211,'Data shares'!$C:$FA,154)*100</f>
        <v>44.529999999999994</v>
      </c>
      <c r="F211" s="173">
        <f>C211/B211</f>
        <v>0.43401009766757559</v>
      </c>
    </row>
    <row r="212" spans="1:6" x14ac:dyDescent="0.25">
      <c r="A212" s="99" t="s">
        <v>697</v>
      </c>
      <c r="B212" s="49">
        <v>321828727</v>
      </c>
      <c r="C212" s="49">
        <v>37956100</v>
      </c>
      <c r="D212" s="49">
        <v>27517341.788362499</v>
      </c>
      <c r="E212" s="50">
        <f>VLOOKUP($A212,'Data shares'!$C:$FA,154)*100</f>
        <v>11.85</v>
      </c>
      <c r="F212" s="173">
        <f>C212/B212</f>
        <v>0.11793881905390005</v>
      </c>
    </row>
    <row r="213" spans="1:6" x14ac:dyDescent="0.25">
      <c r="A213" s="99" t="s">
        <v>305</v>
      </c>
      <c r="B213" s="49">
        <v>25134629</v>
      </c>
      <c r="C213" s="49">
        <v>20125875</v>
      </c>
      <c r="D213" s="49">
        <v>9170727.9730462506</v>
      </c>
      <c r="E213" s="50"/>
      <c r="F213" s="173">
        <f>C213/B213</f>
        <v>0.80072297864432374</v>
      </c>
    </row>
    <row r="214" spans="1:6" x14ac:dyDescent="0.25">
      <c r="A214" s="99" t="s">
        <v>690</v>
      </c>
      <c r="B214" s="49">
        <v>15436318</v>
      </c>
      <c r="C214" s="49">
        <v>8330525</v>
      </c>
      <c r="D214" s="49">
        <v>4205653.1513675004</v>
      </c>
      <c r="E214" s="50">
        <f>VLOOKUP($A214,'Data shares'!$C:$FA,154)*100</f>
        <v>55.13</v>
      </c>
      <c r="F214" s="173">
        <f>C214/B214</f>
        <v>0.53967047063943618</v>
      </c>
    </row>
    <row r="215" spans="1:6" x14ac:dyDescent="0.25">
      <c r="A215" s="99" t="s">
        <v>306</v>
      </c>
      <c r="B215" s="49">
        <v>428710078</v>
      </c>
      <c r="C215" s="49">
        <v>562128000</v>
      </c>
      <c r="D215" s="49">
        <v>225720235.11495</v>
      </c>
      <c r="E215" s="50">
        <f>VLOOKUP($A215,'Data shares'!$C:$FA,154)*100</f>
        <v>134.28</v>
      </c>
      <c r="F215" s="173">
        <f>C215/B215</f>
        <v>1.3112078041701647</v>
      </c>
    </row>
    <row r="216" spans="1:6" x14ac:dyDescent="0.25">
      <c r="A216" s="99" t="s">
        <v>589</v>
      </c>
      <c r="B216" s="49">
        <v>3425130022</v>
      </c>
      <c r="C216" s="49">
        <v>2027533400</v>
      </c>
      <c r="D216" s="49">
        <v>1177575805.1949201</v>
      </c>
      <c r="E216" s="50">
        <f>VLOOKUP($A216,'Data shares'!$C:$FA,154)*100</f>
        <v>60.089999999999996</v>
      </c>
      <c r="F216" s="173">
        <f>C216/B216</f>
        <v>0.59195808246020509</v>
      </c>
    </row>
    <row r="217" spans="1:6" x14ac:dyDescent="0.25">
      <c r="A217" s="99" t="s">
        <v>556</v>
      </c>
      <c r="B217" s="49">
        <v>25160867</v>
      </c>
      <c r="C217" s="49">
        <v>14391900</v>
      </c>
      <c r="D217" s="49">
        <v>8872434.8815320004</v>
      </c>
      <c r="E217" s="50">
        <f>VLOOKUP($A217,'Data shares'!$C:$FA,154)*100</f>
        <v>57.620000000000005</v>
      </c>
      <c r="F217" s="173">
        <f>C217/B217</f>
        <v>0.5719953926865875</v>
      </c>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7">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I35" sqref="I35"/>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1" t="s">
        <v>420</v>
      </c>
      <c r="B4" s="322"/>
      <c r="C4" s="322"/>
      <c r="D4" s="322"/>
      <c r="E4" s="322"/>
      <c r="F4" s="322"/>
      <c r="G4" s="322"/>
      <c r="H4" s="322"/>
      <c r="I4" s="322"/>
      <c r="J4" s="322"/>
      <c r="K4" s="322"/>
      <c r="L4" s="322"/>
      <c r="M4" s="322"/>
      <c r="N4" s="323"/>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578</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578</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578</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605</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605</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605</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608</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608</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608</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597</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597</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597</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588</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588</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588</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601</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601</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601</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583</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583</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583</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610</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610</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610</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596</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596</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596</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600</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600</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600</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611</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611</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611</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571</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571</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571</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599</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599</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599</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582</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582</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582</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630</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630</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630</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575</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575</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575</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607</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607</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607</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577</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577</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577</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593</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593</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593</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591</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591</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591</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569</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569</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569</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580</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580</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580</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579</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579</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579</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581</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581</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581</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609</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609</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609</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576</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576</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576</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606</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606</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606</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587</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587</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587</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564</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564</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564</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560</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560</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560</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602</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602</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602</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562</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562</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562</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558</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558</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558</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590</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590</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590</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584</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584</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584</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565</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565</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565</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612</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612</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612</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586</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586</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586</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574</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574</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574</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572</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572</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572</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595</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595</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595</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604</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604</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604</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563</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563</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563</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561</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561</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561</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598</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598</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598</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613</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613</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613</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573</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573</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573</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603</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603</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603</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594</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594</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594</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592</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592</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592</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568</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568</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568</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585</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585</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585</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589</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589</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589</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570</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570</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570</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556</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556</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556</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4" t="s">
        <v>380</v>
      </c>
      <c r="B3" s="325"/>
      <c r="C3" s="325"/>
      <c r="D3" s="325"/>
      <c r="E3" s="325"/>
      <c r="F3" s="325"/>
      <c r="G3" s="326"/>
    </row>
    <row r="4" spans="1:7" s="72" customFormat="1" x14ac:dyDescent="0.25">
      <c r="A4" s="108" t="s">
        <v>330</v>
      </c>
      <c r="B4" s="327" t="s">
        <v>380</v>
      </c>
      <c r="C4" s="327"/>
      <c r="D4" s="327"/>
      <c r="E4" s="327"/>
      <c r="F4" s="327"/>
      <c r="G4" s="327"/>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14.04</v>
      </c>
      <c r="F6" s="49">
        <f>VLOOKUP($A6,'Data shares'!$C:$FA,129)</f>
        <v>1330000</v>
      </c>
      <c r="G6" s="17"/>
    </row>
    <row r="7" spans="1:7" x14ac:dyDescent="0.25">
      <c r="A7" s="101" t="s">
        <v>228</v>
      </c>
      <c r="B7" s="17">
        <v>292206563</v>
      </c>
      <c r="C7" s="17">
        <v>71903525</v>
      </c>
      <c r="D7" s="17">
        <f t="shared" ref="D7:D70" si="0">C7</f>
        <v>71903525</v>
      </c>
      <c r="E7" s="49">
        <f>VLOOKUP($A7,'Data shares'!$C:$FA,128)*100</f>
        <v>12.839999999999998</v>
      </c>
      <c r="F7" s="49">
        <f>VLOOKUP($A7,'Data shares'!$C:$FA,129)</f>
        <v>4561900</v>
      </c>
      <c r="G7" s="17"/>
    </row>
    <row r="8" spans="1:7" x14ac:dyDescent="0.25">
      <c r="A8" s="101" t="s">
        <v>200</v>
      </c>
      <c r="B8" s="17">
        <v>417418754</v>
      </c>
      <c r="C8" s="17">
        <v>109662000</v>
      </c>
      <c r="D8" s="17">
        <f t="shared" si="0"/>
        <v>109662000</v>
      </c>
      <c r="E8" s="49">
        <f>VLOOKUP($A8,'Data shares'!$C:$FA,128)*100</f>
        <v>11.12</v>
      </c>
      <c r="F8" s="49">
        <f>VLOOKUP($A8,'Data shares'!$C:$FA,129)</f>
        <v>6674400</v>
      </c>
      <c r="G8" s="17"/>
    </row>
    <row r="9" spans="1:7" x14ac:dyDescent="0.25">
      <c r="A9" s="101" t="s">
        <v>214</v>
      </c>
      <c r="B9" s="17">
        <v>30110093</v>
      </c>
      <c r="C9" s="17">
        <v>10703050</v>
      </c>
      <c r="D9" s="17">
        <f t="shared" si="0"/>
        <v>10703050</v>
      </c>
      <c r="E9" s="49">
        <f>VLOOKUP($A9,'Data shares'!$C:$FA,128)*100</f>
        <v>1.24</v>
      </c>
      <c r="F9" s="49">
        <f>VLOOKUP($A9,'Data shares'!$C:$FA,129)</f>
        <v>94875</v>
      </c>
      <c r="G9" s="17"/>
    </row>
    <row r="10" spans="1:7" x14ac:dyDescent="0.25">
      <c r="A10" s="101" t="s">
        <v>243</v>
      </c>
      <c r="B10" s="17">
        <v>80699820</v>
      </c>
      <c r="C10" s="17">
        <v>65367500</v>
      </c>
      <c r="D10" s="17">
        <f t="shared" si="0"/>
        <v>65367500</v>
      </c>
      <c r="E10" s="49">
        <f>VLOOKUP($A10,'Data shares'!$C:$FA,128)*100</f>
        <v>12.34</v>
      </c>
      <c r="F10" s="49">
        <f>VLOOKUP($A10,'Data shares'!$C:$FA,129)</f>
        <v>1501250</v>
      </c>
      <c r="G10" s="17"/>
    </row>
    <row r="11" spans="1:7" x14ac:dyDescent="0.25">
      <c r="A11" s="101" t="s">
        <v>231</v>
      </c>
      <c r="B11" s="17">
        <v>80556813</v>
      </c>
      <c r="C11" s="17">
        <v>62967200</v>
      </c>
      <c r="D11" s="17">
        <f t="shared" si="0"/>
        <v>62967200</v>
      </c>
      <c r="E11" s="49">
        <f>VLOOKUP($A11,'Data shares'!$C:$FA,128)*100</f>
        <v>22.79</v>
      </c>
      <c r="F11" s="49">
        <f>VLOOKUP($A11,'Data shares'!$C:$FA,129)</f>
        <v>1542750</v>
      </c>
      <c r="G11" s="17"/>
    </row>
    <row r="12" spans="1:7" x14ac:dyDescent="0.25">
      <c r="A12" s="101" t="s">
        <v>195</v>
      </c>
      <c r="B12" s="17">
        <v>23823080</v>
      </c>
      <c r="C12" s="17">
        <v>2862400</v>
      </c>
      <c r="D12" s="17">
        <f t="shared" si="0"/>
        <v>2862400</v>
      </c>
      <c r="E12" s="49">
        <f>VLOOKUP($A12,'Data shares'!$C:$FA,128)*100</f>
        <v>3.55</v>
      </c>
      <c r="F12" s="49">
        <f>VLOOKUP($A12,'Data shares'!$C:$FA,129)</f>
        <v>100125</v>
      </c>
      <c r="G12" s="17"/>
    </row>
    <row r="13" spans="1:7" x14ac:dyDescent="0.25">
      <c r="A13" s="101" t="s">
        <v>304</v>
      </c>
      <c r="B13" s="17">
        <v>223492679</v>
      </c>
      <c r="C13" s="17">
        <v>98465300</v>
      </c>
      <c r="D13" s="17">
        <f t="shared" si="0"/>
        <v>98465300</v>
      </c>
      <c r="E13" s="49">
        <f>VLOOKUP($A13,'Data shares'!$C:$FA,128)*100</f>
        <v>6.3</v>
      </c>
      <c r="F13" s="49">
        <f>VLOOKUP($A13,'Data shares'!$C:$FA,129)</f>
        <v>2594400</v>
      </c>
      <c r="G13" s="17"/>
    </row>
    <row r="14" spans="1:7" x14ac:dyDescent="0.25">
      <c r="A14" s="101" t="s">
        <v>167</v>
      </c>
      <c r="B14" s="17">
        <v>282181803</v>
      </c>
      <c r="C14" s="17">
        <v>95526000</v>
      </c>
      <c r="D14" s="17">
        <f t="shared" si="0"/>
        <v>95526000</v>
      </c>
      <c r="E14" s="49">
        <f>VLOOKUP($A14,'Data shares'!$C:$FA,128)*100</f>
        <v>10.02</v>
      </c>
      <c r="F14" s="49">
        <f>VLOOKUP($A14,'Data shares'!$C:$FA,129)</f>
        <v>10255000</v>
      </c>
      <c r="G14" s="17"/>
    </row>
    <row r="15" spans="1:7" x14ac:dyDescent="0.25">
      <c r="A15" s="101" t="s">
        <v>222</v>
      </c>
      <c r="B15" s="17">
        <v>214194964</v>
      </c>
      <c r="C15" s="17">
        <v>37437400</v>
      </c>
      <c r="D15" s="17">
        <f t="shared" si="0"/>
        <v>37437400</v>
      </c>
      <c r="E15" s="49">
        <f>VLOOKUP($A15,'Data shares'!$C:$FA,128)*100</f>
        <v>14.37</v>
      </c>
      <c r="F15" s="49">
        <f>VLOOKUP($A15,'Data shares'!$C:$FA,129)</f>
        <v>5361300</v>
      </c>
      <c r="G15" s="17"/>
    </row>
    <row r="16" spans="1:7" x14ac:dyDescent="0.25">
      <c r="A16" s="101" t="s">
        <v>290</v>
      </c>
      <c r="B16" s="17">
        <v>31601465</v>
      </c>
      <c r="C16" s="17">
        <v>13192000</v>
      </c>
      <c r="D16" s="17">
        <f t="shared" si="0"/>
        <v>13192000</v>
      </c>
      <c r="E16" s="49">
        <f>VLOOKUP($A16,'Data shares'!$C:$FA,128)*100</f>
        <v>3.66</v>
      </c>
      <c r="F16" s="49">
        <f>VLOOKUP($A16,'Data shares'!$C:$FA,129)</f>
        <v>1430000</v>
      </c>
      <c r="G16" s="17"/>
    </row>
    <row r="17" spans="1:7" x14ac:dyDescent="0.25">
      <c r="A17" s="101" t="s">
        <v>500</v>
      </c>
      <c r="B17" s="17">
        <v>24930381</v>
      </c>
      <c r="C17" s="17">
        <v>1925625</v>
      </c>
      <c r="D17" s="17">
        <f t="shared" si="0"/>
        <v>1925625</v>
      </c>
      <c r="E17" s="49">
        <f>VLOOKUP($A17,'Data shares'!$C:$FA,128)*100</f>
        <v>6.43</v>
      </c>
      <c r="F17" s="49">
        <f>VLOOKUP($A17,'Data shares'!$C:$FA,129)</f>
        <v>1151250</v>
      </c>
      <c r="G17" s="17"/>
    </row>
    <row r="18" spans="1:7" x14ac:dyDescent="0.25">
      <c r="A18" s="101" t="s">
        <v>491</v>
      </c>
      <c r="B18" s="17">
        <v>53841317</v>
      </c>
      <c r="C18" s="17">
        <v>9268750</v>
      </c>
      <c r="D18" s="17">
        <f t="shared" si="0"/>
        <v>9268750</v>
      </c>
      <c r="E18" s="49">
        <f>VLOOKUP($A18,'Data shares'!$C:$FA,128)*100</f>
        <v>13.62</v>
      </c>
      <c r="F18" s="49">
        <f>VLOOKUP($A18,'Data shares'!$C:$FA,129)</f>
        <v>1894250</v>
      </c>
      <c r="G18" s="17"/>
    </row>
    <row r="19" spans="1:7" x14ac:dyDescent="0.25">
      <c r="A19" s="101" t="s">
        <v>257</v>
      </c>
      <c r="B19" s="17">
        <v>43771086</v>
      </c>
      <c r="C19" s="17">
        <v>2865850</v>
      </c>
      <c r="D19" s="17">
        <f t="shared" si="0"/>
        <v>2865850</v>
      </c>
      <c r="E19" s="49">
        <f>VLOOKUP($A19,'Data shares'!$C:$FA,128)*100</f>
        <v>0.38999999999999996</v>
      </c>
      <c r="F19" s="49">
        <f>VLOOKUP($A19,'Data shares'!$C:$FA,129)</f>
        <v>36800</v>
      </c>
      <c r="G19" s="17"/>
    </row>
    <row r="20" spans="1:7" x14ac:dyDescent="0.25">
      <c r="A20" s="101" t="s">
        <v>259</v>
      </c>
      <c r="B20" s="17">
        <v>12838406</v>
      </c>
      <c r="C20" s="17">
        <v>3561800</v>
      </c>
      <c r="D20" s="17">
        <f t="shared" si="0"/>
        <v>3561800</v>
      </c>
      <c r="E20" s="49">
        <f>VLOOKUP($A20,'Data shares'!$C:$FA,128)*100</f>
        <v>5.1499999999999995</v>
      </c>
      <c r="F20" s="49">
        <f>VLOOKUP($A20,'Data shares'!$C:$FA,129)</f>
        <v>126000</v>
      </c>
      <c r="G20" s="17"/>
    </row>
    <row r="21" spans="1:7" x14ac:dyDescent="0.25">
      <c r="A21" s="101" t="s">
        <v>212</v>
      </c>
      <c r="B21" s="17">
        <v>393764205</v>
      </c>
      <c r="C21" s="17">
        <v>124730000</v>
      </c>
      <c r="D21" s="17">
        <f t="shared" si="0"/>
        <v>124730000</v>
      </c>
      <c r="E21" s="49">
        <f>VLOOKUP($A21,'Data shares'!$C:$FA,128)*100</f>
        <v>8.19</v>
      </c>
      <c r="F21" s="49">
        <f>VLOOKUP($A21,'Data shares'!$C:$FA,129)</f>
        <v>6165000</v>
      </c>
      <c r="G21" s="17"/>
    </row>
    <row r="22" spans="1:7" x14ac:dyDescent="0.25">
      <c r="A22" s="101" t="s">
        <v>209</v>
      </c>
      <c r="B22" s="17">
        <v>27768950</v>
      </c>
      <c r="C22" s="17">
        <v>5371100</v>
      </c>
      <c r="D22" s="17">
        <f t="shared" si="0"/>
        <v>5371100</v>
      </c>
      <c r="E22" s="49">
        <f>VLOOKUP($A22,'Data shares'!$C:$FA,128)*100</f>
        <v>15.540000000000001</v>
      </c>
      <c r="F22" s="49">
        <f>VLOOKUP($A22,'Data shares'!$C:$FA,129)</f>
        <v>675500</v>
      </c>
      <c r="G22" s="17"/>
    </row>
    <row r="23" spans="1:7" x14ac:dyDescent="0.25">
      <c r="A23" s="101" t="s">
        <v>501</v>
      </c>
      <c r="B23" s="17">
        <v>155792872</v>
      </c>
      <c r="C23" s="17">
        <v>50166406</v>
      </c>
      <c r="D23" s="17">
        <f t="shared" si="0"/>
        <v>50166406</v>
      </c>
      <c r="E23" s="49">
        <f>VLOOKUP($A23,'Data shares'!$C:$FA,128)*100</f>
        <v>10.050000000000001</v>
      </c>
      <c r="F23" s="49">
        <f>VLOOKUP($A23,'Data shares'!$C:$FA,129)</f>
        <v>842000</v>
      </c>
      <c r="G23" s="17"/>
    </row>
    <row r="24" spans="1:7" x14ac:dyDescent="0.25">
      <c r="A24" s="101" t="s">
        <v>276</v>
      </c>
      <c r="B24" s="17">
        <v>678857930</v>
      </c>
      <c r="C24" s="17">
        <v>84677374</v>
      </c>
      <c r="D24" s="17">
        <f t="shared" si="0"/>
        <v>84677374</v>
      </c>
      <c r="E24" s="49">
        <f>VLOOKUP($A24,'Data shares'!$C:$FA,128)*100</f>
        <v>10.96</v>
      </c>
      <c r="F24" s="49">
        <f>VLOOKUP($A24,'Data shares'!$C:$FA,129)</f>
        <v>8320100</v>
      </c>
      <c r="G24" s="17"/>
    </row>
    <row r="25" spans="1:7" x14ac:dyDescent="0.25">
      <c r="A25" s="101" t="s">
        <v>210</v>
      </c>
      <c r="B25" s="17">
        <v>14114257</v>
      </c>
      <c r="C25" s="17">
        <v>11000000</v>
      </c>
      <c r="D25" s="17">
        <f t="shared" si="0"/>
        <v>11000000</v>
      </c>
      <c r="E25" s="49">
        <f>VLOOKUP($A25,'Data shares'!$C:$FA,128)*100</f>
        <v>15.540000000000001</v>
      </c>
      <c r="F25" s="49">
        <f>VLOOKUP($A25,'Data shares'!$C:$FA,129)</f>
        <v>675500</v>
      </c>
      <c r="G25" s="17"/>
    </row>
    <row r="26" spans="1:7" x14ac:dyDescent="0.25">
      <c r="A26" s="101" t="s">
        <v>267</v>
      </c>
      <c r="B26" s="17">
        <v>229794455</v>
      </c>
      <c r="C26" s="17">
        <v>133289800</v>
      </c>
      <c r="D26" s="17">
        <f t="shared" si="0"/>
        <v>133289800</v>
      </c>
      <c r="E26" s="49">
        <f>VLOOKUP($A26,'Data shares'!$C:$FA,128)*100</f>
        <v>6.0699999999999994</v>
      </c>
      <c r="F26" s="49">
        <f>VLOOKUP($A26,'Data shares'!$C:$FA,129)</f>
        <v>13608000</v>
      </c>
      <c r="G26" s="17"/>
    </row>
    <row r="27" spans="1:7" x14ac:dyDescent="0.25">
      <c r="A27" s="101" t="s">
        <v>533</v>
      </c>
      <c r="B27" s="17">
        <v>61337685</v>
      </c>
      <c r="C27" s="17">
        <v>24741600</v>
      </c>
      <c r="D27" s="17">
        <f t="shared" si="0"/>
        <v>24741600</v>
      </c>
      <c r="E27" s="49">
        <f>VLOOKUP($A27,'Data shares'!$C:$FA,128)*100</f>
        <v>9.7000000000000011</v>
      </c>
      <c r="F27" s="49">
        <f>VLOOKUP($A27,'Data shares'!$C:$FA,129)</f>
        <v>999750</v>
      </c>
      <c r="G27" s="17"/>
    </row>
    <row r="28" spans="1:7" x14ac:dyDescent="0.25">
      <c r="A28" s="101" t="s">
        <v>502</v>
      </c>
      <c r="B28" s="17">
        <v>5165920</v>
      </c>
      <c r="C28" s="17">
        <v>1179400</v>
      </c>
      <c r="D28" s="17">
        <f t="shared" si="0"/>
        <v>1179400</v>
      </c>
      <c r="E28" s="49">
        <f>VLOOKUP($A28,'Data shares'!$C:$FA,128)*100</f>
        <v>4.45</v>
      </c>
      <c r="F28" s="49">
        <f>VLOOKUP($A28,'Data shares'!$C:$FA,129)</f>
        <v>506875</v>
      </c>
      <c r="G28" s="17"/>
    </row>
    <row r="29" spans="1:7" x14ac:dyDescent="0.25">
      <c r="A29" s="101" t="s">
        <v>474</v>
      </c>
      <c r="B29" s="17">
        <v>7339737</v>
      </c>
      <c r="C29" s="17">
        <v>979625</v>
      </c>
      <c r="D29" s="17">
        <f t="shared" si="0"/>
        <v>979625</v>
      </c>
      <c r="E29" s="49">
        <f>VLOOKUP($A29,'Data shares'!$C:$FA,128)*100</f>
        <v>6.94</v>
      </c>
      <c r="F29" s="49">
        <f>VLOOKUP($A29,'Data shares'!$C:$FA,129)</f>
        <v>438600</v>
      </c>
      <c r="G29" s="17"/>
    </row>
    <row r="30" spans="1:7" x14ac:dyDescent="0.25">
      <c r="A30" s="101" t="s">
        <v>158</v>
      </c>
      <c r="B30" s="17">
        <v>17078428</v>
      </c>
      <c r="C30" s="17">
        <v>3648750</v>
      </c>
      <c r="D30" s="17">
        <f t="shared" si="0"/>
        <v>3648750</v>
      </c>
      <c r="E30" s="49">
        <f>VLOOKUP($A30,'Data shares'!$C:$FA,128)*100</f>
        <v>2.2599999999999998</v>
      </c>
      <c r="F30" s="49">
        <f>VLOOKUP($A30,'Data shares'!$C:$FA,129)</f>
        <v>840100</v>
      </c>
      <c r="G30" s="17"/>
    </row>
    <row r="31" spans="1:7" x14ac:dyDescent="0.25">
      <c r="A31" s="101" t="s">
        <v>268</v>
      </c>
      <c r="B31" s="17">
        <v>948263976</v>
      </c>
      <c r="C31" s="17">
        <v>170042400</v>
      </c>
      <c r="D31" s="17">
        <f t="shared" si="0"/>
        <v>170042400</v>
      </c>
      <c r="E31" s="49">
        <f>VLOOKUP($A31,'Data shares'!$C:$FA,128)*100</f>
        <v>15.73</v>
      </c>
      <c r="F31" s="49">
        <f>VLOOKUP($A31,'Data shares'!$C:$FA,129)</f>
        <v>12852000</v>
      </c>
      <c r="G31" s="17"/>
    </row>
    <row r="32" spans="1:7" x14ac:dyDescent="0.25">
      <c r="A32" s="101" t="s">
        <v>556</v>
      </c>
      <c r="B32" s="17">
        <v>51441633</v>
      </c>
      <c r="C32" s="17">
        <v>26329600</v>
      </c>
      <c r="D32" s="17">
        <f t="shared" si="0"/>
        <v>26329600</v>
      </c>
      <c r="E32" s="49">
        <f>VLOOKUP($A32,'Data shares'!$C:$FA,128)*100</f>
        <v>3.16</v>
      </c>
      <c r="F32" s="49">
        <f>VLOOKUP($A32,'Data shares'!$C:$FA,129)</f>
        <v>227700</v>
      </c>
      <c r="G32" s="17"/>
    </row>
    <row r="33" spans="1:7" x14ac:dyDescent="0.25">
      <c r="A33" s="101" t="s">
        <v>549</v>
      </c>
      <c r="B33" s="17">
        <v>319287188</v>
      </c>
      <c r="C33" s="17">
        <v>149780000</v>
      </c>
      <c r="D33" s="17">
        <f t="shared" si="0"/>
        <v>149780000</v>
      </c>
      <c r="E33" s="49">
        <f>VLOOKUP($A33,'Data shares'!$C:$FA,128)*100</f>
        <v>9.73</v>
      </c>
      <c r="F33" s="49">
        <f>VLOOKUP($A33,'Data shares'!$C:$FA,129)</f>
        <v>458655075</v>
      </c>
      <c r="G33" s="17"/>
    </row>
    <row r="34" spans="1:7" x14ac:dyDescent="0.25">
      <c r="A34" s="101" t="s">
        <v>536</v>
      </c>
      <c r="B34" s="17">
        <v>57585215</v>
      </c>
      <c r="C34" s="17">
        <v>5314000</v>
      </c>
      <c r="D34" s="17">
        <f t="shared" si="0"/>
        <v>5314000</v>
      </c>
      <c r="E34" s="49">
        <f>VLOOKUP($A34,'Data shares'!$C:$FA,128)*100</f>
        <v>15.85</v>
      </c>
      <c r="F34" s="49">
        <f>VLOOKUP($A34,'Data shares'!$C:$FA,129)</f>
        <v>3758400</v>
      </c>
      <c r="G34" s="17"/>
    </row>
    <row r="35" spans="1:7" x14ac:dyDescent="0.25">
      <c r="A35" s="101" t="s">
        <v>270</v>
      </c>
      <c r="B35" s="17">
        <v>1178038</v>
      </c>
      <c r="C35" s="17">
        <v>100890</v>
      </c>
      <c r="D35" s="17">
        <f t="shared" si="0"/>
        <v>100890</v>
      </c>
      <c r="E35" s="49">
        <f>VLOOKUP($A35,'Data shares'!$C:$FA,128)*100</f>
        <v>3.44</v>
      </c>
      <c r="F35" s="49">
        <f>VLOOKUP($A35,'Data shares'!$C:$FA,129)</f>
        <v>9585</v>
      </c>
      <c r="G35" s="17"/>
    </row>
    <row r="36" spans="1:7" x14ac:dyDescent="0.25">
      <c r="A36" s="101" t="s">
        <v>258</v>
      </c>
      <c r="B36" s="17">
        <v>13335005</v>
      </c>
      <c r="C36" s="17">
        <v>5970600</v>
      </c>
      <c r="D36" s="17">
        <f t="shared" si="0"/>
        <v>5970600</v>
      </c>
      <c r="E36" s="49">
        <f>VLOOKUP($A36,'Data shares'!$C:$FA,128)*100</f>
        <v>0.38999999999999996</v>
      </c>
      <c r="F36" s="49">
        <f>VLOOKUP($A36,'Data shares'!$C:$FA,129)</f>
        <v>36800</v>
      </c>
      <c r="G36" s="17"/>
    </row>
    <row r="37" spans="1:7" x14ac:dyDescent="0.25">
      <c r="A37" s="101" t="s">
        <v>301</v>
      </c>
      <c r="B37" s="17">
        <v>14428803</v>
      </c>
      <c r="C37" s="17">
        <v>2171400</v>
      </c>
      <c r="D37" s="17">
        <f t="shared" si="0"/>
        <v>2171400</v>
      </c>
      <c r="E37" s="49">
        <f>VLOOKUP($A37,'Data shares'!$C:$FA,128)*100</f>
        <v>7.19</v>
      </c>
      <c r="F37" s="49">
        <f>VLOOKUP($A37,'Data shares'!$C:$FA,129)</f>
        <v>233275</v>
      </c>
      <c r="G37" s="17"/>
    </row>
    <row r="38" spans="1:7" x14ac:dyDescent="0.25">
      <c r="A38" s="101" t="s">
        <v>283</v>
      </c>
      <c r="B38" s="17">
        <v>747713393</v>
      </c>
      <c r="C38" s="17">
        <v>158166000</v>
      </c>
      <c r="D38" s="17">
        <f t="shared" si="0"/>
        <v>158166000</v>
      </c>
      <c r="E38" s="49">
        <f>VLOOKUP($A38,'Data shares'!$C:$FA,128)*100</f>
        <v>10.93</v>
      </c>
      <c r="F38" s="49">
        <f>VLOOKUP($A38,'Data shares'!$C:$FA,129)</f>
        <v>7404750</v>
      </c>
      <c r="G38" s="17"/>
    </row>
    <row r="39" spans="1:7" x14ac:dyDescent="0.25">
      <c r="A39" s="101" t="s">
        <v>281</v>
      </c>
      <c r="B39" s="17">
        <v>648405756</v>
      </c>
      <c r="C39" s="17">
        <v>61815500</v>
      </c>
      <c r="D39" s="17">
        <f t="shared" si="0"/>
        <v>61815500</v>
      </c>
      <c r="E39" s="49">
        <f>VLOOKUP($A39,'Data shares'!$C:$FA,128)*100</f>
        <v>20.849999999999998</v>
      </c>
      <c r="F39" s="49">
        <f>VLOOKUP($A39,'Data shares'!$C:$FA,129)</f>
        <v>19123000</v>
      </c>
      <c r="G39" s="17"/>
    </row>
    <row r="40" spans="1:7" x14ac:dyDescent="0.25">
      <c r="A40" s="101" t="s">
        <v>198</v>
      </c>
      <c r="B40" s="17">
        <v>79546680</v>
      </c>
      <c r="C40" s="17">
        <v>13283750</v>
      </c>
      <c r="D40" s="17">
        <f t="shared" si="0"/>
        <v>13283750</v>
      </c>
      <c r="E40" s="49">
        <f>VLOOKUP($A40,'Data shares'!$C:$FA,128)*100</f>
        <v>7.1</v>
      </c>
      <c r="F40" s="49">
        <f>VLOOKUP($A40,'Data shares'!$C:$FA,129)</f>
        <v>628125</v>
      </c>
      <c r="G40" s="17"/>
    </row>
    <row r="41" spans="1:7" x14ac:dyDescent="0.25">
      <c r="A41" s="101" t="s">
        <v>299</v>
      </c>
      <c r="B41" s="17">
        <v>44634693</v>
      </c>
      <c r="C41" s="17">
        <v>3805500</v>
      </c>
      <c r="D41" s="17">
        <f t="shared" si="0"/>
        <v>3805500</v>
      </c>
      <c r="E41" s="49">
        <f>VLOOKUP($A41,'Data shares'!$C:$FA,128)*100</f>
        <v>0</v>
      </c>
      <c r="F41" s="49">
        <f>VLOOKUP($A41,'Data shares'!$C:$FA,129)</f>
        <v>0</v>
      </c>
      <c r="G41" s="17"/>
    </row>
    <row r="42" spans="1:7" x14ac:dyDescent="0.25">
      <c r="A42" s="101" t="s">
        <v>273</v>
      </c>
      <c r="B42" s="17">
        <v>232357926</v>
      </c>
      <c r="C42" s="17">
        <v>67053000</v>
      </c>
      <c r="D42" s="17">
        <f t="shared" si="0"/>
        <v>67053000</v>
      </c>
      <c r="E42" s="49">
        <f>VLOOKUP($A42,'Data shares'!$C:$FA,128)*100</f>
        <v>13.94</v>
      </c>
      <c r="F42" s="49">
        <f>VLOOKUP($A42,'Data shares'!$C:$FA,129)</f>
        <v>7536100</v>
      </c>
      <c r="G42" s="17"/>
    </row>
    <row r="43" spans="1:7" x14ac:dyDescent="0.25">
      <c r="A43" s="101" t="s">
        <v>207</v>
      </c>
      <c r="B43" s="17">
        <v>124016568</v>
      </c>
      <c r="C43" s="17">
        <v>57530550</v>
      </c>
      <c r="D43" s="17">
        <f t="shared" si="0"/>
        <v>57530550</v>
      </c>
      <c r="E43" s="49">
        <f>VLOOKUP($A43,'Data shares'!$C:$FA,128)*100</f>
        <v>10.23</v>
      </c>
      <c r="F43" s="49">
        <f>VLOOKUP($A43,'Data shares'!$C:$FA,129)</f>
        <v>3635775</v>
      </c>
      <c r="G43" s="17"/>
    </row>
    <row r="44" spans="1:7" x14ac:dyDescent="0.25">
      <c r="A44" s="101" t="s">
        <v>191</v>
      </c>
      <c r="B44" s="17">
        <v>92946457</v>
      </c>
      <c r="C44" s="17">
        <v>36478000</v>
      </c>
      <c r="D44" s="17">
        <f t="shared" si="0"/>
        <v>36478000</v>
      </c>
      <c r="E44" s="49">
        <f>VLOOKUP($A44,'Data shares'!$C:$FA,128)*100</f>
        <v>8.4500000000000011</v>
      </c>
      <c r="F44" s="49">
        <f>VLOOKUP($A44,'Data shares'!$C:$FA,129)</f>
        <v>2680000</v>
      </c>
      <c r="G44" s="17"/>
    </row>
    <row r="45" spans="1:7" x14ac:dyDescent="0.25">
      <c r="A45" s="101" t="s">
        <v>288</v>
      </c>
      <c r="B45" s="17">
        <v>218440087</v>
      </c>
      <c r="C45" s="17">
        <v>44080400</v>
      </c>
      <c r="D45" s="17">
        <f t="shared" si="0"/>
        <v>44080400</v>
      </c>
      <c r="E45" s="49">
        <f>VLOOKUP($A45,'Data shares'!$C:$FA,128)*100</f>
        <v>20.309999999999999</v>
      </c>
      <c r="F45" s="49">
        <f>VLOOKUP($A45,'Data shares'!$C:$FA,129)</f>
        <v>3303300</v>
      </c>
      <c r="G45" s="17"/>
    </row>
    <row r="46" spans="1:7" x14ac:dyDescent="0.25">
      <c r="A46" s="101" t="s">
        <v>275</v>
      </c>
      <c r="B46" s="17">
        <v>591377974</v>
      </c>
      <c r="C46" s="17">
        <v>493488000</v>
      </c>
      <c r="D46" s="17">
        <f t="shared" si="0"/>
        <v>493488000</v>
      </c>
      <c r="E46" s="49">
        <f>VLOOKUP($A46,'Data shares'!$C:$FA,128)*100</f>
        <v>13.74</v>
      </c>
      <c r="F46" s="49">
        <f>VLOOKUP($A46,'Data shares'!$C:$FA,129)</f>
        <v>33872000</v>
      </c>
      <c r="G46" s="17"/>
    </row>
    <row r="47" spans="1:7" x14ac:dyDescent="0.25">
      <c r="A47" s="101" t="s">
        <v>277</v>
      </c>
      <c r="B47" s="17">
        <v>10116165</v>
      </c>
      <c r="C47" s="17">
        <v>7378910</v>
      </c>
      <c r="D47" s="17">
        <f t="shared" si="0"/>
        <v>7378910</v>
      </c>
      <c r="E47" s="49">
        <f>VLOOKUP($A47,'Data shares'!$C:$FA,128)*100</f>
        <v>1.25</v>
      </c>
      <c r="F47" s="49">
        <f>VLOOKUP($A47,'Data shares'!$C:$FA,129)</f>
        <v>89100</v>
      </c>
      <c r="G47" s="17"/>
    </row>
    <row r="48" spans="1:7" x14ac:dyDescent="0.25">
      <c r="A48" s="101" t="s">
        <v>196</v>
      </c>
      <c r="B48" s="17">
        <v>134484114</v>
      </c>
      <c r="C48" s="17">
        <v>73278000</v>
      </c>
      <c r="D48" s="17">
        <f t="shared" si="0"/>
        <v>73278000</v>
      </c>
      <c r="E48" s="49">
        <f>VLOOKUP($A48,'Data shares'!$C:$FA,128)*100</f>
        <v>15.6</v>
      </c>
      <c r="F48" s="49">
        <f>VLOOKUP($A48,'Data shares'!$C:$FA,129)</f>
        <v>15727500</v>
      </c>
      <c r="G48" s="17"/>
    </row>
    <row r="49" spans="1:7" x14ac:dyDescent="0.25">
      <c r="A49" s="101" t="s">
        <v>287</v>
      </c>
      <c r="B49" s="17">
        <v>40005132</v>
      </c>
      <c r="C49" s="17">
        <v>6264400</v>
      </c>
      <c r="D49" s="17">
        <f t="shared" si="0"/>
        <v>6264400</v>
      </c>
      <c r="E49" s="49">
        <f>VLOOKUP($A49,'Data shares'!$C:$FA,128)*100</f>
        <v>4.49</v>
      </c>
      <c r="F49" s="49">
        <f>VLOOKUP($A49,'Data shares'!$C:$FA,129)</f>
        <v>134400</v>
      </c>
      <c r="G49" s="17"/>
    </row>
    <row r="50" spans="1:7" x14ac:dyDescent="0.25">
      <c r="A50" s="101" t="s">
        <v>553</v>
      </c>
      <c r="B50" s="17">
        <v>10595418</v>
      </c>
      <c r="C50" s="17">
        <v>250250</v>
      </c>
      <c r="D50" s="17">
        <f t="shared" si="0"/>
        <v>250250</v>
      </c>
      <c r="E50" s="49">
        <f>VLOOKUP($A50,'Data shares'!$C:$FA,128)*100</f>
        <v>6.49</v>
      </c>
      <c r="F50" s="49">
        <f>VLOOKUP($A50,'Data shares'!$C:$FA,129)</f>
        <v>142875</v>
      </c>
      <c r="G50" s="17"/>
    </row>
    <row r="51" spans="1:7" x14ac:dyDescent="0.25">
      <c r="A51" s="101" t="s">
        <v>519</v>
      </c>
      <c r="B51" s="17">
        <v>9516271</v>
      </c>
      <c r="C51" s="17">
        <v>1000800</v>
      </c>
      <c r="D51" s="17">
        <f t="shared" si="0"/>
        <v>1000800</v>
      </c>
      <c r="E51" s="49">
        <f>VLOOKUP($A51,'Data shares'!$C:$FA,128)*100</f>
        <v>5.36</v>
      </c>
      <c r="F51" s="49">
        <f>VLOOKUP($A51,'Data shares'!$C:$FA,129)</f>
        <v>84750</v>
      </c>
      <c r="G51" s="17"/>
    </row>
    <row r="52" spans="1:7" x14ac:dyDescent="0.25">
      <c r="A52" s="101" t="s">
        <v>550</v>
      </c>
      <c r="B52" s="17">
        <v>137684181</v>
      </c>
      <c r="C52" s="17">
        <v>42696000</v>
      </c>
      <c r="D52" s="17">
        <f t="shared" si="0"/>
        <v>42696000</v>
      </c>
      <c r="E52" s="49">
        <f>VLOOKUP($A52,'Data shares'!$C:$FA,128)*100</f>
        <v>7.33</v>
      </c>
      <c r="F52" s="49">
        <f>VLOOKUP($A52,'Data shares'!$C:$FA,129)</f>
        <v>3406000</v>
      </c>
      <c r="G52" s="17"/>
    </row>
    <row r="53" spans="1:7" x14ac:dyDescent="0.25">
      <c r="A53" s="101" t="s">
        <v>284</v>
      </c>
      <c r="B53" s="17">
        <v>2702190</v>
      </c>
      <c r="C53" s="17">
        <v>250575</v>
      </c>
      <c r="D53" s="17">
        <f t="shared" si="0"/>
        <v>250575</v>
      </c>
      <c r="E53" s="49">
        <f>VLOOKUP($A53,'Data shares'!$C:$FA,128)*100</f>
        <v>4.47</v>
      </c>
      <c r="F53" s="49">
        <f>VLOOKUP($A53,'Data shares'!$C:$FA,129)</f>
        <v>15125</v>
      </c>
      <c r="G53" s="17"/>
    </row>
    <row r="54" spans="1:7" x14ac:dyDescent="0.25">
      <c r="A54" s="101" t="s">
        <v>488</v>
      </c>
      <c r="B54" s="17">
        <v>5499709</v>
      </c>
      <c r="C54" s="17">
        <v>1097600</v>
      </c>
      <c r="D54" s="17">
        <f t="shared" si="0"/>
        <v>1097600</v>
      </c>
      <c r="E54" s="49">
        <f>VLOOKUP($A54,'Data shares'!$C:$FA,128)*100</f>
        <v>18</v>
      </c>
      <c r="F54" s="49">
        <f>VLOOKUP($A54,'Data shares'!$C:$FA,129)</f>
        <v>825300</v>
      </c>
      <c r="G54" s="17"/>
    </row>
    <row r="55" spans="1:7" x14ac:dyDescent="0.25">
      <c r="A55" s="101" t="s">
        <v>523</v>
      </c>
      <c r="B55" s="17">
        <v>118085392</v>
      </c>
      <c r="C55" s="17">
        <v>6549400</v>
      </c>
      <c r="D55" s="17">
        <f t="shared" si="0"/>
        <v>6549400</v>
      </c>
      <c r="E55" s="49">
        <f>VLOOKUP($A55,'Data shares'!$C:$FA,128)*100</f>
        <v>2.9000000000000004</v>
      </c>
      <c r="F55" s="49">
        <f>VLOOKUP($A55,'Data shares'!$C:$FA,129)</f>
        <v>1189800</v>
      </c>
      <c r="G55" s="17"/>
    </row>
    <row r="56" spans="1:7" x14ac:dyDescent="0.25">
      <c r="A56" s="101" t="s">
        <v>485</v>
      </c>
      <c r="B56" s="17">
        <v>6917069</v>
      </c>
      <c r="C56" s="17">
        <v>762075</v>
      </c>
      <c r="D56" s="17">
        <f t="shared" si="0"/>
        <v>762075</v>
      </c>
      <c r="E56" s="49">
        <f>VLOOKUP($A56,'Data shares'!$C:$FA,128)*100</f>
        <v>2.1999999999999997</v>
      </c>
      <c r="F56" s="49">
        <f>VLOOKUP($A56,'Data shares'!$C:$FA,129)</f>
        <v>218250</v>
      </c>
      <c r="G56" s="17"/>
    </row>
    <row r="57" spans="1:7" x14ac:dyDescent="0.25">
      <c r="A57" s="101" t="s">
        <v>178</v>
      </c>
      <c r="B57" s="17">
        <v>16125398</v>
      </c>
      <c r="C57" s="17">
        <v>1552600</v>
      </c>
      <c r="D57" s="17">
        <f t="shared" si="0"/>
        <v>1552600</v>
      </c>
      <c r="E57" s="49">
        <f>VLOOKUP($A57,'Data shares'!$C:$FA,128)*100</f>
        <v>7.7700000000000005</v>
      </c>
      <c r="F57" s="49">
        <f>VLOOKUP($A57,'Data shares'!$C:$FA,129)</f>
        <v>5053500</v>
      </c>
      <c r="G57" s="17"/>
    </row>
    <row r="58" spans="1:7" x14ac:dyDescent="0.25">
      <c r="A58" s="101" t="s">
        <v>240</v>
      </c>
      <c r="B58" s="17">
        <v>727896180</v>
      </c>
      <c r="C58" s="17">
        <v>46526100</v>
      </c>
      <c r="D58" s="17">
        <f t="shared" si="0"/>
        <v>46526100</v>
      </c>
      <c r="E58" s="49">
        <f>VLOOKUP($A58,'Data shares'!$C:$FA,128)*100</f>
        <v>5.76</v>
      </c>
      <c r="F58" s="49">
        <f>VLOOKUP($A58,'Data shares'!$C:$FA,129)</f>
        <v>4241600</v>
      </c>
      <c r="G58" s="17"/>
    </row>
    <row r="59" spans="1:7" x14ac:dyDescent="0.25">
      <c r="A59" s="101" t="s">
        <v>202</v>
      </c>
      <c r="B59" s="17">
        <v>55081874</v>
      </c>
      <c r="C59" s="17">
        <v>10856000</v>
      </c>
      <c r="D59" s="17">
        <f t="shared" si="0"/>
        <v>10856000</v>
      </c>
      <c r="E59" s="49">
        <f>VLOOKUP($A59,'Data shares'!$C:$FA,128)*100</f>
        <v>6.43</v>
      </c>
      <c r="F59" s="49">
        <f>VLOOKUP($A59,'Data shares'!$C:$FA,129)</f>
        <v>1151250</v>
      </c>
      <c r="G59" s="17"/>
    </row>
    <row r="60" spans="1:7" x14ac:dyDescent="0.25">
      <c r="A60" s="101" t="s">
        <v>245</v>
      </c>
      <c r="B60" s="17">
        <v>15273675</v>
      </c>
      <c r="C60" s="17">
        <v>5077125</v>
      </c>
      <c r="D60" s="17">
        <f t="shared" si="0"/>
        <v>5077125</v>
      </c>
      <c r="E60" s="49">
        <f>VLOOKUP($A60,'Data shares'!$C:$FA,128)*100</f>
        <v>28.23</v>
      </c>
      <c r="F60" s="49">
        <f>VLOOKUP($A60,'Data shares'!$C:$FA,129)</f>
        <v>13493750</v>
      </c>
      <c r="G60" s="17"/>
    </row>
    <row r="61" spans="1:7" x14ac:dyDescent="0.25">
      <c r="A61" s="101" t="s">
        <v>173</v>
      </c>
      <c r="B61" s="17">
        <v>541823383</v>
      </c>
      <c r="C61" s="17">
        <v>95378400</v>
      </c>
      <c r="D61" s="17">
        <f t="shared" si="0"/>
        <v>95378400</v>
      </c>
      <c r="E61" s="49">
        <f>VLOOKUP($A61,'Data shares'!$C:$FA,128)*100</f>
        <v>27.189999999999998</v>
      </c>
      <c r="F61" s="49">
        <f>VLOOKUP($A61,'Data shares'!$C:$FA,129)</f>
        <v>16860000</v>
      </c>
      <c r="G61" s="17"/>
    </row>
    <row r="62" spans="1:7" x14ac:dyDescent="0.25">
      <c r="A62" s="101" t="s">
        <v>234</v>
      </c>
      <c r="B62" s="17">
        <v>1606294231</v>
      </c>
      <c r="C62" s="17">
        <v>1302000000</v>
      </c>
      <c r="D62" s="17">
        <f t="shared" si="0"/>
        <v>1302000000</v>
      </c>
      <c r="E62" s="49">
        <f>VLOOKUP($A62,'Data shares'!$C:$FA,128)*100</f>
        <v>9.73</v>
      </c>
      <c r="F62" s="49">
        <f>VLOOKUP($A62,'Data shares'!$C:$FA,129)</f>
        <v>458655075</v>
      </c>
      <c r="G62" s="17"/>
    </row>
    <row r="63" spans="1:7" x14ac:dyDescent="0.25">
      <c r="A63" s="101" t="s">
        <v>235</v>
      </c>
      <c r="B63" s="17">
        <v>789260827</v>
      </c>
      <c r="C63" s="17">
        <v>462303900</v>
      </c>
      <c r="D63" s="17">
        <f t="shared" si="0"/>
        <v>462303900</v>
      </c>
      <c r="E63" s="49">
        <f>VLOOKUP($A63,'Data shares'!$C:$FA,128)*100</f>
        <v>17.57</v>
      </c>
      <c r="F63" s="49">
        <f>VLOOKUP($A63,'Data shares'!$C:$FA,129)</f>
        <v>53479650</v>
      </c>
      <c r="G63" s="17"/>
    </row>
    <row r="64" spans="1:7" x14ac:dyDescent="0.25">
      <c r="A64" s="101" t="s">
        <v>482</v>
      </c>
      <c r="B64" s="17">
        <v>44785930</v>
      </c>
      <c r="C64" s="17">
        <v>4025925</v>
      </c>
      <c r="D64" s="17">
        <f t="shared" si="0"/>
        <v>4025925</v>
      </c>
      <c r="E64" s="49">
        <f>VLOOKUP($A64,'Data shares'!$C:$FA,128)*100</f>
        <v>14.24</v>
      </c>
      <c r="F64" s="49">
        <f>VLOOKUP($A64,'Data shares'!$C:$FA,129)</f>
        <v>1100400</v>
      </c>
      <c r="G64" s="17"/>
    </row>
    <row r="65" spans="1:7" x14ac:dyDescent="0.25">
      <c r="A65" s="101" t="s">
        <v>475</v>
      </c>
      <c r="B65" s="17">
        <v>13287700</v>
      </c>
      <c r="C65" s="17">
        <v>3968400</v>
      </c>
      <c r="D65" s="17">
        <f t="shared" si="0"/>
        <v>3968400</v>
      </c>
      <c r="E65" s="49">
        <f>VLOOKUP($A65,'Data shares'!$C:$FA,128)*100</f>
        <v>4.58</v>
      </c>
      <c r="F65" s="49">
        <f>VLOOKUP($A65,'Data shares'!$C:$FA,129)</f>
        <v>223200</v>
      </c>
      <c r="G65" s="17"/>
    </row>
    <row r="66" spans="1:7" x14ac:dyDescent="0.25">
      <c r="A66" s="101" t="s">
        <v>306</v>
      </c>
      <c r="B66" s="17">
        <v>292716179</v>
      </c>
      <c r="C66" s="17">
        <v>57797600</v>
      </c>
      <c r="D66" s="17">
        <f t="shared" si="0"/>
        <v>57797600</v>
      </c>
      <c r="E66" s="49">
        <f>VLOOKUP($A66,'Data shares'!$C:$FA,128)*100</f>
        <v>22.259999999999998</v>
      </c>
      <c r="F66" s="49">
        <f>VLOOKUP($A66,'Data shares'!$C:$FA,129)</f>
        <v>54426000</v>
      </c>
      <c r="G66" s="17"/>
    </row>
    <row r="67" spans="1:7" x14ac:dyDescent="0.25">
      <c r="A67" s="101" t="s">
        <v>262</v>
      </c>
      <c r="B67" s="17">
        <v>21376133</v>
      </c>
      <c r="C67" s="17">
        <v>5958375</v>
      </c>
      <c r="D67" s="17">
        <f t="shared" si="0"/>
        <v>5958375</v>
      </c>
      <c r="E67" s="49">
        <f>VLOOKUP($A67,'Data shares'!$C:$FA,128)*100</f>
        <v>5.93</v>
      </c>
      <c r="F67" s="49">
        <f>VLOOKUP($A67,'Data shares'!$C:$FA,129)</f>
        <v>174625</v>
      </c>
      <c r="G67" s="17"/>
    </row>
    <row r="68" spans="1:7" x14ac:dyDescent="0.25">
      <c r="A68" s="101" t="s">
        <v>174</v>
      </c>
      <c r="B68" s="17">
        <v>26775498</v>
      </c>
      <c r="C68" s="17">
        <v>3494750</v>
      </c>
      <c r="D68" s="17">
        <f t="shared" si="0"/>
        <v>3494750</v>
      </c>
      <c r="E68" s="49">
        <f>VLOOKUP($A68,'Data shares'!$C:$FA,128)*100</f>
        <v>9.379999999999999</v>
      </c>
      <c r="F68" s="49">
        <f>VLOOKUP($A68,'Data shares'!$C:$FA,129)</f>
        <v>274275</v>
      </c>
      <c r="G68" s="17"/>
    </row>
    <row r="69" spans="1:7" x14ac:dyDescent="0.25">
      <c r="A69" s="101" t="s">
        <v>286</v>
      </c>
      <c r="B69" s="17">
        <v>29168705</v>
      </c>
      <c r="C69" s="17">
        <v>6373125</v>
      </c>
      <c r="D69" s="17">
        <f t="shared" si="0"/>
        <v>6373125</v>
      </c>
      <c r="E69" s="49">
        <f>VLOOKUP($A69,'Data shares'!$C:$FA,128)*100</f>
        <v>4.49</v>
      </c>
      <c r="F69" s="49">
        <f>VLOOKUP($A69,'Data shares'!$C:$FA,129)</f>
        <v>134400</v>
      </c>
      <c r="G69" s="17"/>
    </row>
    <row r="70" spans="1:7" x14ac:dyDescent="0.25">
      <c r="A70" s="101" t="s">
        <v>297</v>
      </c>
      <c r="B70" s="17">
        <v>83636848</v>
      </c>
      <c r="C70" s="17">
        <v>13455750</v>
      </c>
      <c r="D70" s="17">
        <f t="shared" si="0"/>
        <v>13455750</v>
      </c>
      <c r="E70" s="49">
        <f>VLOOKUP($A70,'Data shares'!$C:$FA,128)*100</f>
        <v>10.38</v>
      </c>
      <c r="F70" s="49">
        <f>VLOOKUP($A70,'Data shares'!$C:$FA,129)</f>
        <v>844025</v>
      </c>
      <c r="G70" s="17"/>
    </row>
    <row r="71" spans="1:7" x14ac:dyDescent="0.25">
      <c r="A71" s="101" t="s">
        <v>302</v>
      </c>
      <c r="B71" s="17">
        <v>23058222</v>
      </c>
      <c r="C71" s="17">
        <v>3980500</v>
      </c>
      <c r="D71" s="17">
        <f t="shared" ref="D71:D134" si="1">C71</f>
        <v>3980500</v>
      </c>
      <c r="E71" s="49">
        <f>VLOOKUP($A71,'Data shares'!$C:$FA,128)*100</f>
        <v>18.57</v>
      </c>
      <c r="F71" s="49">
        <f>VLOOKUP($A71,'Data shares'!$C:$FA,129)</f>
        <v>353150</v>
      </c>
      <c r="G71" s="17"/>
    </row>
    <row r="72" spans="1:7" x14ac:dyDescent="0.25">
      <c r="A72" s="101" t="s">
        <v>307</v>
      </c>
      <c r="B72" s="17">
        <v>184439886</v>
      </c>
      <c r="C72" s="17">
        <v>122460000</v>
      </c>
      <c r="D72" s="17">
        <f t="shared" si="1"/>
        <v>122460000</v>
      </c>
      <c r="E72" s="49">
        <f>VLOOKUP($A72,'Data shares'!$C:$FA,128)*100</f>
        <v>13.55</v>
      </c>
      <c r="F72" s="49">
        <f>VLOOKUP($A72,'Data shares'!$C:$FA,129)</f>
        <v>149995300</v>
      </c>
      <c r="G72" s="17"/>
    </row>
    <row r="73" spans="1:7" x14ac:dyDescent="0.25">
      <c r="A73" s="101" t="s">
        <v>177</v>
      </c>
      <c r="B73" s="17">
        <v>52956314</v>
      </c>
      <c r="C73" s="17">
        <v>7784625</v>
      </c>
      <c r="D73" s="17">
        <f t="shared" si="1"/>
        <v>7784625</v>
      </c>
      <c r="E73" s="49">
        <f>VLOOKUP($A73,'Data shares'!$C:$FA,128)*100</f>
        <v>7.7700000000000005</v>
      </c>
      <c r="F73" s="49">
        <f>VLOOKUP($A73,'Data shares'!$C:$FA,129)</f>
        <v>5053500</v>
      </c>
      <c r="G73" s="17"/>
    </row>
    <row r="74" spans="1:7" x14ac:dyDescent="0.25">
      <c r="A74" s="101" t="s">
        <v>545</v>
      </c>
      <c r="B74" s="17">
        <v>23498849</v>
      </c>
      <c r="C74" s="17">
        <v>15745600</v>
      </c>
      <c r="D74" s="17">
        <f t="shared" si="1"/>
        <v>15745600</v>
      </c>
      <c r="E74" s="49">
        <f>VLOOKUP($A74,'Data shares'!$C:$FA,128)*100</f>
        <v>7.7700000000000005</v>
      </c>
      <c r="F74" s="49">
        <f>VLOOKUP($A74,'Data shares'!$C:$FA,129)</f>
        <v>5053500</v>
      </c>
      <c r="G74" s="17"/>
    </row>
    <row r="75" spans="1:7" x14ac:dyDescent="0.25">
      <c r="A75" s="101" t="s">
        <v>185</v>
      </c>
      <c r="B75" s="17">
        <v>238123793</v>
      </c>
      <c r="C75" s="17">
        <v>59926000</v>
      </c>
      <c r="D75" s="17">
        <f t="shared" si="1"/>
        <v>59926000</v>
      </c>
      <c r="E75" s="49">
        <f>VLOOKUP($A75,'Data shares'!$C:$FA,128)*100</f>
        <v>14.12</v>
      </c>
      <c r="F75" s="49">
        <f>VLOOKUP($A75,'Data shares'!$C:$FA,129)</f>
        <v>14230050</v>
      </c>
      <c r="G75" s="17"/>
    </row>
    <row r="76" spans="1:7" x14ac:dyDescent="0.25">
      <c r="A76" s="101" t="s">
        <v>219</v>
      </c>
      <c r="B76" s="17">
        <v>75317259</v>
      </c>
      <c r="C76" s="17">
        <v>12188500</v>
      </c>
      <c r="D76" s="17">
        <f t="shared" si="1"/>
        <v>12188500</v>
      </c>
      <c r="E76" s="49">
        <f>VLOOKUP($A76,'Data shares'!$C:$FA,128)*100</f>
        <v>13.62</v>
      </c>
      <c r="F76" s="49">
        <f>VLOOKUP($A76,'Data shares'!$C:$FA,129)</f>
        <v>1894250</v>
      </c>
      <c r="G76" s="17"/>
    </row>
    <row r="77" spans="1:7" x14ac:dyDescent="0.25">
      <c r="A77" s="101" t="s">
        <v>534</v>
      </c>
      <c r="B77" s="17">
        <v>70381221</v>
      </c>
      <c r="C77" s="17">
        <v>3354100</v>
      </c>
      <c r="D77" s="17">
        <f t="shared" si="1"/>
        <v>3354100</v>
      </c>
      <c r="E77" s="49">
        <f>VLOOKUP($A77,'Data shares'!$C:$FA,128)*100</f>
        <v>13.62</v>
      </c>
      <c r="F77" s="49">
        <f>VLOOKUP($A77,'Data shares'!$C:$FA,129)</f>
        <v>1894250</v>
      </c>
      <c r="G77" s="17"/>
    </row>
    <row r="78" spans="1:7" x14ac:dyDescent="0.25">
      <c r="A78" s="101" t="s">
        <v>516</v>
      </c>
      <c r="B78" s="17">
        <v>27254349</v>
      </c>
      <c r="C78" s="17">
        <v>1133550</v>
      </c>
      <c r="D78" s="17">
        <f t="shared" si="1"/>
        <v>1133550</v>
      </c>
      <c r="E78" s="49">
        <f>VLOOKUP($A78,'Data shares'!$C:$FA,128)*100</f>
        <v>10.76</v>
      </c>
      <c r="F78" s="49">
        <f>VLOOKUP($A78,'Data shares'!$C:$FA,129)</f>
        <v>10135125</v>
      </c>
      <c r="G78" s="17"/>
    </row>
    <row r="79" spans="1:7" x14ac:dyDescent="0.25">
      <c r="A79" s="101" t="s">
        <v>271</v>
      </c>
      <c r="B79" s="17">
        <v>26746179</v>
      </c>
      <c r="C79" s="17">
        <v>5445825</v>
      </c>
      <c r="D79" s="17">
        <f t="shared" si="1"/>
        <v>5445825</v>
      </c>
      <c r="E79" s="49">
        <f>VLOOKUP($A79,'Data shares'!$C:$FA,128)*100</f>
        <v>4.7</v>
      </c>
      <c r="F79" s="49">
        <f>VLOOKUP($A79,'Data shares'!$C:$FA,129)</f>
        <v>731525</v>
      </c>
      <c r="G79" s="17"/>
    </row>
    <row r="80" spans="1:7" x14ac:dyDescent="0.25">
      <c r="A80" s="101" t="s">
        <v>264</v>
      </c>
      <c r="B80" s="17">
        <v>15844192</v>
      </c>
      <c r="C80" s="17">
        <v>2354125</v>
      </c>
      <c r="D80" s="17">
        <f t="shared" si="1"/>
        <v>2354125</v>
      </c>
      <c r="E80" s="49">
        <f>VLOOKUP($A80,'Data shares'!$C:$FA,128)*100</f>
        <v>2.1999999999999997</v>
      </c>
      <c r="F80" s="49">
        <f>VLOOKUP($A80,'Data shares'!$C:$FA,129)</f>
        <v>218250</v>
      </c>
      <c r="G80" s="17"/>
    </row>
    <row r="81" spans="1:7" x14ac:dyDescent="0.25">
      <c r="A81" s="101" t="s">
        <v>208</v>
      </c>
      <c r="B81" s="17">
        <v>24296838</v>
      </c>
      <c r="C81" s="17">
        <v>5125750</v>
      </c>
      <c r="D81" s="17">
        <f t="shared" si="1"/>
        <v>5125750</v>
      </c>
      <c r="E81" s="49">
        <f>VLOOKUP($A81,'Data shares'!$C:$FA,128)*100</f>
        <v>7.04</v>
      </c>
      <c r="F81" s="49">
        <f>VLOOKUP($A81,'Data shares'!$C:$FA,129)</f>
        <v>794375</v>
      </c>
      <c r="G81" s="17"/>
    </row>
    <row r="82" spans="1:7" x14ac:dyDescent="0.25">
      <c r="A82" s="101" t="s">
        <v>552</v>
      </c>
      <c r="B82" s="17">
        <v>23447901</v>
      </c>
      <c r="C82" s="17">
        <v>3785600</v>
      </c>
      <c r="D82" s="17">
        <f t="shared" si="1"/>
        <v>3785600</v>
      </c>
      <c r="E82" s="49">
        <f>VLOOKUP($A82,'Data shares'!$C:$FA,128)*100</f>
        <v>3.66</v>
      </c>
      <c r="F82" s="49">
        <f>VLOOKUP($A82,'Data shares'!$C:$FA,129)</f>
        <v>1430000</v>
      </c>
      <c r="G82" s="17"/>
    </row>
    <row r="83" spans="1:7" x14ac:dyDescent="0.25">
      <c r="A83" s="101" t="s">
        <v>204</v>
      </c>
      <c r="B83" s="17">
        <v>115362060</v>
      </c>
      <c r="C83" s="17">
        <v>19043750</v>
      </c>
      <c r="D83" s="17">
        <f t="shared" si="1"/>
        <v>19043750</v>
      </c>
      <c r="E83" s="49">
        <f>VLOOKUP($A83,'Data shares'!$C:$FA,128)*100</f>
        <v>4.8899999999999997</v>
      </c>
      <c r="F83" s="49">
        <f>VLOOKUP($A83,'Data shares'!$C:$FA,129)</f>
        <v>1376250</v>
      </c>
      <c r="G83" s="17"/>
    </row>
    <row r="84" spans="1:7" x14ac:dyDescent="0.25">
      <c r="A84" s="101" t="s">
        <v>528</v>
      </c>
      <c r="B84" s="17">
        <v>23485458</v>
      </c>
      <c r="C84" s="17">
        <v>4272800</v>
      </c>
      <c r="D84" s="17">
        <f t="shared" si="1"/>
        <v>4272800</v>
      </c>
      <c r="E84" s="49">
        <f>VLOOKUP($A84,'Data shares'!$C:$FA,128)*100</f>
        <v>12.6</v>
      </c>
      <c r="F84" s="49">
        <f>VLOOKUP($A84,'Data shares'!$C:$FA,129)</f>
        <v>1209250</v>
      </c>
      <c r="G84" s="17"/>
    </row>
    <row r="85" spans="1:7" x14ac:dyDescent="0.25">
      <c r="A85" s="101" t="s">
        <v>551</v>
      </c>
      <c r="B85" s="17">
        <v>39593365</v>
      </c>
      <c r="C85" s="17">
        <v>12215000</v>
      </c>
      <c r="D85" s="17">
        <f t="shared" si="1"/>
        <v>12215000</v>
      </c>
      <c r="E85" s="49">
        <f>VLOOKUP($A85,'Data shares'!$C:$FA,128)*100</f>
        <v>1.25</v>
      </c>
      <c r="F85" s="49">
        <f>VLOOKUP($A85,'Data shares'!$C:$FA,129)</f>
        <v>89100</v>
      </c>
      <c r="G85" s="17"/>
    </row>
    <row r="86" spans="1:7" x14ac:dyDescent="0.25">
      <c r="A86" s="101" t="s">
        <v>292</v>
      </c>
      <c r="B86" s="17">
        <v>355933451</v>
      </c>
      <c r="C86" s="17">
        <v>204117000</v>
      </c>
      <c r="D86" s="17">
        <f t="shared" si="1"/>
        <v>204117000</v>
      </c>
      <c r="E86" s="49">
        <f>VLOOKUP($A86,'Data shares'!$C:$FA,128)*100</f>
        <v>19.759999999999998</v>
      </c>
      <c r="F86" s="49">
        <f>VLOOKUP($A86,'Data shares'!$C:$FA,129)</f>
        <v>330700</v>
      </c>
      <c r="G86" s="17"/>
    </row>
    <row r="87" spans="1:7" x14ac:dyDescent="0.25">
      <c r="A87" s="101" t="s">
        <v>239</v>
      </c>
      <c r="B87" s="17">
        <v>117569462</v>
      </c>
      <c r="C87" s="17">
        <v>39785400</v>
      </c>
      <c r="D87" s="17">
        <f t="shared" si="1"/>
        <v>39785400</v>
      </c>
      <c r="E87" s="49">
        <f>VLOOKUP($A87,'Data shares'!$C:$FA,128)*100</f>
        <v>8.2600000000000016</v>
      </c>
      <c r="F87" s="49">
        <f>VLOOKUP($A87,'Data shares'!$C:$FA,129)</f>
        <v>2834300</v>
      </c>
      <c r="G87" s="17"/>
    </row>
    <row r="88" spans="1:7" x14ac:dyDescent="0.25">
      <c r="A88" s="101" t="s">
        <v>513</v>
      </c>
      <c r="B88" s="17">
        <v>16619018</v>
      </c>
      <c r="C88" s="17">
        <v>3155425</v>
      </c>
      <c r="D88" s="17">
        <f t="shared" si="1"/>
        <v>3155425</v>
      </c>
      <c r="E88" s="49">
        <f>VLOOKUP($A88,'Data shares'!$C:$FA,128)*100</f>
        <v>11.37</v>
      </c>
      <c r="F88" s="49">
        <f>VLOOKUP($A88,'Data shares'!$C:$FA,129)</f>
        <v>788100</v>
      </c>
      <c r="G88" s="17"/>
    </row>
    <row r="89" spans="1:7" x14ac:dyDescent="0.25">
      <c r="A89" s="101" t="s">
        <v>224</v>
      </c>
      <c r="B89" s="17">
        <v>669931623</v>
      </c>
      <c r="C89" s="17">
        <v>82663350</v>
      </c>
      <c r="D89" s="17">
        <f t="shared" si="1"/>
        <v>82663350</v>
      </c>
      <c r="E89" s="49">
        <f>VLOOKUP($A89,'Data shares'!$C:$FA,128)*100</f>
        <v>12.870000000000001</v>
      </c>
      <c r="F89" s="49">
        <f>VLOOKUP($A89,'Data shares'!$C:$FA,129)</f>
        <v>38380650</v>
      </c>
      <c r="G89" s="17"/>
    </row>
    <row r="90" spans="1:7" x14ac:dyDescent="0.25">
      <c r="A90" s="101" t="s">
        <v>232</v>
      </c>
      <c r="B90" s="17">
        <v>1110506052</v>
      </c>
      <c r="C90" s="17">
        <v>174065375</v>
      </c>
      <c r="D90" s="17">
        <f t="shared" si="1"/>
        <v>174065375</v>
      </c>
      <c r="E90" s="49">
        <f>VLOOKUP($A90,'Data shares'!$C:$FA,128)*100</f>
        <v>25.94</v>
      </c>
      <c r="F90" s="49">
        <f>VLOOKUP($A90,'Data shares'!$C:$FA,129)</f>
        <v>28343700</v>
      </c>
      <c r="G90" s="17"/>
    </row>
    <row r="91" spans="1:7" x14ac:dyDescent="0.25">
      <c r="A91" s="101" t="s">
        <v>223</v>
      </c>
      <c r="B91" s="17">
        <v>362202362</v>
      </c>
      <c r="C91" s="17">
        <v>34249800</v>
      </c>
      <c r="D91" s="17">
        <f t="shared" si="1"/>
        <v>34249800</v>
      </c>
      <c r="E91" s="49">
        <f>VLOOKUP($A91,'Data shares'!$C:$FA,128)*100</f>
        <v>14.37</v>
      </c>
      <c r="F91" s="49">
        <f>VLOOKUP($A91,'Data shares'!$C:$FA,129)</f>
        <v>5361300</v>
      </c>
      <c r="G91" s="17"/>
    </row>
    <row r="92" spans="1:7" x14ac:dyDescent="0.25">
      <c r="A92" s="101" t="s">
        <v>218</v>
      </c>
      <c r="B92" s="17">
        <v>23110810</v>
      </c>
      <c r="C92" s="17">
        <v>6940375</v>
      </c>
      <c r="D92" s="17">
        <f t="shared" si="1"/>
        <v>6940375</v>
      </c>
      <c r="E92" s="49">
        <f>VLOOKUP($A92,'Data shares'!$C:$FA,128)*100</f>
        <v>4.4400000000000004</v>
      </c>
      <c r="F92" s="49">
        <f>VLOOKUP($A92,'Data shares'!$C:$FA,129)</f>
        <v>327800</v>
      </c>
      <c r="G92" s="17"/>
    </row>
    <row r="93" spans="1:7" x14ac:dyDescent="0.25">
      <c r="A93" s="101" t="s">
        <v>236</v>
      </c>
      <c r="B93" s="17">
        <v>77000080</v>
      </c>
      <c r="C93" s="17">
        <v>25785375</v>
      </c>
      <c r="D93" s="17">
        <f t="shared" si="1"/>
        <v>25785375</v>
      </c>
      <c r="E93" s="49">
        <f>VLOOKUP($A93,'Data shares'!$C:$FA,128)*100</f>
        <v>12.41</v>
      </c>
      <c r="F93" s="49">
        <f>VLOOKUP($A93,'Data shares'!$C:$FA,129)</f>
        <v>8100000</v>
      </c>
      <c r="G93" s="17"/>
    </row>
    <row r="94" spans="1:7" x14ac:dyDescent="0.25">
      <c r="A94" s="101" t="s">
        <v>246</v>
      </c>
      <c r="B94" s="17">
        <v>293666614</v>
      </c>
      <c r="C94" s="17">
        <v>30730800</v>
      </c>
      <c r="D94" s="17">
        <f t="shared" si="1"/>
        <v>30730800</v>
      </c>
      <c r="E94" s="49">
        <f>VLOOKUP($A94,'Data shares'!$C:$FA,128)*100</f>
        <v>21.279999999999998</v>
      </c>
      <c r="F94" s="49">
        <f>VLOOKUP($A94,'Data shares'!$C:$FA,129)</f>
        <v>41152000</v>
      </c>
      <c r="G94" s="17"/>
    </row>
    <row r="95" spans="1:7" x14ac:dyDescent="0.25">
      <c r="A95" s="101" t="s">
        <v>532</v>
      </c>
      <c r="B95" s="17">
        <v>32892110</v>
      </c>
      <c r="C95" s="17">
        <v>6216000</v>
      </c>
      <c r="D95" s="17">
        <f t="shared" si="1"/>
        <v>6216000</v>
      </c>
      <c r="E95" s="49">
        <f>VLOOKUP($A95,'Data shares'!$C:$FA,128)*100</f>
        <v>9.15</v>
      </c>
      <c r="F95" s="49">
        <f>VLOOKUP($A95,'Data shares'!$C:$FA,129)</f>
        <v>1769700</v>
      </c>
      <c r="G95" s="17"/>
    </row>
    <row r="96" spans="1:7" x14ac:dyDescent="0.25">
      <c r="A96" s="101" t="s">
        <v>242</v>
      </c>
      <c r="B96" s="17">
        <v>2461627231</v>
      </c>
      <c r="C96" s="17">
        <v>322832000</v>
      </c>
      <c r="D96" s="17">
        <f t="shared" si="1"/>
        <v>322832000</v>
      </c>
      <c r="E96" s="49">
        <f>VLOOKUP($A96,'Data shares'!$C:$FA,128)*100</f>
        <v>12.959999999999999</v>
      </c>
      <c r="F96" s="49">
        <f>VLOOKUP($A96,'Data shares'!$C:$FA,129)</f>
        <v>17195200</v>
      </c>
      <c r="G96" s="17"/>
    </row>
    <row r="97" spans="1:7" x14ac:dyDescent="0.25">
      <c r="A97" s="101" t="s">
        <v>165</v>
      </c>
      <c r="B97" s="17">
        <v>20321931</v>
      </c>
      <c r="C97" s="17">
        <v>3675125</v>
      </c>
      <c r="D97" s="17">
        <f t="shared" si="1"/>
        <v>3675125</v>
      </c>
      <c r="E97" s="49">
        <f>VLOOKUP($A97,'Data shares'!$C:$FA,128)*100</f>
        <v>4.8</v>
      </c>
      <c r="F97" s="49">
        <f>VLOOKUP($A97,'Data shares'!$C:$FA,129)</f>
        <v>116000</v>
      </c>
      <c r="G97" s="17"/>
    </row>
    <row r="98" spans="1:7" x14ac:dyDescent="0.25">
      <c r="A98" s="101" t="s">
        <v>503</v>
      </c>
      <c r="B98" s="17">
        <v>17788750</v>
      </c>
      <c r="C98" s="17">
        <v>925925</v>
      </c>
      <c r="D98" s="17">
        <f t="shared" si="1"/>
        <v>925925</v>
      </c>
      <c r="E98" s="49">
        <f>VLOOKUP($A98,'Data shares'!$C:$FA,128)*100</f>
        <v>24.62</v>
      </c>
      <c r="F98" s="49">
        <f>VLOOKUP($A98,'Data shares'!$C:$FA,129)</f>
        <v>3176025</v>
      </c>
      <c r="G98" s="17"/>
    </row>
    <row r="99" spans="1:7" x14ac:dyDescent="0.25">
      <c r="A99" s="101" t="s">
        <v>192</v>
      </c>
      <c r="B99" s="17">
        <v>1737683</v>
      </c>
      <c r="C99" s="17">
        <v>235900</v>
      </c>
      <c r="D99" s="17">
        <f t="shared" si="1"/>
        <v>235900</v>
      </c>
      <c r="E99" s="49">
        <f>VLOOKUP($A99,'Data shares'!$C:$FA,128)*100</f>
        <v>3.62</v>
      </c>
      <c r="F99" s="49">
        <f>VLOOKUP($A99,'Data shares'!$C:$FA,129)</f>
        <v>9325</v>
      </c>
      <c r="G99" s="17"/>
    </row>
    <row r="100" spans="1:7" x14ac:dyDescent="0.25">
      <c r="A100" s="101" t="s">
        <v>531</v>
      </c>
      <c r="B100" s="17">
        <v>33015657</v>
      </c>
      <c r="C100" s="17">
        <v>9033700</v>
      </c>
      <c r="D100" s="17">
        <f t="shared" si="1"/>
        <v>9033700</v>
      </c>
      <c r="E100" s="49">
        <f>VLOOKUP($A100,'Data shares'!$C:$FA,128)*100</f>
        <v>12.920000000000002</v>
      </c>
      <c r="F100" s="49">
        <f>VLOOKUP($A100,'Data shares'!$C:$FA,129)</f>
        <v>777750</v>
      </c>
      <c r="G100" s="17"/>
    </row>
    <row r="101" spans="1:7" x14ac:dyDescent="0.25">
      <c r="A101" s="101" t="s">
        <v>494</v>
      </c>
      <c r="B101" s="17">
        <v>147873568</v>
      </c>
      <c r="C101" s="17">
        <v>20386400</v>
      </c>
      <c r="D101" s="17">
        <f t="shared" si="1"/>
        <v>20386400</v>
      </c>
      <c r="E101" s="49">
        <f>VLOOKUP($A101,'Data shares'!$C:$FA,128)*100</f>
        <v>2.9000000000000004</v>
      </c>
      <c r="F101" s="49">
        <f>VLOOKUP($A101,'Data shares'!$C:$FA,129)</f>
        <v>1189800</v>
      </c>
      <c r="G101" s="17"/>
    </row>
    <row r="102" spans="1:7" x14ac:dyDescent="0.25">
      <c r="A102" s="101" t="s">
        <v>473</v>
      </c>
      <c r="B102" s="17">
        <v>162372116</v>
      </c>
      <c r="C102" s="17">
        <v>43206800</v>
      </c>
      <c r="D102" s="17">
        <f t="shared" si="1"/>
        <v>43206800</v>
      </c>
      <c r="E102" s="49">
        <f>VLOOKUP($A102,'Data shares'!$C:$FA,128)*100</f>
        <v>8.92</v>
      </c>
      <c r="F102" s="49">
        <f>VLOOKUP($A102,'Data shares'!$C:$FA,129)</f>
        <v>2958000</v>
      </c>
      <c r="G102" s="17"/>
    </row>
    <row r="103" spans="1:7" x14ac:dyDescent="0.25">
      <c r="A103" s="101" t="s">
        <v>225</v>
      </c>
      <c r="B103" s="17">
        <v>187118353</v>
      </c>
      <c r="C103" s="17">
        <v>49800300</v>
      </c>
      <c r="D103" s="17">
        <f t="shared" si="1"/>
        <v>49800300</v>
      </c>
      <c r="E103" s="49">
        <f>VLOOKUP($A103,'Data shares'!$C:$FA,128)*100</f>
        <v>6.12</v>
      </c>
      <c r="F103" s="49">
        <f>VLOOKUP($A103,'Data shares'!$C:$FA,129)</f>
        <v>1955800</v>
      </c>
      <c r="G103" s="17"/>
    </row>
    <row r="104" spans="1:7" x14ac:dyDescent="0.25">
      <c r="A104" s="101" t="s">
        <v>504</v>
      </c>
      <c r="B104" s="17">
        <v>12641694</v>
      </c>
      <c r="C104" s="17">
        <v>6728400</v>
      </c>
      <c r="D104" s="17">
        <f t="shared" si="1"/>
        <v>6728400</v>
      </c>
      <c r="E104" s="49">
        <f>VLOOKUP($A104,'Data shares'!$C:$FA,128)*100</f>
        <v>4.49</v>
      </c>
      <c r="F104" s="49">
        <f>VLOOKUP($A104,'Data shares'!$C:$FA,129)</f>
        <v>134400</v>
      </c>
      <c r="G104" s="17"/>
    </row>
    <row r="105" spans="1:7" x14ac:dyDescent="0.25">
      <c r="A105" s="101" t="s">
        <v>537</v>
      </c>
      <c r="B105" s="17">
        <v>6343591</v>
      </c>
      <c r="C105" s="17">
        <v>1262250</v>
      </c>
      <c r="D105" s="17">
        <f t="shared" si="1"/>
        <v>1262250</v>
      </c>
      <c r="E105" s="49">
        <f>VLOOKUP($A105,'Data shares'!$C:$FA,128)*100</f>
        <v>8.18</v>
      </c>
      <c r="F105" s="49">
        <f>VLOOKUP($A105,'Data shares'!$C:$FA,129)</f>
        <v>283850</v>
      </c>
      <c r="G105" s="17"/>
    </row>
    <row r="106" spans="1:7" x14ac:dyDescent="0.25">
      <c r="A106" s="101" t="s">
        <v>256</v>
      </c>
      <c r="B106" s="17">
        <v>62880735</v>
      </c>
      <c r="C106" s="17">
        <v>20391250</v>
      </c>
      <c r="D106" s="17">
        <f t="shared" si="1"/>
        <v>20391250</v>
      </c>
      <c r="E106" s="49">
        <f>VLOOKUP($A106,'Data shares'!$C:$FA,128)*100</f>
        <v>8.83</v>
      </c>
      <c r="F106" s="49">
        <f>VLOOKUP($A106,'Data shares'!$C:$FA,129)</f>
        <v>309600</v>
      </c>
      <c r="G106" s="17"/>
    </row>
    <row r="107" spans="1:7" x14ac:dyDescent="0.25">
      <c r="A107" s="101" t="s">
        <v>514</v>
      </c>
      <c r="B107" s="17">
        <v>179174844</v>
      </c>
      <c r="C107" s="17">
        <v>67477500</v>
      </c>
      <c r="D107" s="17">
        <f t="shared" si="1"/>
        <v>67477500</v>
      </c>
      <c r="E107" s="49">
        <f>VLOOKUP($A107,'Data shares'!$C:$FA,128)*100</f>
        <v>12.41</v>
      </c>
      <c r="F107" s="49">
        <f>VLOOKUP($A107,'Data shares'!$C:$FA,129)</f>
        <v>8100000</v>
      </c>
      <c r="G107" s="17"/>
    </row>
    <row r="108" spans="1:7" x14ac:dyDescent="0.25">
      <c r="A108" s="101" t="s">
        <v>272</v>
      </c>
      <c r="B108" s="17">
        <v>150000017</v>
      </c>
      <c r="C108" s="17">
        <v>35217000</v>
      </c>
      <c r="D108" s="17">
        <f t="shared" si="1"/>
        <v>35217000</v>
      </c>
      <c r="E108" s="49">
        <f>VLOOKUP($A108,'Data shares'!$C:$FA,128)*100</f>
        <v>3.74</v>
      </c>
      <c r="F108" s="49">
        <f>VLOOKUP($A108,'Data shares'!$C:$FA,129)</f>
        <v>1189400</v>
      </c>
      <c r="G108" s="17"/>
    </row>
    <row r="109" spans="1:7" x14ac:dyDescent="0.25">
      <c r="A109" s="101" t="s">
        <v>470</v>
      </c>
      <c r="B109" s="17">
        <v>6091932</v>
      </c>
      <c r="C109" s="17">
        <v>1893300</v>
      </c>
      <c r="D109" s="17">
        <f t="shared" si="1"/>
        <v>1893300</v>
      </c>
      <c r="E109" s="49">
        <f>VLOOKUP($A109,'Data shares'!$C:$FA,128)*100</f>
        <v>6</v>
      </c>
      <c r="F109" s="49">
        <f>VLOOKUP($A109,'Data shares'!$C:$FA,129)</f>
        <v>994500</v>
      </c>
      <c r="G109" s="17"/>
    </row>
    <row r="110" spans="1:7" x14ac:dyDescent="0.25">
      <c r="A110" s="101" t="s">
        <v>176</v>
      </c>
      <c r="B110" s="17">
        <v>12437219</v>
      </c>
      <c r="C110" s="17">
        <v>1155950</v>
      </c>
      <c r="D110" s="17">
        <f t="shared" si="1"/>
        <v>1155950</v>
      </c>
      <c r="E110" s="49">
        <f>VLOOKUP($A110,'Data shares'!$C:$FA,128)*100</f>
        <v>15.590000000000002</v>
      </c>
      <c r="F110" s="49">
        <f>VLOOKUP($A110,'Data shares'!$C:$FA,129)</f>
        <v>1732750</v>
      </c>
      <c r="G110" s="17"/>
    </row>
    <row r="111" spans="1:7" x14ac:dyDescent="0.25">
      <c r="A111" s="101" t="s">
        <v>524</v>
      </c>
      <c r="B111" s="17">
        <v>16479425</v>
      </c>
      <c r="C111" s="17">
        <v>1670750</v>
      </c>
      <c r="D111" s="17">
        <f t="shared" si="1"/>
        <v>1670750</v>
      </c>
      <c r="E111" s="49">
        <f>VLOOKUP($A111,'Data shares'!$C:$FA,128)*100</f>
        <v>2.59</v>
      </c>
      <c r="F111" s="49">
        <f>VLOOKUP($A111,'Data shares'!$C:$FA,129)</f>
        <v>47775</v>
      </c>
      <c r="G111" s="17"/>
    </row>
    <row r="112" spans="1:7" x14ac:dyDescent="0.25">
      <c r="A112" s="101" t="s">
        <v>487</v>
      </c>
      <c r="B112" s="17">
        <v>16533935</v>
      </c>
      <c r="C112" s="17">
        <v>1807050</v>
      </c>
      <c r="D112" s="17">
        <f t="shared" si="1"/>
        <v>1807050</v>
      </c>
      <c r="E112" s="49">
        <f>VLOOKUP($A112,'Data shares'!$C:$FA,128)*100</f>
        <v>5.64</v>
      </c>
      <c r="F112" s="49">
        <f>VLOOKUP($A112,'Data shares'!$C:$FA,129)</f>
        <v>265375</v>
      </c>
      <c r="G112" s="17"/>
    </row>
    <row r="113" spans="1:7" x14ac:dyDescent="0.25">
      <c r="A113" s="101" t="s">
        <v>305</v>
      </c>
      <c r="B113" s="17">
        <v>46126252</v>
      </c>
      <c r="C113" s="17">
        <v>7513500</v>
      </c>
      <c r="D113" s="17">
        <f t="shared" si="1"/>
        <v>7513500</v>
      </c>
      <c r="E113" s="49">
        <f>VLOOKUP($A113,'Data shares'!$C:$FA,128)*100</f>
        <v>13.450000000000001</v>
      </c>
      <c r="F113" s="49">
        <f>VLOOKUP($A113,'Data shares'!$C:$FA,129)</f>
        <v>1578750</v>
      </c>
      <c r="G113" s="17"/>
    </row>
    <row r="114" spans="1:7" x14ac:dyDescent="0.25">
      <c r="A114" s="101" t="s">
        <v>238</v>
      </c>
      <c r="B114" s="17">
        <v>19428657</v>
      </c>
      <c r="C114" s="17">
        <v>5637750</v>
      </c>
      <c r="D114" s="17">
        <f t="shared" si="1"/>
        <v>5637750</v>
      </c>
      <c r="E114" s="49">
        <f>VLOOKUP($A114,'Data shares'!$C:$FA,128)*100</f>
        <v>4.92</v>
      </c>
      <c r="F114" s="49">
        <f>VLOOKUP($A114,'Data shares'!$C:$FA,129)</f>
        <v>321150</v>
      </c>
      <c r="G114" s="17"/>
    </row>
    <row r="115" spans="1:7" x14ac:dyDescent="0.25">
      <c r="A115" s="101" t="s">
        <v>527</v>
      </c>
      <c r="B115" s="17">
        <v>7494363</v>
      </c>
      <c r="C115" s="17">
        <v>739375</v>
      </c>
      <c r="D115" s="17">
        <f t="shared" si="1"/>
        <v>739375</v>
      </c>
      <c r="E115" s="49">
        <f>VLOOKUP($A115,'Data shares'!$C:$FA,128)*100</f>
        <v>21.7</v>
      </c>
      <c r="F115" s="49">
        <f>VLOOKUP($A115,'Data shares'!$C:$FA,129)</f>
        <v>28120100</v>
      </c>
      <c r="G115" s="17"/>
    </row>
    <row r="116" spans="1:7" x14ac:dyDescent="0.25">
      <c r="A116" s="101" t="s">
        <v>489</v>
      </c>
      <c r="B116" s="17">
        <v>9087752</v>
      </c>
      <c r="C116" s="17">
        <v>1575750</v>
      </c>
      <c r="D116" s="17">
        <f t="shared" si="1"/>
        <v>1575750</v>
      </c>
      <c r="E116" s="49">
        <f>VLOOKUP($A116,'Data shares'!$C:$FA,128)*100</f>
        <v>7.3</v>
      </c>
      <c r="F116" s="49">
        <f>VLOOKUP($A116,'Data shares'!$C:$FA,129)</f>
        <v>3215250</v>
      </c>
      <c r="G116" s="17"/>
    </row>
    <row r="117" spans="1:7" x14ac:dyDescent="0.25">
      <c r="A117" s="101" t="s">
        <v>484</v>
      </c>
      <c r="B117" s="17">
        <v>3300938</v>
      </c>
      <c r="C117" s="17">
        <v>190125</v>
      </c>
      <c r="D117" s="17">
        <f t="shared" si="1"/>
        <v>190125</v>
      </c>
      <c r="E117" s="49">
        <f>VLOOKUP($A117,'Data shares'!$C:$FA,128)*100</f>
        <v>13.94</v>
      </c>
      <c r="F117" s="49">
        <f>VLOOKUP($A117,'Data shares'!$C:$FA,129)</f>
        <v>7536100</v>
      </c>
      <c r="G117" s="17"/>
    </row>
    <row r="118" spans="1:7" x14ac:dyDescent="0.25">
      <c r="A118" s="101" t="s">
        <v>285</v>
      </c>
      <c r="B118" s="17">
        <v>17806068</v>
      </c>
      <c r="C118" s="17">
        <v>1857900</v>
      </c>
      <c r="D118" s="17">
        <f t="shared" si="1"/>
        <v>1857900</v>
      </c>
      <c r="E118" s="49">
        <f>VLOOKUP($A118,'Data shares'!$C:$FA,128)*100</f>
        <v>7.6300000000000008</v>
      </c>
      <c r="F118" s="49">
        <f>VLOOKUP($A118,'Data shares'!$C:$FA,129)</f>
        <v>234150</v>
      </c>
      <c r="G118" s="17"/>
    </row>
    <row r="119" spans="1:7" x14ac:dyDescent="0.25">
      <c r="A119" s="101" t="s">
        <v>554</v>
      </c>
      <c r="B119" s="17">
        <v>18562709</v>
      </c>
      <c r="C119" s="17">
        <v>2173500</v>
      </c>
      <c r="D119" s="17">
        <f t="shared" si="1"/>
        <v>2173500</v>
      </c>
      <c r="E119" s="49">
        <f>VLOOKUP($A119,'Data shares'!$C:$FA,128)*100</f>
        <v>9.83</v>
      </c>
      <c r="F119" s="49">
        <f>VLOOKUP($A119,'Data shares'!$C:$FA,129)</f>
        <v>8093800</v>
      </c>
      <c r="G119" s="17"/>
    </row>
    <row r="120" spans="1:7" x14ac:dyDescent="0.25">
      <c r="A120" s="101" t="s">
        <v>293</v>
      </c>
      <c r="B120" s="17">
        <v>339616396</v>
      </c>
      <c r="C120" s="17">
        <v>214528500</v>
      </c>
      <c r="D120" s="17">
        <f t="shared" si="1"/>
        <v>214528500</v>
      </c>
      <c r="E120" s="49">
        <f>VLOOKUP($A120,'Data shares'!$C:$FA,128)*100</f>
        <v>10.440000000000001</v>
      </c>
      <c r="F120" s="49">
        <f>VLOOKUP($A120,'Data shares'!$C:$FA,129)</f>
        <v>4793700</v>
      </c>
      <c r="G120" s="17"/>
    </row>
    <row r="121" spans="1:7" x14ac:dyDescent="0.25">
      <c r="A121" s="101" t="s">
        <v>282</v>
      </c>
      <c r="B121" s="17">
        <v>289139949</v>
      </c>
      <c r="C121" s="17">
        <v>230878500</v>
      </c>
      <c r="D121" s="17">
        <f t="shared" si="1"/>
        <v>230878500</v>
      </c>
      <c r="E121" s="49">
        <f>VLOOKUP($A121,'Data shares'!$C:$FA,128)*100</f>
        <v>17.87</v>
      </c>
      <c r="F121" s="49">
        <f>VLOOKUP($A121,'Data shares'!$C:$FA,129)</f>
        <v>36307500</v>
      </c>
      <c r="G121" s="17"/>
    </row>
    <row r="122" spans="1:7" x14ac:dyDescent="0.25">
      <c r="A122" s="101" t="s">
        <v>248</v>
      </c>
      <c r="B122" s="17">
        <v>60244101</v>
      </c>
      <c r="C122" s="17">
        <v>36578000</v>
      </c>
      <c r="D122" s="17">
        <f t="shared" si="1"/>
        <v>36578000</v>
      </c>
      <c r="E122" s="49">
        <f>VLOOKUP($A122,'Data shares'!$C:$FA,128)*100</f>
        <v>3.29</v>
      </c>
      <c r="F122" s="49">
        <f>VLOOKUP($A122,'Data shares'!$C:$FA,129)</f>
        <v>912000</v>
      </c>
      <c r="G122" s="17"/>
    </row>
    <row r="123" spans="1:7" x14ac:dyDescent="0.25">
      <c r="A123" s="101" t="s">
        <v>189</v>
      </c>
      <c r="B123" s="17">
        <v>510707358</v>
      </c>
      <c r="C123" s="17">
        <v>94385350</v>
      </c>
      <c r="D123" s="17">
        <f t="shared" si="1"/>
        <v>94385350</v>
      </c>
      <c r="E123" s="49">
        <f>VLOOKUP($A123,'Data shares'!$C:$FA,128)*100</f>
        <v>25.509999999999998</v>
      </c>
      <c r="F123" s="49">
        <f>VLOOKUP($A123,'Data shares'!$C:$FA,129)</f>
        <v>14958225</v>
      </c>
      <c r="G123" s="17"/>
    </row>
    <row r="124" spans="1:7" x14ac:dyDescent="0.25">
      <c r="A124" s="101" t="s">
        <v>213</v>
      </c>
      <c r="B124" s="17">
        <v>425164259</v>
      </c>
      <c r="C124" s="17">
        <v>85375600</v>
      </c>
      <c r="D124" s="17">
        <f t="shared" si="1"/>
        <v>85375600</v>
      </c>
      <c r="E124" s="49">
        <f>VLOOKUP($A124,'Data shares'!$C:$FA,128)*100</f>
        <v>10.08</v>
      </c>
      <c r="F124" s="49">
        <f>VLOOKUP($A124,'Data shares'!$C:$FA,129)</f>
        <v>7087500</v>
      </c>
      <c r="G124" s="17"/>
    </row>
    <row r="125" spans="1:7" x14ac:dyDescent="0.25">
      <c r="A125" s="101" t="s">
        <v>295</v>
      </c>
      <c r="B125" s="17">
        <v>205769415</v>
      </c>
      <c r="C125" s="17">
        <v>21452100</v>
      </c>
      <c r="D125" s="17">
        <f t="shared" si="1"/>
        <v>21452100</v>
      </c>
      <c r="E125" s="49">
        <f>VLOOKUP($A125,'Data shares'!$C:$FA,128)*100</f>
        <v>9.75</v>
      </c>
      <c r="F125" s="49">
        <f>VLOOKUP($A125,'Data shares'!$C:$FA,129)</f>
        <v>3341800</v>
      </c>
      <c r="G125" s="17"/>
    </row>
    <row r="126" spans="1:7" x14ac:dyDescent="0.25">
      <c r="A126" s="101" t="s">
        <v>490</v>
      </c>
      <c r="B126" s="17">
        <v>52165566</v>
      </c>
      <c r="C126" s="17">
        <v>22212750</v>
      </c>
      <c r="D126" s="17">
        <f t="shared" si="1"/>
        <v>22212750</v>
      </c>
      <c r="E126" s="49">
        <f>VLOOKUP($A126,'Data shares'!$C:$FA,128)*100</f>
        <v>10.76</v>
      </c>
      <c r="F126" s="49">
        <f>VLOOKUP($A126,'Data shares'!$C:$FA,129)</f>
        <v>10135125</v>
      </c>
      <c r="G126" s="17"/>
    </row>
    <row r="127" spans="1:7" x14ac:dyDescent="0.25">
      <c r="A127" s="101" t="s">
        <v>260</v>
      </c>
      <c r="B127" s="17">
        <v>241729538</v>
      </c>
      <c r="C127" s="17">
        <v>65383500</v>
      </c>
      <c r="D127" s="17">
        <f t="shared" si="1"/>
        <v>65383500</v>
      </c>
      <c r="E127" s="49">
        <f>VLOOKUP($A127,'Data shares'!$C:$FA,128)*100</f>
        <v>8.98</v>
      </c>
      <c r="F127" s="49">
        <f>VLOOKUP($A127,'Data shares'!$C:$FA,129)</f>
        <v>3911400</v>
      </c>
      <c r="G127" s="17"/>
    </row>
    <row r="128" spans="1:7" x14ac:dyDescent="0.25">
      <c r="A128" s="101" t="s">
        <v>171</v>
      </c>
      <c r="B128" s="17">
        <v>56444627</v>
      </c>
      <c r="C128" s="17">
        <v>23336250</v>
      </c>
      <c r="D128" s="17">
        <f t="shared" si="1"/>
        <v>23336250</v>
      </c>
      <c r="E128" s="49">
        <f>VLOOKUP($A128,'Data shares'!$C:$FA,128)*100</f>
        <v>3.18</v>
      </c>
      <c r="F128" s="49">
        <f>VLOOKUP($A128,'Data shares'!$C:$FA,129)</f>
        <v>637450</v>
      </c>
      <c r="G128" s="17"/>
    </row>
    <row r="129" spans="1:7" x14ac:dyDescent="0.25">
      <c r="A129" s="101" t="s">
        <v>462</v>
      </c>
      <c r="B129" s="17">
        <v>88648462</v>
      </c>
      <c r="C129" s="17">
        <v>11150250</v>
      </c>
      <c r="D129" s="17">
        <f t="shared" si="1"/>
        <v>11150250</v>
      </c>
      <c r="E129" s="49">
        <f>VLOOKUP($A129,'Data shares'!$C:$FA,128)*100</f>
        <v>6.5100000000000007</v>
      </c>
      <c r="F129" s="49">
        <f>VLOOKUP($A129,'Data shares'!$C:$FA,129)</f>
        <v>679125</v>
      </c>
      <c r="G129" s="17"/>
    </row>
    <row r="130" spans="1:7" x14ac:dyDescent="0.25">
      <c r="A130" s="101" t="s">
        <v>274</v>
      </c>
      <c r="B130" s="17">
        <v>30511703</v>
      </c>
      <c r="C130" s="17">
        <v>3556000</v>
      </c>
      <c r="D130" s="17">
        <f t="shared" si="1"/>
        <v>3556000</v>
      </c>
      <c r="E130" s="49">
        <f>VLOOKUP($A130,'Data shares'!$C:$FA,128)*100</f>
        <v>3.1199999999999997</v>
      </c>
      <c r="F130" s="49">
        <f>VLOOKUP($A130,'Data shares'!$C:$FA,129)</f>
        <v>280500</v>
      </c>
      <c r="G130" s="17"/>
    </row>
    <row r="131" spans="1:7" x14ac:dyDescent="0.25">
      <c r="A131" s="101" t="s">
        <v>279</v>
      </c>
      <c r="B131" s="17">
        <v>119890099</v>
      </c>
      <c r="C131" s="17">
        <v>77232800</v>
      </c>
      <c r="D131" s="17">
        <f t="shared" si="1"/>
        <v>77232800</v>
      </c>
      <c r="E131" s="49">
        <f>VLOOKUP($A131,'Data shares'!$C:$FA,128)*100</f>
        <v>2.17</v>
      </c>
      <c r="F131" s="49">
        <f>VLOOKUP($A131,'Data shares'!$C:$FA,129)</f>
        <v>1136650</v>
      </c>
      <c r="G131" s="17"/>
    </row>
    <row r="132" spans="1:7" x14ac:dyDescent="0.25">
      <c r="A132" s="101" t="s">
        <v>247</v>
      </c>
      <c r="B132" s="17">
        <v>180580821</v>
      </c>
      <c r="C132" s="17">
        <v>128041552</v>
      </c>
      <c r="D132" s="17">
        <f t="shared" si="1"/>
        <v>128041552</v>
      </c>
      <c r="E132" s="49">
        <f>VLOOKUP($A132,'Data shares'!$C:$FA,128)*100</f>
        <v>6.94</v>
      </c>
      <c r="F132" s="49">
        <f>VLOOKUP($A132,'Data shares'!$C:$FA,129)</f>
        <v>438600</v>
      </c>
      <c r="G132" s="17"/>
    </row>
    <row r="133" spans="1:7" x14ac:dyDescent="0.25">
      <c r="A133" s="101" t="s">
        <v>291</v>
      </c>
      <c r="B133" s="17">
        <v>120211514</v>
      </c>
      <c r="C133" s="17">
        <v>18359325</v>
      </c>
      <c r="D133" s="17">
        <f t="shared" si="1"/>
        <v>18359325</v>
      </c>
      <c r="E133" s="49">
        <f>VLOOKUP($A133,'Data shares'!$C:$FA,128)*100</f>
        <v>6.64</v>
      </c>
      <c r="F133" s="49">
        <f>VLOOKUP($A133,'Data shares'!$C:$FA,129)</f>
        <v>873400</v>
      </c>
      <c r="G133" s="17"/>
    </row>
    <row r="134" spans="1:7" x14ac:dyDescent="0.25">
      <c r="A134" s="101" t="s">
        <v>269</v>
      </c>
      <c r="B134" s="17">
        <v>996134149</v>
      </c>
      <c r="C134" s="17">
        <v>204565900</v>
      </c>
      <c r="D134" s="17">
        <f t="shared" si="1"/>
        <v>204565900</v>
      </c>
      <c r="E134" s="49">
        <f>VLOOKUP($A134,'Data shares'!$C:$FA,128)*100</f>
        <v>10.51</v>
      </c>
      <c r="F134" s="49">
        <f>VLOOKUP($A134,'Data shares'!$C:$FA,129)</f>
        <v>7760250</v>
      </c>
      <c r="G134" s="17"/>
    </row>
    <row r="135" spans="1:7" x14ac:dyDescent="0.25">
      <c r="A135" s="101" t="s">
        <v>217</v>
      </c>
      <c r="B135" s="17">
        <v>75218562</v>
      </c>
      <c r="C135" s="17">
        <v>11613000</v>
      </c>
      <c r="D135" s="17">
        <f t="shared" ref="D135:D161" si="2">C135</f>
        <v>11613000</v>
      </c>
      <c r="E135" s="49">
        <f>VLOOKUP($A135,'Data shares'!$C:$FA,128)*100</f>
        <v>6.5600000000000005</v>
      </c>
      <c r="F135" s="49">
        <f>VLOOKUP($A135,'Data shares'!$C:$FA,129)</f>
        <v>118000</v>
      </c>
      <c r="G135" s="17"/>
    </row>
    <row r="136" spans="1:7" x14ac:dyDescent="0.25">
      <c r="A136" s="101" t="s">
        <v>495</v>
      </c>
      <c r="B136" s="17">
        <v>44974045</v>
      </c>
      <c r="C136" s="17">
        <v>4232500</v>
      </c>
      <c r="D136" s="17">
        <f t="shared" si="2"/>
        <v>4232500</v>
      </c>
      <c r="E136" s="49">
        <f>VLOOKUP($A136,'Data shares'!$C:$FA,128)*100</f>
        <v>5.9799999999999995</v>
      </c>
      <c r="F136" s="49">
        <f>VLOOKUP($A136,'Data shares'!$C:$FA,129)</f>
        <v>1319000</v>
      </c>
      <c r="G136" s="17"/>
    </row>
    <row r="137" spans="1:7" x14ac:dyDescent="0.25">
      <c r="A137" s="101" t="s">
        <v>250</v>
      </c>
      <c r="B137" s="17">
        <v>48318354</v>
      </c>
      <c r="C137" s="17">
        <v>18007250</v>
      </c>
      <c r="D137" s="17">
        <f t="shared" si="2"/>
        <v>18007250</v>
      </c>
      <c r="E137" s="49">
        <f>VLOOKUP($A137,'Data shares'!$C:$FA,128)*100</f>
        <v>4.22</v>
      </c>
      <c r="F137" s="49">
        <f>VLOOKUP($A137,'Data shares'!$C:$FA,129)</f>
        <v>255850</v>
      </c>
      <c r="G137" s="17"/>
    </row>
    <row r="138" spans="1:7" x14ac:dyDescent="0.25">
      <c r="A138" s="101" t="s">
        <v>278</v>
      </c>
      <c r="B138" s="17">
        <v>27187764</v>
      </c>
      <c r="C138" s="17">
        <v>3521550</v>
      </c>
      <c r="D138" s="17">
        <f t="shared" si="2"/>
        <v>3521550</v>
      </c>
      <c r="E138" s="49">
        <f>VLOOKUP($A138,'Data shares'!$C:$FA,128)*100</f>
        <v>1.25</v>
      </c>
      <c r="F138" s="49">
        <f>VLOOKUP($A138,'Data shares'!$C:$FA,129)</f>
        <v>89100</v>
      </c>
      <c r="G138" s="17"/>
    </row>
    <row r="139" spans="1:7" x14ac:dyDescent="0.25">
      <c r="A139" s="101" t="s">
        <v>163</v>
      </c>
      <c r="B139" s="17">
        <v>24576009</v>
      </c>
      <c r="C139" s="17">
        <v>11979000</v>
      </c>
      <c r="D139" s="17">
        <f t="shared" si="2"/>
        <v>11979000</v>
      </c>
      <c r="E139" s="49">
        <f>VLOOKUP($A139,'Data shares'!$C:$FA,128)*100</f>
        <v>0.97</v>
      </c>
      <c r="F139" s="49">
        <f>VLOOKUP($A139,'Data shares'!$C:$FA,129)</f>
        <v>10125</v>
      </c>
      <c r="G139" s="17"/>
    </row>
    <row r="140" spans="1:7" x14ac:dyDescent="0.25">
      <c r="A140" s="101" t="s">
        <v>289</v>
      </c>
      <c r="B140" s="17">
        <v>19704232</v>
      </c>
      <c r="C140" s="17">
        <v>15520500</v>
      </c>
      <c r="D140" s="17">
        <f t="shared" si="2"/>
        <v>15520500</v>
      </c>
      <c r="E140" s="49">
        <f>VLOOKUP($A140,'Data shares'!$C:$FA,128)*100</f>
        <v>20.309999999999999</v>
      </c>
      <c r="F140" s="49">
        <f>VLOOKUP($A140,'Data shares'!$C:$FA,129)</f>
        <v>3303300</v>
      </c>
      <c r="G140" s="17"/>
    </row>
    <row r="141" spans="1:7" x14ac:dyDescent="0.25">
      <c r="A141" s="101" t="s">
        <v>529</v>
      </c>
      <c r="B141" s="17">
        <v>10012679</v>
      </c>
      <c r="C141" s="17">
        <v>530550</v>
      </c>
      <c r="D141" s="17">
        <f t="shared" si="2"/>
        <v>530550</v>
      </c>
      <c r="E141" s="49">
        <f>VLOOKUP($A141,'Data shares'!$C:$FA,128)*100</f>
        <v>13.320000000000002</v>
      </c>
      <c r="F141" s="49">
        <f>VLOOKUP($A141,'Data shares'!$C:$FA,129)</f>
        <v>674400</v>
      </c>
      <c r="G141" s="17"/>
    </row>
    <row r="142" spans="1:7" x14ac:dyDescent="0.25">
      <c r="A142" s="101" t="s">
        <v>265</v>
      </c>
      <c r="B142" s="17">
        <v>7180127</v>
      </c>
      <c r="C142" s="17">
        <v>429550</v>
      </c>
      <c r="D142" s="17">
        <f t="shared" si="2"/>
        <v>429550</v>
      </c>
      <c r="E142" s="49">
        <f>VLOOKUP($A142,'Data shares'!$C:$FA,128)*100</f>
        <v>6.94</v>
      </c>
      <c r="F142" s="49">
        <f>VLOOKUP($A142,'Data shares'!$C:$FA,129)</f>
        <v>1291500</v>
      </c>
      <c r="G142" s="17"/>
    </row>
    <row r="143" spans="1:7" x14ac:dyDescent="0.25">
      <c r="A143" s="101" t="s">
        <v>486</v>
      </c>
      <c r="B143" s="17">
        <v>32559242</v>
      </c>
      <c r="C143" s="17">
        <v>4156800</v>
      </c>
      <c r="D143" s="17">
        <f t="shared" si="2"/>
        <v>4156800</v>
      </c>
      <c r="E143" s="49">
        <f>VLOOKUP($A143,'Data shares'!$C:$FA,128)*100</f>
        <v>8.52</v>
      </c>
      <c r="F143" s="49">
        <f>VLOOKUP($A143,'Data shares'!$C:$FA,129)</f>
        <v>137500</v>
      </c>
      <c r="G143" s="17"/>
    </row>
    <row r="144" spans="1:7" x14ac:dyDescent="0.25">
      <c r="A144" s="101" t="s">
        <v>190</v>
      </c>
      <c r="B144" s="17">
        <v>256482590</v>
      </c>
      <c r="C144" s="17">
        <v>208761000</v>
      </c>
      <c r="D144" s="17">
        <f t="shared" si="2"/>
        <v>208761000</v>
      </c>
      <c r="E144" s="49">
        <f>VLOOKUP($A144,'Data shares'!$C:$FA,128)*100</f>
        <v>5.04</v>
      </c>
      <c r="F144" s="49">
        <f>VLOOKUP($A144,'Data shares'!$C:$FA,129)</f>
        <v>4168500</v>
      </c>
      <c r="G144" s="17"/>
    </row>
    <row r="145" spans="1:7" x14ac:dyDescent="0.25">
      <c r="A145" s="101" t="s">
        <v>303</v>
      </c>
      <c r="B145" s="17">
        <v>109653438</v>
      </c>
      <c r="C145" s="17">
        <v>37709100</v>
      </c>
      <c r="D145" s="17">
        <f t="shared" si="2"/>
        <v>37709100</v>
      </c>
      <c r="E145" s="49">
        <f>VLOOKUP($A145,'Data shares'!$C:$FA,128)*100</f>
        <v>2.93</v>
      </c>
      <c r="F145" s="49">
        <f>VLOOKUP($A145,'Data shares'!$C:$FA,129)</f>
        <v>783190</v>
      </c>
      <c r="G145" s="17"/>
    </row>
    <row r="146" spans="1:7" x14ac:dyDescent="0.25">
      <c r="A146" s="101" t="s">
        <v>255</v>
      </c>
      <c r="B146" s="17">
        <v>26359259</v>
      </c>
      <c r="C146" s="17">
        <v>6916100</v>
      </c>
      <c r="D146" s="17">
        <f t="shared" si="2"/>
        <v>6916100</v>
      </c>
      <c r="E146" s="49">
        <f>VLOOKUP($A146,'Data shares'!$C:$FA,128)*100</f>
        <v>15.2</v>
      </c>
      <c r="F146" s="49">
        <f>VLOOKUP($A146,'Data shares'!$C:$FA,129)</f>
        <v>496350</v>
      </c>
      <c r="G146" s="17"/>
    </row>
    <row r="147" spans="1:7" x14ac:dyDescent="0.25">
      <c r="A147" s="101" t="s">
        <v>180</v>
      </c>
      <c r="B147" s="17">
        <v>372635498</v>
      </c>
      <c r="C147" s="17">
        <v>233426700</v>
      </c>
      <c r="D147" s="17">
        <f t="shared" si="2"/>
        <v>233426700</v>
      </c>
      <c r="E147" s="49">
        <f>VLOOKUP($A147,'Data shares'!$C:$FA,128)*100</f>
        <v>13.44</v>
      </c>
      <c r="F147" s="49">
        <f>VLOOKUP($A147,'Data shares'!$C:$FA,129)</f>
        <v>7005375</v>
      </c>
      <c r="G147" s="17"/>
    </row>
    <row r="148" spans="1:7" x14ac:dyDescent="0.25">
      <c r="A148" s="101" t="s">
        <v>179</v>
      </c>
      <c r="B148" s="17">
        <v>193321473</v>
      </c>
      <c r="C148" s="17">
        <v>47098800</v>
      </c>
      <c r="D148" s="17">
        <f t="shared" si="2"/>
        <v>47098800</v>
      </c>
      <c r="E148" s="49">
        <f>VLOOKUP($A148,'Data shares'!$C:$FA,128)*100</f>
        <v>17.46</v>
      </c>
      <c r="F148" s="49">
        <f>VLOOKUP($A148,'Data shares'!$C:$FA,129)</f>
        <v>5194800</v>
      </c>
    </row>
    <row r="149" spans="1:7" x14ac:dyDescent="0.25">
      <c r="A149" s="101" t="s">
        <v>253</v>
      </c>
      <c r="B149" s="17">
        <v>109926618</v>
      </c>
      <c r="C149" s="17">
        <v>54285000</v>
      </c>
      <c r="D149" s="17">
        <f t="shared" si="2"/>
        <v>54285000</v>
      </c>
      <c r="E149" s="49">
        <f>VLOOKUP($A149,'Data shares'!$C:$FA,128)*100</f>
        <v>3.36</v>
      </c>
      <c r="F149" s="49">
        <f>VLOOKUP($A149,'Data shares'!$C:$FA,129)</f>
        <v>1629000</v>
      </c>
    </row>
    <row r="150" spans="1:7" x14ac:dyDescent="0.25">
      <c r="A150" s="101" t="s">
        <v>261</v>
      </c>
      <c r="B150" s="17">
        <v>611563</v>
      </c>
      <c r="C150" s="17">
        <v>120180</v>
      </c>
      <c r="D150" s="17">
        <f t="shared" si="2"/>
        <v>120180</v>
      </c>
      <c r="E150" s="49">
        <f>VLOOKUP($A150,'Data shares'!$C:$FA,128)*100</f>
        <v>5.64</v>
      </c>
      <c r="F150" s="49">
        <f>VLOOKUP($A150,'Data shares'!$C:$FA,129)</f>
        <v>265375</v>
      </c>
    </row>
    <row r="151" spans="1:7" x14ac:dyDescent="0.25">
      <c r="A151" s="101" t="s">
        <v>164</v>
      </c>
      <c r="B151" s="17">
        <v>145854205</v>
      </c>
      <c r="C151" s="17">
        <v>46824000</v>
      </c>
      <c r="D151" s="17">
        <f t="shared" si="2"/>
        <v>46824000</v>
      </c>
      <c r="E151" s="49">
        <f>VLOOKUP($A151,'Data shares'!$C:$FA,128)*100</f>
        <v>14.069999999999999</v>
      </c>
      <c r="F151" s="49">
        <f>VLOOKUP($A151,'Data shares'!$C:$FA,129)</f>
        <v>8180550</v>
      </c>
    </row>
    <row r="152" spans="1:7" x14ac:dyDescent="0.25">
      <c r="A152" s="101" t="s">
        <v>526</v>
      </c>
      <c r="B152" s="17">
        <v>44365911</v>
      </c>
      <c r="C152" s="17">
        <v>20668300</v>
      </c>
      <c r="D152" s="17">
        <f t="shared" si="2"/>
        <v>20668300</v>
      </c>
      <c r="E152" s="49">
        <f>VLOOKUP($A152,'Data shares'!$C:$FA,128)*100</f>
        <v>10.050000000000001</v>
      </c>
      <c r="F152" s="49">
        <f>VLOOKUP($A152,'Data shares'!$C:$FA,129)</f>
        <v>842000</v>
      </c>
    </row>
    <row r="153" spans="1:7" x14ac:dyDescent="0.25">
      <c r="A153" s="101" t="s">
        <v>515</v>
      </c>
      <c r="B153" s="17">
        <v>3083179</v>
      </c>
      <c r="C153" s="17">
        <v>492075</v>
      </c>
      <c r="D153" s="17">
        <f t="shared" si="2"/>
        <v>492075</v>
      </c>
      <c r="E153" s="49">
        <f>VLOOKUP($A153,'Data shares'!$C:$FA,128)*100</f>
        <v>10.050000000000001</v>
      </c>
      <c r="F153" s="49">
        <f>VLOOKUP($A153,'Data shares'!$C:$FA,129)</f>
        <v>842000</v>
      </c>
    </row>
    <row r="154" spans="1:7" x14ac:dyDescent="0.25">
      <c r="A154" s="101" t="s">
        <v>226</v>
      </c>
      <c r="B154" s="17">
        <v>26072630</v>
      </c>
      <c r="C154" s="17">
        <v>9897900</v>
      </c>
      <c r="D154" s="17">
        <f t="shared" si="2"/>
        <v>9897900</v>
      </c>
      <c r="E154" s="49">
        <f>VLOOKUP($A154,'Data shares'!$C:$FA,128)*100</f>
        <v>7.04</v>
      </c>
      <c r="F154" s="49">
        <f>VLOOKUP($A154,'Data shares'!$C:$FA,129)</f>
        <v>208350</v>
      </c>
    </row>
    <row r="155" spans="1:7" x14ac:dyDescent="0.25">
      <c r="A155" s="101" t="s">
        <v>544</v>
      </c>
      <c r="B155" s="17">
        <v>139989683</v>
      </c>
      <c r="C155" s="17">
        <v>28415200</v>
      </c>
      <c r="D155" s="17">
        <f t="shared" si="2"/>
        <v>28415200</v>
      </c>
      <c r="E155" s="49">
        <f>VLOOKUP($A155,'Data shares'!$C:$FA,128)*100</f>
        <v>2.2599999999999998</v>
      </c>
      <c r="F155" s="49">
        <f>VLOOKUP($A155,'Data shares'!$C:$FA,129)</f>
        <v>840100</v>
      </c>
    </row>
    <row r="156" spans="1:7" x14ac:dyDescent="0.25">
      <c r="A156" s="101" t="s">
        <v>547</v>
      </c>
      <c r="B156" s="17">
        <v>65482129</v>
      </c>
      <c r="C156" s="17">
        <v>33944200</v>
      </c>
      <c r="D156" s="17">
        <f t="shared" si="2"/>
        <v>33944200</v>
      </c>
      <c r="E156" s="49">
        <f>VLOOKUP($A156,'Data shares'!$C:$FA,128)*100</f>
        <v>12.839999999999998</v>
      </c>
      <c r="F156" s="49">
        <f>VLOOKUP($A156,'Data shares'!$C:$FA,129)</f>
        <v>4561900</v>
      </c>
    </row>
    <row r="157" spans="1:7" x14ac:dyDescent="0.25">
      <c r="A157" s="101" t="s">
        <v>499</v>
      </c>
      <c r="B157" s="17">
        <v>66687240</v>
      </c>
      <c r="C157" s="17">
        <v>16125200</v>
      </c>
      <c r="D157" s="17">
        <f t="shared" si="2"/>
        <v>16125200</v>
      </c>
      <c r="E157" s="49">
        <f>VLOOKUP($A157,'Data shares'!$C:$FA,128)*100</f>
        <v>2.2599999999999998</v>
      </c>
      <c r="F157" s="49">
        <f>VLOOKUP($A157,'Data shares'!$C:$FA,129)</f>
        <v>840100</v>
      </c>
    </row>
    <row r="158" spans="1:7" x14ac:dyDescent="0.25">
      <c r="A158" s="101" t="s">
        <v>483</v>
      </c>
      <c r="B158" s="17">
        <v>16146181</v>
      </c>
      <c r="C158" s="17">
        <v>1914250</v>
      </c>
      <c r="D158" s="17">
        <f t="shared" si="2"/>
        <v>1914250</v>
      </c>
      <c r="E158" s="49">
        <f>VLOOKUP($A158,'Data shares'!$C:$FA,128)*100</f>
        <v>6.58</v>
      </c>
      <c r="F158" s="49">
        <f>VLOOKUP($A158,'Data shares'!$C:$FA,129)</f>
        <v>112700</v>
      </c>
    </row>
    <row r="159" spans="1:7" x14ac:dyDescent="0.25">
      <c r="A159" s="101" t="s">
        <v>546</v>
      </c>
      <c r="B159" s="17">
        <v>18282414</v>
      </c>
      <c r="C159" s="17">
        <v>13742300</v>
      </c>
      <c r="D159" s="17">
        <f t="shared" si="2"/>
        <v>13742300</v>
      </c>
      <c r="E159" s="49">
        <f>VLOOKUP($A159,'Data shares'!$C:$FA,128)*100</f>
        <v>8.43</v>
      </c>
      <c r="F159" s="49">
        <f>VLOOKUP($A159,'Data shares'!$C:$FA,129)</f>
        <v>5963625</v>
      </c>
    </row>
    <row r="160" spans="1:7" x14ac:dyDescent="0.25">
      <c r="A160" s="101" t="s">
        <v>220</v>
      </c>
      <c r="B160" s="17">
        <v>50687734</v>
      </c>
      <c r="C160" s="17">
        <v>6783500</v>
      </c>
      <c r="D160" s="17">
        <f t="shared" si="2"/>
        <v>6783500</v>
      </c>
      <c r="E160" s="49">
        <f>VLOOKUP($A160,'Data shares'!$C:$FA,128)*100</f>
        <v>6.29</v>
      </c>
      <c r="F160" s="49">
        <f>VLOOKUP($A160,'Data shares'!$C:$FA,129)</f>
        <v>527500</v>
      </c>
    </row>
    <row r="161" spans="1:6" x14ac:dyDescent="0.25">
      <c r="A161" s="101" t="s">
        <v>472</v>
      </c>
      <c r="B161" s="17">
        <v>50993734</v>
      </c>
      <c r="C161" s="17">
        <v>3803750</v>
      </c>
      <c r="D161" s="17">
        <f t="shared" si="2"/>
        <v>3803750</v>
      </c>
      <c r="E161" s="49">
        <f>VLOOKUP($A161,'Data shares'!$C:$FA,128)*100</f>
        <v>1.44</v>
      </c>
      <c r="F161" s="49">
        <f>VLOOKUP($A161,'Data shares'!$C:$FA,129)</f>
        <v>77350</v>
      </c>
    </row>
    <row r="162" spans="1:6" x14ac:dyDescent="0.25">
      <c r="A162" t="s">
        <v>535</v>
      </c>
      <c r="B162">
        <v>78168147</v>
      </c>
      <c r="C162">
        <v>9571500</v>
      </c>
      <c r="D162" s="17">
        <f t="shared" ref="D162:D204" si="3">C162</f>
        <v>9571500</v>
      </c>
      <c r="E162" s="49">
        <f>VLOOKUP($A162,'Data shares'!$C:$FA,128)*100</f>
        <v>5.42</v>
      </c>
      <c r="F162" s="49">
        <f>VLOOKUP($A162,'Data shares'!$C:$FA,129)</f>
        <v>885700</v>
      </c>
    </row>
    <row r="163" spans="1:6" x14ac:dyDescent="0.25">
      <c r="A163" t="s">
        <v>492</v>
      </c>
      <c r="B163">
        <v>28779078</v>
      </c>
      <c r="C163">
        <v>14404150</v>
      </c>
      <c r="D163" s="17">
        <f t="shared" si="3"/>
        <v>14404150</v>
      </c>
      <c r="E163" s="49">
        <f>VLOOKUP($A163,'Data shares'!$C:$FA,128)*100</f>
        <v>4.4400000000000004</v>
      </c>
      <c r="F163" s="49">
        <f>VLOOKUP($A163,'Data shares'!$C:$FA,129)</f>
        <v>327800</v>
      </c>
    </row>
    <row r="164" spans="1:6" x14ac:dyDescent="0.25">
      <c r="A164" t="s">
        <v>298</v>
      </c>
      <c r="B164">
        <v>9731600</v>
      </c>
      <c r="C164">
        <v>863500</v>
      </c>
      <c r="D164" s="17">
        <f t="shared" si="3"/>
        <v>863500</v>
      </c>
      <c r="E164" s="49">
        <f>VLOOKUP($A164,'Data shares'!$C:$FA,128)*100</f>
        <v>1.63</v>
      </c>
      <c r="F164" s="49">
        <f>VLOOKUP($A164,'Data shares'!$C:$FA,129)</f>
        <v>51250</v>
      </c>
    </row>
    <row r="165" spans="1:6" x14ac:dyDescent="0.25">
      <c r="A165" t="s">
        <v>548</v>
      </c>
      <c r="B165">
        <v>442076</v>
      </c>
      <c r="C165">
        <v>9615</v>
      </c>
      <c r="D165" s="17">
        <f t="shared" si="3"/>
        <v>9615</v>
      </c>
      <c r="E165" s="49">
        <f>VLOOKUP($A165,'Data shares'!$C:$FA,128)*100</f>
        <v>11.05</v>
      </c>
      <c r="F165" s="49">
        <f>VLOOKUP($A165,'Data shares'!$C:$FA,129)</f>
        <v>3546375</v>
      </c>
    </row>
    <row r="166" spans="1:6" x14ac:dyDescent="0.25">
      <c r="A166" t="s">
        <v>530</v>
      </c>
      <c r="B166">
        <v>3258166</v>
      </c>
      <c r="C166">
        <v>219750</v>
      </c>
      <c r="D166" s="17">
        <f t="shared" si="3"/>
        <v>219750</v>
      </c>
      <c r="E166" s="49">
        <f>VLOOKUP($A166,'Data shares'!$C:$FA,128)*100</f>
        <v>24.62</v>
      </c>
      <c r="F166" s="49">
        <f>VLOOKUP($A166,'Data shares'!$C:$FA,129)</f>
        <v>3176025</v>
      </c>
    </row>
    <row r="167" spans="1:6" x14ac:dyDescent="0.25">
      <c r="A167" t="s">
        <v>249</v>
      </c>
      <c r="B167">
        <v>277168216</v>
      </c>
      <c r="C167">
        <v>21795375</v>
      </c>
      <c r="D167" s="17">
        <f t="shared" si="3"/>
        <v>21795375</v>
      </c>
      <c r="E167" s="49">
        <f>VLOOKUP($A167,'Data shares'!$C:$FA,128)*100</f>
        <v>18.04</v>
      </c>
      <c r="F167" s="49">
        <f>VLOOKUP($A167,'Data shares'!$C:$FA,129)</f>
        <v>2451400</v>
      </c>
    </row>
    <row r="168" spans="1:6" x14ac:dyDescent="0.25">
      <c r="A168" t="s">
        <v>216</v>
      </c>
      <c r="B168">
        <v>484955219</v>
      </c>
      <c r="C168">
        <v>230400000</v>
      </c>
      <c r="D168" s="17">
        <f t="shared" si="3"/>
        <v>230400000</v>
      </c>
      <c r="E168" s="49">
        <f>VLOOKUP($A168,'Data shares'!$C:$FA,128)*100</f>
        <v>8.43</v>
      </c>
      <c r="F168" s="49">
        <f>VLOOKUP($A168,'Data shares'!$C:$FA,129)</f>
        <v>5963625</v>
      </c>
    </row>
    <row r="169" spans="1:6" x14ac:dyDescent="0.25">
      <c r="A169" t="s">
        <v>252</v>
      </c>
      <c r="B169">
        <v>117640832</v>
      </c>
      <c r="C169">
        <v>52456000</v>
      </c>
      <c r="D169" s="17">
        <f t="shared" si="3"/>
        <v>52456000</v>
      </c>
      <c r="E169" s="49">
        <f>VLOOKUP($A169,'Data shares'!$C:$FA,128)*100</f>
        <v>21.2</v>
      </c>
      <c r="F169" s="49">
        <f>VLOOKUP($A169,'Data shares'!$C:$FA,129)</f>
        <v>3747800</v>
      </c>
    </row>
    <row r="170" spans="1:6" x14ac:dyDescent="0.25">
      <c r="A170" t="s">
        <v>205</v>
      </c>
      <c r="B170">
        <v>25513876</v>
      </c>
      <c r="C170">
        <v>3302300</v>
      </c>
      <c r="D170" s="17">
        <f t="shared" si="3"/>
        <v>3302300</v>
      </c>
      <c r="E170" s="49">
        <f>VLOOKUP($A170,'Data shares'!$C:$FA,128)*100</f>
        <v>3.25</v>
      </c>
      <c r="F170" s="49">
        <f>VLOOKUP($A170,'Data shares'!$C:$FA,129)</f>
        <v>82100</v>
      </c>
    </row>
    <row r="171" spans="1:6" x14ac:dyDescent="0.25">
      <c r="A171" t="s">
        <v>194</v>
      </c>
      <c r="B171">
        <v>202646440</v>
      </c>
      <c r="C171">
        <v>52470000</v>
      </c>
      <c r="D171" s="17">
        <f t="shared" si="3"/>
        <v>52470000</v>
      </c>
      <c r="E171" s="49">
        <f>VLOOKUP($A171,'Data shares'!$C:$FA,128)*100</f>
        <v>4.67</v>
      </c>
      <c r="F171" s="49">
        <f>VLOOKUP($A171,'Data shares'!$C:$FA,129)</f>
        <v>2490475</v>
      </c>
    </row>
    <row r="172" spans="1:6" x14ac:dyDescent="0.25">
      <c r="A172" t="s">
        <v>263</v>
      </c>
      <c r="B172">
        <v>178967755</v>
      </c>
      <c r="C172">
        <v>142910500</v>
      </c>
      <c r="D172" s="17">
        <f t="shared" si="3"/>
        <v>142910500</v>
      </c>
      <c r="E172" s="49">
        <f>VLOOKUP($A172,'Data shares'!$C:$FA,128)*100</f>
        <v>5.52</v>
      </c>
      <c r="F172" s="49">
        <f>VLOOKUP($A172,'Data shares'!$C:$FA,129)</f>
        <v>2861250</v>
      </c>
    </row>
    <row r="173" spans="1:6" x14ac:dyDescent="0.25">
      <c r="A173" t="s">
        <v>476</v>
      </c>
      <c r="B173">
        <v>40446155</v>
      </c>
      <c r="C173">
        <v>4358800</v>
      </c>
      <c r="D173" s="17">
        <f t="shared" si="3"/>
        <v>4358800</v>
      </c>
      <c r="E173" s="49">
        <f>VLOOKUP($A173,'Data shares'!$C:$FA,128)*100</f>
        <v>8.91</v>
      </c>
      <c r="F173" s="49">
        <f>VLOOKUP($A173,'Data shares'!$C:$FA,129)</f>
        <v>521500</v>
      </c>
    </row>
    <row r="174" spans="1:6" x14ac:dyDescent="0.25">
      <c r="A174" t="s">
        <v>187</v>
      </c>
      <c r="B174">
        <v>51436398</v>
      </c>
      <c r="C174">
        <v>7413750</v>
      </c>
      <c r="D174" s="17">
        <f t="shared" si="3"/>
        <v>7413750</v>
      </c>
      <c r="E174" s="49">
        <f>VLOOKUP($A174,'Data shares'!$C:$FA,128)*100</f>
        <v>4.46</v>
      </c>
      <c r="F174" s="49">
        <f>VLOOKUP($A174,'Data shares'!$C:$FA,129)</f>
        <v>172000</v>
      </c>
    </row>
    <row r="175" spans="1:6" x14ac:dyDescent="0.25">
      <c r="A175" t="s">
        <v>493</v>
      </c>
      <c r="B175">
        <v>14814614</v>
      </c>
      <c r="C175">
        <v>3344250</v>
      </c>
      <c r="D175" s="17">
        <f t="shared" si="3"/>
        <v>3344250</v>
      </c>
      <c r="E175" s="49">
        <f>VLOOKUP($A175,'Data shares'!$C:$FA,128)*100</f>
        <v>2.59</v>
      </c>
      <c r="F175" s="49">
        <f>VLOOKUP($A175,'Data shares'!$C:$FA,129)</f>
        <v>47775</v>
      </c>
    </row>
    <row r="176" spans="1:6" x14ac:dyDescent="0.25">
      <c r="A176" t="s">
        <v>525</v>
      </c>
      <c r="B176">
        <v>35635456</v>
      </c>
      <c r="C176">
        <v>28959300</v>
      </c>
      <c r="D176" s="17">
        <f t="shared" si="3"/>
        <v>28959300</v>
      </c>
      <c r="E176" s="49">
        <f>VLOOKUP($A176,'Data shares'!$C:$FA,128)*100</f>
        <v>2.9499999999999997</v>
      </c>
      <c r="F176" s="49">
        <f>VLOOKUP($A176,'Data shares'!$C:$FA,129)</f>
        <v>811325</v>
      </c>
    </row>
    <row r="177" spans="1:6" x14ac:dyDescent="0.25">
      <c r="A177" t="s">
        <v>512</v>
      </c>
      <c r="B177">
        <v>7771646</v>
      </c>
      <c r="C177">
        <v>1119375</v>
      </c>
      <c r="D177" s="17">
        <f t="shared" si="3"/>
        <v>1119375</v>
      </c>
      <c r="E177" s="49">
        <f>VLOOKUP($A177,'Data shares'!$C:$FA,128)*100</f>
        <v>15.079999999999998</v>
      </c>
      <c r="F177" s="49">
        <f>VLOOKUP($A177,'Data shares'!$C:$FA,129)</f>
        <v>433350</v>
      </c>
    </row>
    <row r="178" spans="1:6" x14ac:dyDescent="0.25">
      <c r="A178" t="s">
        <v>233</v>
      </c>
      <c r="B178">
        <v>76432837</v>
      </c>
      <c r="C178">
        <v>9804000</v>
      </c>
      <c r="D178" s="17">
        <f t="shared" si="3"/>
        <v>9804000</v>
      </c>
      <c r="E178" s="49">
        <f>VLOOKUP($A178,'Data shares'!$C:$FA,128)*100</f>
        <v>2.39</v>
      </c>
      <c r="F178" s="49">
        <f>VLOOKUP($A178,'Data shares'!$C:$FA,129)</f>
        <v>408850</v>
      </c>
    </row>
    <row r="179" spans="1:6" x14ac:dyDescent="0.25">
      <c r="A179" t="s">
        <v>183</v>
      </c>
      <c r="B179">
        <v>12092405</v>
      </c>
      <c r="C179">
        <v>2606450</v>
      </c>
      <c r="D179" s="17">
        <f t="shared" si="3"/>
        <v>2606450</v>
      </c>
      <c r="E179" s="49">
        <f>VLOOKUP($A179,'Data shares'!$C:$FA,128)*100</f>
        <v>23.919999999999998</v>
      </c>
      <c r="F179" s="49">
        <f>VLOOKUP($A179,'Data shares'!$C:$FA,129)</f>
        <v>569730</v>
      </c>
    </row>
    <row r="180" spans="1:6" x14ac:dyDescent="0.25">
      <c r="A180" t="s">
        <v>280</v>
      </c>
      <c r="B180">
        <v>187084550</v>
      </c>
      <c r="C180">
        <v>50568000</v>
      </c>
      <c r="D180" s="17">
        <f t="shared" si="3"/>
        <v>50568000</v>
      </c>
      <c r="E180" s="49">
        <f>VLOOKUP($A180,'Data shares'!$C:$FA,128)*100</f>
        <v>12.93</v>
      </c>
      <c r="F180" s="49">
        <f>VLOOKUP($A180,'Data shares'!$C:$FA,129)</f>
        <v>6463800</v>
      </c>
    </row>
    <row r="181" spans="1:6" x14ac:dyDescent="0.25">
      <c r="A181" t="s">
        <v>166</v>
      </c>
      <c r="B181">
        <v>79597108</v>
      </c>
      <c r="C181">
        <v>26630000</v>
      </c>
      <c r="D181" s="17">
        <f t="shared" si="3"/>
        <v>26630000</v>
      </c>
      <c r="E181" s="49">
        <f>VLOOKUP($A181,'Data shares'!$C:$FA,128)*100</f>
        <v>4.8</v>
      </c>
      <c r="F181" s="49">
        <f>VLOOKUP($A181,'Data shares'!$C:$FA,129)</f>
        <v>116000</v>
      </c>
    </row>
    <row r="182" spans="1:6" x14ac:dyDescent="0.25">
      <c r="A182" t="s">
        <v>241</v>
      </c>
      <c r="B182">
        <v>913205148</v>
      </c>
      <c r="C182">
        <v>118527500</v>
      </c>
      <c r="D182" s="17">
        <f t="shared" si="3"/>
        <v>118527500</v>
      </c>
      <c r="E182" s="49">
        <f>VLOOKUP($A182,'Data shares'!$C:$FA,128)*100</f>
        <v>10.76</v>
      </c>
      <c r="F182" s="49">
        <f>VLOOKUP($A182,'Data shares'!$C:$FA,129)</f>
        <v>10135125</v>
      </c>
    </row>
    <row r="183" spans="1:6" x14ac:dyDescent="0.25">
      <c r="A183" t="s">
        <v>517</v>
      </c>
      <c r="B183">
        <v>10180563</v>
      </c>
      <c r="C183">
        <v>3926650</v>
      </c>
      <c r="D183" s="17">
        <f t="shared" si="3"/>
        <v>3926650</v>
      </c>
      <c r="E183" s="49">
        <f>VLOOKUP($A183,'Data shares'!$C:$FA,128)*100</f>
        <v>4.45</v>
      </c>
      <c r="F183" s="49">
        <f>VLOOKUP($A183,'Data shares'!$C:$FA,129)</f>
        <v>506875</v>
      </c>
    </row>
    <row r="184" spans="1:6" x14ac:dyDescent="0.25">
      <c r="A184" t="s">
        <v>211</v>
      </c>
      <c r="B184">
        <v>91809066</v>
      </c>
      <c r="C184">
        <v>33516000</v>
      </c>
      <c r="D184" s="17">
        <f t="shared" si="3"/>
        <v>33516000</v>
      </c>
      <c r="E184" s="49">
        <f>VLOOKUP($A184,'Data shares'!$C:$FA,128)*100</f>
        <v>8.49</v>
      </c>
      <c r="F184" s="49">
        <f>VLOOKUP($A184,'Data shares'!$C:$FA,129)</f>
        <v>1922400</v>
      </c>
    </row>
    <row r="185" spans="1:6" x14ac:dyDescent="0.25">
      <c r="A185" t="s">
        <v>518</v>
      </c>
      <c r="B185">
        <v>4636018</v>
      </c>
      <c r="C185">
        <v>608375</v>
      </c>
      <c r="D185" s="17">
        <f t="shared" si="3"/>
        <v>608375</v>
      </c>
      <c r="E185" s="49">
        <f>VLOOKUP($A185,'Data shares'!$C:$FA,128)*100</f>
        <v>6.23</v>
      </c>
      <c r="F185" s="49">
        <f>VLOOKUP($A185,'Data shares'!$C:$FA,129)</f>
        <v>79950</v>
      </c>
    </row>
    <row r="186" spans="1:6" x14ac:dyDescent="0.25">
      <c r="A186" t="s">
        <v>511</v>
      </c>
      <c r="B186">
        <v>18644752</v>
      </c>
      <c r="C186">
        <v>4227600</v>
      </c>
      <c r="D186" s="17">
        <f t="shared" si="3"/>
        <v>4227600</v>
      </c>
      <c r="E186" s="49">
        <f>VLOOKUP($A186,'Data shares'!$C:$FA,128)*100</f>
        <v>15.6</v>
      </c>
      <c r="F186" s="49">
        <f>VLOOKUP($A186,'Data shares'!$C:$FA,129)</f>
        <v>15727500</v>
      </c>
    </row>
    <row r="187" spans="1:6" x14ac:dyDescent="0.25">
      <c r="A187" t="s">
        <v>186</v>
      </c>
      <c r="B187">
        <v>48589957</v>
      </c>
      <c r="C187">
        <v>5942200</v>
      </c>
      <c r="D187" s="17">
        <f t="shared" si="3"/>
        <v>5942200</v>
      </c>
      <c r="E187" s="49">
        <f>VLOOKUP($A187,'Data shares'!$C:$FA,128)*100</f>
        <v>14.12</v>
      </c>
      <c r="F187" s="49">
        <f>VLOOKUP($A187,'Data shares'!$C:$FA,129)</f>
        <v>14230050</v>
      </c>
    </row>
    <row r="188" spans="1:6" x14ac:dyDescent="0.25">
      <c r="A188" t="s">
        <v>522</v>
      </c>
      <c r="B188">
        <v>1063050</v>
      </c>
      <c r="C188">
        <v>54050</v>
      </c>
      <c r="D188" s="17">
        <f t="shared" si="3"/>
        <v>54050</v>
      </c>
      <c r="E188" s="49">
        <f>VLOOKUP($A188,'Data shares'!$C:$FA,128)*100</f>
        <v>6.49</v>
      </c>
      <c r="F188" s="49">
        <f>VLOOKUP($A188,'Data shares'!$C:$FA,129)</f>
        <v>142875</v>
      </c>
    </row>
    <row r="189" spans="1:6" x14ac:dyDescent="0.25">
      <c r="A189" t="s">
        <v>300</v>
      </c>
      <c r="B189">
        <v>45360865</v>
      </c>
      <c r="C189">
        <v>14277200</v>
      </c>
      <c r="D189" s="17">
        <f t="shared" si="3"/>
        <v>14277200</v>
      </c>
      <c r="E189" s="49">
        <f>VLOOKUP($A189,'Data shares'!$C:$FA,128)*100</f>
        <v>7.19</v>
      </c>
      <c r="F189" s="49">
        <f>VLOOKUP($A189,'Data shares'!$C:$FA,129)</f>
        <v>233275</v>
      </c>
    </row>
    <row r="190" spans="1:6" x14ac:dyDescent="0.25">
      <c r="A190" t="s">
        <v>520</v>
      </c>
      <c r="B190">
        <v>23139622</v>
      </c>
      <c r="C190">
        <v>1555500</v>
      </c>
      <c r="D190" s="17">
        <f t="shared" si="3"/>
        <v>1555500</v>
      </c>
      <c r="E190" s="49">
        <f>VLOOKUP($A190,'Data shares'!$C:$FA,128)*100</f>
        <v>3.66</v>
      </c>
      <c r="F190" s="49">
        <f>VLOOKUP($A190,'Data shares'!$C:$FA,129)</f>
        <v>1430000</v>
      </c>
    </row>
    <row r="191" spans="1:6" x14ac:dyDescent="0.25">
      <c r="A191" t="s">
        <v>294</v>
      </c>
      <c r="B191">
        <v>161436977</v>
      </c>
      <c r="C191">
        <v>59382700</v>
      </c>
      <c r="D191" s="17">
        <f t="shared" si="3"/>
        <v>59382700</v>
      </c>
      <c r="E191" s="49">
        <f>VLOOKUP($A191,'Data shares'!$C:$FA,128)*100</f>
        <v>13.850000000000001</v>
      </c>
      <c r="F191" s="49">
        <f>VLOOKUP($A191,'Data shares'!$C:$FA,129)</f>
        <v>23683000</v>
      </c>
    </row>
    <row r="192" spans="1:6" x14ac:dyDescent="0.25">
      <c r="A192" t="s">
        <v>244</v>
      </c>
      <c r="B192">
        <v>265685393</v>
      </c>
      <c r="C192">
        <v>44023500</v>
      </c>
      <c r="D192" s="17">
        <f t="shared" si="3"/>
        <v>44023500</v>
      </c>
      <c r="E192" s="49">
        <f>VLOOKUP($A192,'Data shares'!$C:$FA,128)*100</f>
        <v>12.790000000000001</v>
      </c>
      <c r="F192" s="49">
        <f>VLOOKUP($A192,'Data shares'!$C:$FA,129)</f>
        <v>5049000</v>
      </c>
    </row>
    <row r="193" spans="1:6" x14ac:dyDescent="0.25">
      <c r="A193" t="s">
        <v>160</v>
      </c>
      <c r="B193">
        <v>145684825</v>
      </c>
      <c r="C193">
        <v>110820000</v>
      </c>
      <c r="D193" s="17">
        <f t="shared" si="3"/>
        <v>110820000</v>
      </c>
      <c r="E193" s="49">
        <f>VLOOKUP($A193,'Data shares'!$C:$FA,128)*100</f>
        <v>14.67</v>
      </c>
      <c r="F193" s="49">
        <f>VLOOKUP($A193,'Data shares'!$C:$FA,129)</f>
        <v>2813900</v>
      </c>
    </row>
    <row r="194" spans="1:6" x14ac:dyDescent="0.25">
      <c r="A194" t="s">
        <v>496</v>
      </c>
      <c r="B194">
        <v>11999202</v>
      </c>
      <c r="C194">
        <v>2345700</v>
      </c>
      <c r="D194" s="17">
        <f t="shared" si="3"/>
        <v>2345700</v>
      </c>
      <c r="E194" s="49">
        <f>VLOOKUP($A194,'Data shares'!$C:$FA,128)*100</f>
        <v>11.23</v>
      </c>
      <c r="F194" s="49">
        <f>VLOOKUP($A194,'Data shares'!$C:$FA,129)</f>
        <v>562800</v>
      </c>
    </row>
    <row r="195" spans="1:6" x14ac:dyDescent="0.25">
      <c r="A195" t="s">
        <v>230</v>
      </c>
      <c r="B195">
        <v>179034270</v>
      </c>
      <c r="C195">
        <v>24257400</v>
      </c>
      <c r="D195" s="17">
        <f t="shared" si="3"/>
        <v>24257400</v>
      </c>
      <c r="E195" s="49">
        <f>VLOOKUP($A195,'Data shares'!$C:$FA,128)*100</f>
        <v>5.6899999999999995</v>
      </c>
      <c r="F195" s="49">
        <f>VLOOKUP($A195,'Data shares'!$C:$FA,129)</f>
        <v>981300</v>
      </c>
    </row>
    <row r="196" spans="1:6" x14ac:dyDescent="0.25">
      <c r="A196" t="s">
        <v>203</v>
      </c>
      <c r="B196">
        <v>27165463</v>
      </c>
      <c r="C196">
        <v>3318000</v>
      </c>
      <c r="D196" s="17">
        <f t="shared" si="3"/>
        <v>3318000</v>
      </c>
      <c r="E196" s="49">
        <f>VLOOKUP($A196,'Data shares'!$C:$FA,128)*100</f>
        <v>9.25</v>
      </c>
      <c r="F196" s="49">
        <f>VLOOKUP($A196,'Data shares'!$C:$FA,129)</f>
        <v>106200</v>
      </c>
    </row>
    <row r="197" spans="1:6" x14ac:dyDescent="0.25">
      <c r="A197" t="s">
        <v>251</v>
      </c>
      <c r="B197">
        <v>184464522</v>
      </c>
      <c r="C197">
        <v>32566800</v>
      </c>
      <c r="D197" s="17">
        <f t="shared" si="3"/>
        <v>32566800</v>
      </c>
      <c r="E197" s="49">
        <f>VLOOKUP($A197,'Data shares'!$C:$FA,128)*100</f>
        <v>21.2</v>
      </c>
      <c r="F197" s="49">
        <f>VLOOKUP($A197,'Data shares'!$C:$FA,129)</f>
        <v>3747800</v>
      </c>
    </row>
    <row r="198" spans="1:6" x14ac:dyDescent="0.25">
      <c r="A198" t="s">
        <v>254</v>
      </c>
      <c r="B198">
        <v>104419539</v>
      </c>
      <c r="C198">
        <v>12741000</v>
      </c>
      <c r="D198" s="17">
        <f t="shared" si="3"/>
        <v>12741000</v>
      </c>
      <c r="E198" s="49">
        <f>VLOOKUP($A198,'Data shares'!$C:$FA,128)*100</f>
        <v>6.04</v>
      </c>
      <c r="F198" s="49">
        <f>VLOOKUP($A198,'Data shares'!$C:$FA,129)</f>
        <v>241200</v>
      </c>
    </row>
    <row r="199" spans="1:6" x14ac:dyDescent="0.25">
      <c r="A199" t="s">
        <v>159</v>
      </c>
      <c r="B199">
        <v>55169320</v>
      </c>
      <c r="C199">
        <v>29565500</v>
      </c>
      <c r="D199" s="17">
        <f t="shared" si="3"/>
        <v>29565500</v>
      </c>
      <c r="E199" s="49">
        <f>VLOOKUP($A199,'Data shares'!$C:$FA,128)*100</f>
        <v>9.4700000000000006</v>
      </c>
      <c r="F199" s="49">
        <f>VLOOKUP($A199,'Data shares'!$C:$FA,129)</f>
        <v>1405950</v>
      </c>
    </row>
    <row r="200" spans="1:6" x14ac:dyDescent="0.25">
      <c r="A200" t="s">
        <v>201</v>
      </c>
      <c r="B200">
        <v>26654592</v>
      </c>
      <c r="C200">
        <v>3469200</v>
      </c>
      <c r="D200" s="17">
        <f t="shared" si="3"/>
        <v>3469200</v>
      </c>
      <c r="E200" s="49">
        <f>VLOOKUP($A200,'Data shares'!$C:$FA,128)*100</f>
        <v>5.94</v>
      </c>
      <c r="F200" s="49">
        <f>VLOOKUP($A200,'Data shares'!$C:$FA,129)</f>
        <v>362250</v>
      </c>
    </row>
    <row r="201" spans="1:6" x14ac:dyDescent="0.25">
      <c r="A201" t="s">
        <v>199</v>
      </c>
      <c r="B201">
        <v>102562642</v>
      </c>
      <c r="C201">
        <v>20641400</v>
      </c>
      <c r="D201" s="17">
        <f t="shared" si="3"/>
        <v>20641400</v>
      </c>
      <c r="E201" s="49">
        <f>VLOOKUP($A201,'Data shares'!$C:$FA,128)*100</f>
        <v>10.59</v>
      </c>
      <c r="F201" s="49">
        <f>VLOOKUP($A201,'Data shares'!$C:$FA,129)</f>
        <v>1574625</v>
      </c>
    </row>
    <row r="202" spans="1:6" x14ac:dyDescent="0.25">
      <c r="A202" t="s">
        <v>296</v>
      </c>
      <c r="B202">
        <v>124861039</v>
      </c>
      <c r="C202">
        <v>20543400</v>
      </c>
      <c r="D202" s="17">
        <f t="shared" si="3"/>
        <v>20543400</v>
      </c>
      <c r="E202" s="49">
        <f>VLOOKUP($A202,'Data shares'!$C:$FA,128)*100</f>
        <v>4.46</v>
      </c>
      <c r="F202" s="49">
        <f>VLOOKUP($A202,'Data shares'!$C:$FA,129)</f>
        <v>707400</v>
      </c>
    </row>
    <row r="203" spans="1:6" x14ac:dyDescent="0.25">
      <c r="A203" t="s">
        <v>229</v>
      </c>
      <c r="B203">
        <v>127940594</v>
      </c>
      <c r="C203">
        <v>33552900</v>
      </c>
      <c r="D203" s="17">
        <f t="shared" si="3"/>
        <v>33552900</v>
      </c>
      <c r="E203" s="49">
        <f>VLOOKUP($A203,'Data shares'!$C:$FA,128)*100</f>
        <v>5.42</v>
      </c>
      <c r="F203" s="49">
        <f>VLOOKUP($A203,'Data shares'!$C:$FA,129)</f>
        <v>1984500</v>
      </c>
    </row>
    <row r="204" spans="1:6" x14ac:dyDescent="0.25">
      <c r="A204" t="s">
        <v>497</v>
      </c>
      <c r="B204">
        <v>10251929</v>
      </c>
      <c r="C204">
        <v>266200</v>
      </c>
      <c r="D204" s="17">
        <f t="shared" si="3"/>
        <v>266200</v>
      </c>
      <c r="E204" s="49">
        <f>VLOOKUP($A204,'Data shares'!$C:$FA,128)*100</f>
        <v>0.97</v>
      </c>
      <c r="F204" s="49">
        <f>VLOOKUP($A204,'Data shares'!$C:$FA,129)</f>
        <v>10125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D14" sqref="D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A14" zoomScale="87" zoomScaleNormal="87" workbookViewId="0">
      <selection activeCell="M34" sqref="M34"/>
    </sheetView>
  </sheetViews>
  <sheetFormatPr defaultRowHeight="15" x14ac:dyDescent="0.25"/>
  <cols>
    <col min="1" max="1" width="12.14062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8" width="13.140625" bestFit="1" customWidth="1"/>
    <col min="89" max="89" width="11.5703125" bestFit="1" customWidth="1"/>
    <col min="90" max="90" width="10.42578125" bestFit="1" customWidth="1"/>
    <col min="91" max="92" width="14.28515625" bestFit="1" customWidth="1"/>
    <col min="93" max="93" width="13.140625" bestFit="1" customWidth="1"/>
    <col min="94" max="94" width="10.42578125" bestFit="1" customWidth="1"/>
    <col min="95" max="95" width="13.140625" bestFit="1" customWidth="1"/>
    <col min="96" max="96" width="13.28515625" bestFit="1" customWidth="1"/>
    <col min="97" max="97" width="13.140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9"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46129</v>
      </c>
      <c r="B2" s="227" t="s">
        <v>215</v>
      </c>
      <c r="C2" s="227" t="s">
        <v>159</v>
      </c>
      <c r="D2" s="231">
        <v>2224.9</v>
      </c>
      <c r="E2" s="231">
        <v>2211.1</v>
      </c>
      <c r="F2" s="228">
        <v>13.8</v>
      </c>
      <c r="G2" s="229">
        <v>6.1999999999999998E-3</v>
      </c>
      <c r="H2" s="231">
        <v>2218.3000000000002</v>
      </c>
      <c r="I2" s="231">
        <v>2203.6999999999998</v>
      </c>
      <c r="J2" s="228">
        <v>14.6</v>
      </c>
      <c r="K2" s="229">
        <v>6.6E-3</v>
      </c>
      <c r="L2" s="231">
        <v>2224.9</v>
      </c>
      <c r="M2" s="231">
        <v>2211.1</v>
      </c>
      <c r="N2" s="228">
        <v>13.8</v>
      </c>
      <c r="O2" s="229">
        <v>6.1999999999999998E-3</v>
      </c>
      <c r="P2" s="231">
        <v>2237.6999999999998</v>
      </c>
      <c r="Q2" s="231">
        <v>2222.4</v>
      </c>
      <c r="R2" s="228">
        <v>15.3</v>
      </c>
      <c r="S2" s="229">
        <v>6.8999999999999999E-3</v>
      </c>
      <c r="T2" s="231">
        <v>2249.9</v>
      </c>
      <c r="U2" s="231">
        <v>2233</v>
      </c>
      <c r="V2" s="228">
        <v>16.899999999999999</v>
      </c>
      <c r="W2" s="229">
        <v>7.6E-3</v>
      </c>
      <c r="X2" s="228">
        <v>6.6</v>
      </c>
      <c r="Y2" s="228">
        <v>7.4</v>
      </c>
      <c r="Z2" s="228">
        <v>-0.8</v>
      </c>
      <c r="AA2" s="229">
        <v>3.0000000000000001E-3</v>
      </c>
      <c r="AB2" s="228">
        <v>6.6</v>
      </c>
      <c r="AC2" s="228">
        <v>7.4</v>
      </c>
      <c r="AD2" s="228">
        <v>-0.8</v>
      </c>
      <c r="AE2" s="229">
        <v>3.0000000000000001E-3</v>
      </c>
      <c r="AF2" s="228">
        <v>19.399999999999999</v>
      </c>
      <c r="AG2" s="228">
        <v>18.7</v>
      </c>
      <c r="AH2" s="228">
        <v>0.7</v>
      </c>
      <c r="AI2" s="229">
        <v>8.6999999999999994E-3</v>
      </c>
      <c r="AJ2" s="228">
        <v>31.6</v>
      </c>
      <c r="AK2" s="228">
        <v>29.3</v>
      </c>
      <c r="AL2" s="228">
        <v>2.2999999999999998</v>
      </c>
      <c r="AM2" s="229">
        <v>1.4200000000000001E-2</v>
      </c>
      <c r="AN2" s="231">
        <v>2211.38</v>
      </c>
      <c r="AO2" s="231">
        <v>2223.83</v>
      </c>
      <c r="AP2" s="228">
        <v>0</v>
      </c>
      <c r="AQ2" s="230">
        <v>11112</v>
      </c>
      <c r="AR2" s="230">
        <v>11092</v>
      </c>
      <c r="AS2" s="228">
        <v>20</v>
      </c>
      <c r="AT2" s="229">
        <v>1.8E-3</v>
      </c>
      <c r="AU2" s="230">
        <v>9090</v>
      </c>
      <c r="AV2" s="230">
        <v>8729</v>
      </c>
      <c r="AW2" s="228">
        <v>361</v>
      </c>
      <c r="AX2" s="229">
        <v>4.1399999999999999E-2</v>
      </c>
      <c r="AY2" s="230">
        <v>1873</v>
      </c>
      <c r="AZ2" s="230">
        <v>2236</v>
      </c>
      <c r="BA2" s="228">
        <v>-363</v>
      </c>
      <c r="BB2" s="229">
        <v>-0.1623</v>
      </c>
      <c r="BC2" s="228">
        <v>149</v>
      </c>
      <c r="BD2" s="228">
        <v>127</v>
      </c>
      <c r="BE2" s="228">
        <v>22</v>
      </c>
      <c r="BF2" s="229">
        <v>0.17319999999999999</v>
      </c>
      <c r="BG2" s="230">
        <v>45878</v>
      </c>
      <c r="BH2" s="230">
        <v>39293</v>
      </c>
      <c r="BI2" s="230">
        <v>6585</v>
      </c>
      <c r="BJ2" s="229">
        <v>0.1676</v>
      </c>
      <c r="BK2" s="230">
        <v>22052</v>
      </c>
      <c r="BL2" s="230">
        <v>18350</v>
      </c>
      <c r="BM2" s="230">
        <v>3702</v>
      </c>
      <c r="BN2" s="229">
        <v>0.20169999999999999</v>
      </c>
      <c r="BO2" s="230">
        <v>79042</v>
      </c>
      <c r="BP2" s="230">
        <v>68735</v>
      </c>
      <c r="BQ2" s="230">
        <v>10307</v>
      </c>
      <c r="BR2" s="229">
        <v>0.15</v>
      </c>
      <c r="BS2" s="230">
        <v>2625958</v>
      </c>
      <c r="BT2" s="230">
        <v>2404309</v>
      </c>
      <c r="BU2" s="230">
        <v>221649</v>
      </c>
      <c r="BV2" s="229">
        <v>9.2200000000000004E-2</v>
      </c>
      <c r="BW2" s="230">
        <v>17311107</v>
      </c>
      <c r="BX2" s="230">
        <v>17058963</v>
      </c>
      <c r="BY2" s="230">
        <v>252144</v>
      </c>
      <c r="BZ2" s="229">
        <v>1.4800000000000001E-2</v>
      </c>
      <c r="CA2" s="230">
        <v>15672480</v>
      </c>
      <c r="CB2" s="230">
        <v>15653013</v>
      </c>
      <c r="CC2" s="230">
        <v>19467</v>
      </c>
      <c r="CD2" s="229">
        <v>1.1999999999999999E-3</v>
      </c>
      <c r="CE2" s="230">
        <v>1543455</v>
      </c>
      <c r="CF2" s="230">
        <v>1317576</v>
      </c>
      <c r="CG2" s="230">
        <v>225879</v>
      </c>
      <c r="CH2" s="229">
        <v>0.1714</v>
      </c>
      <c r="CI2" s="230">
        <v>95172</v>
      </c>
      <c r="CJ2" s="230">
        <v>88374</v>
      </c>
      <c r="CK2" s="230">
        <v>6798</v>
      </c>
      <c r="CL2" s="229">
        <v>7.6899999999999996E-2</v>
      </c>
      <c r="CM2" s="230">
        <v>7272315</v>
      </c>
      <c r="CN2" s="230">
        <v>6888537</v>
      </c>
      <c r="CO2" s="230">
        <v>383778</v>
      </c>
      <c r="CP2" s="229">
        <v>5.57E-2</v>
      </c>
      <c r="CQ2" s="230">
        <v>6807270</v>
      </c>
      <c r="CR2" s="230">
        <v>6799236</v>
      </c>
      <c r="CS2" s="230">
        <v>8034</v>
      </c>
      <c r="CT2" s="229">
        <v>1.1999999999999999E-3</v>
      </c>
      <c r="CU2" s="230">
        <v>31390692</v>
      </c>
      <c r="CV2" s="230">
        <v>30746736</v>
      </c>
      <c r="CW2" s="230">
        <v>643956</v>
      </c>
      <c r="CX2" s="229">
        <v>2.0899999999999998E-2</v>
      </c>
      <c r="CY2" s="228">
        <v>40.03</v>
      </c>
      <c r="CZ2" s="228">
        <v>41.29</v>
      </c>
      <c r="DA2" s="228">
        <v>-1.26</v>
      </c>
      <c r="DB2" s="228">
        <v>-1.26</v>
      </c>
      <c r="DC2" s="228">
        <v>49.63</v>
      </c>
      <c r="DD2" s="228">
        <v>49.75</v>
      </c>
      <c r="DE2" s="228">
        <v>-9.6</v>
      </c>
      <c r="DF2" s="228">
        <v>-0.12</v>
      </c>
      <c r="DG2" s="228">
        <v>38.51</v>
      </c>
      <c r="DH2" s="228">
        <v>40.03</v>
      </c>
      <c r="DI2" s="228">
        <v>-1.52</v>
      </c>
      <c r="DJ2" s="228">
        <v>-1.52</v>
      </c>
      <c r="DK2" s="228">
        <v>43.19</v>
      </c>
      <c r="DL2" s="228">
        <v>43.97</v>
      </c>
      <c r="DM2" s="228">
        <v>-0.78</v>
      </c>
      <c r="DN2" s="228">
        <v>-0.78</v>
      </c>
      <c r="DO2" s="228">
        <v>0.94</v>
      </c>
      <c r="DP2" s="228">
        <v>0.99</v>
      </c>
      <c r="DQ2" s="228">
        <v>-0.05</v>
      </c>
      <c r="DR2" s="229">
        <v>-5.0500000000000003E-2</v>
      </c>
      <c r="DS2" s="231">
        <v>2200</v>
      </c>
      <c r="DT2" s="231">
        <v>2200</v>
      </c>
      <c r="DU2" s="228">
        <v>0.48</v>
      </c>
      <c r="DV2" s="228">
        <v>0.47</v>
      </c>
      <c r="DW2" s="228">
        <v>0.01</v>
      </c>
      <c r="DX2" s="229">
        <v>2.1299999999999999E-2</v>
      </c>
      <c r="DY2" s="229">
        <v>9.4700000000000006E-2</v>
      </c>
      <c r="DZ2" s="230">
        <v>1405950</v>
      </c>
      <c r="EA2" s="229">
        <v>5.7999999999999996E-3</v>
      </c>
      <c r="EB2" s="229">
        <v>9.4700000000000006E-2</v>
      </c>
      <c r="EC2" s="228">
        <v>12.45</v>
      </c>
      <c r="ED2" s="229">
        <v>5.5999999999999999E-3</v>
      </c>
      <c r="EE2" s="230">
        <v>651709</v>
      </c>
      <c r="EF2" s="230">
        <v>636594</v>
      </c>
      <c r="EG2" s="229">
        <v>2.3699999999999999E-2</v>
      </c>
      <c r="EH2" s="229">
        <v>0.2482</v>
      </c>
      <c r="EI2" s="231">
        <v>328200.25</v>
      </c>
      <c r="EJ2" s="231">
        <v>146446.12</v>
      </c>
      <c r="EK2" s="231">
        <v>76012.3</v>
      </c>
      <c r="EL2" s="231">
        <v>10254</v>
      </c>
      <c r="EM2" s="231">
        <v>550658.67000000004</v>
      </c>
      <c r="EN2" s="231">
        <v>474885.71</v>
      </c>
      <c r="EO2" s="231">
        <v>75772.960000000006</v>
      </c>
      <c r="EP2" s="229">
        <v>0.15959999999999999</v>
      </c>
      <c r="EQ2" s="231">
        <v>154995</v>
      </c>
      <c r="ER2" s="231">
        <v>137166</v>
      </c>
      <c r="ES2" s="231">
        <v>385376</v>
      </c>
      <c r="ET2" s="231">
        <v>33645895</v>
      </c>
      <c r="EU2" s="231">
        <v>677537</v>
      </c>
      <c r="EV2" s="231">
        <v>660580</v>
      </c>
      <c r="EW2" s="231">
        <v>16957</v>
      </c>
      <c r="EX2" s="229">
        <v>2.5700000000000001E-2</v>
      </c>
      <c r="EY2" s="229">
        <v>0.93300000000000005</v>
      </c>
    </row>
    <row r="3" spans="1:155" ht="17.25" thickBot="1" x14ac:dyDescent="0.3">
      <c r="A3" s="226">
        <v>46129</v>
      </c>
      <c r="B3" s="227" t="s">
        <v>215</v>
      </c>
      <c r="C3" s="227" t="s">
        <v>160</v>
      </c>
      <c r="D3" s="231">
        <v>1573.2</v>
      </c>
      <c r="E3" s="231">
        <v>1550.7</v>
      </c>
      <c r="F3" s="228">
        <v>22.5</v>
      </c>
      <c r="G3" s="229">
        <v>1.4500000000000001E-2</v>
      </c>
      <c r="H3" s="231">
        <v>1573.4</v>
      </c>
      <c r="I3" s="231">
        <v>1549.8</v>
      </c>
      <c r="J3" s="228">
        <v>23.6</v>
      </c>
      <c r="K3" s="229">
        <v>1.52E-2</v>
      </c>
      <c r="L3" s="231">
        <v>1573.2</v>
      </c>
      <c r="M3" s="231">
        <v>1550.7</v>
      </c>
      <c r="N3" s="228">
        <v>22.5</v>
      </c>
      <c r="O3" s="229">
        <v>1.4500000000000001E-2</v>
      </c>
      <c r="P3" s="231">
        <v>1582.3</v>
      </c>
      <c r="Q3" s="231">
        <v>1558.7</v>
      </c>
      <c r="R3" s="228">
        <v>23.6</v>
      </c>
      <c r="S3" s="229">
        <v>1.5100000000000001E-2</v>
      </c>
      <c r="T3" s="231">
        <v>1585</v>
      </c>
      <c r="U3" s="231">
        <v>1559.2</v>
      </c>
      <c r="V3" s="228">
        <v>25.8</v>
      </c>
      <c r="W3" s="229">
        <v>1.6500000000000001E-2</v>
      </c>
      <c r="X3" s="228">
        <v>-0.2</v>
      </c>
      <c r="Y3" s="228">
        <v>0.9</v>
      </c>
      <c r="Z3" s="228">
        <v>-1.1000000000000001</v>
      </c>
      <c r="AA3" s="229">
        <v>-1E-4</v>
      </c>
      <c r="AB3" s="228">
        <v>-0.2</v>
      </c>
      <c r="AC3" s="228">
        <v>0.9</v>
      </c>
      <c r="AD3" s="228">
        <v>-1.1000000000000001</v>
      </c>
      <c r="AE3" s="229">
        <v>-1E-4</v>
      </c>
      <c r="AF3" s="228">
        <v>8.9</v>
      </c>
      <c r="AG3" s="228">
        <v>8.9</v>
      </c>
      <c r="AH3" s="228">
        <v>0</v>
      </c>
      <c r="AI3" s="229">
        <v>5.7000000000000002E-3</v>
      </c>
      <c r="AJ3" s="228">
        <v>11.6</v>
      </c>
      <c r="AK3" s="228">
        <v>9.4</v>
      </c>
      <c r="AL3" s="228">
        <v>2.2000000000000002</v>
      </c>
      <c r="AM3" s="229">
        <v>7.4000000000000003E-3</v>
      </c>
      <c r="AN3" s="231">
        <v>1567.91</v>
      </c>
      <c r="AO3" s="231">
        <v>1577.3</v>
      </c>
      <c r="AP3" s="228">
        <v>0</v>
      </c>
      <c r="AQ3" s="230">
        <v>8396</v>
      </c>
      <c r="AR3" s="230">
        <v>10639</v>
      </c>
      <c r="AS3" s="230">
        <v>-2243</v>
      </c>
      <c r="AT3" s="229">
        <v>-0.21079999999999999</v>
      </c>
      <c r="AU3" s="230">
        <v>7539</v>
      </c>
      <c r="AV3" s="230">
        <v>9118</v>
      </c>
      <c r="AW3" s="230">
        <v>-1579</v>
      </c>
      <c r="AX3" s="229">
        <v>-0.17319999999999999</v>
      </c>
      <c r="AY3" s="228">
        <v>740</v>
      </c>
      <c r="AZ3" s="230">
        <v>1294</v>
      </c>
      <c r="BA3" s="228">
        <v>-554</v>
      </c>
      <c r="BB3" s="229">
        <v>-0.42809999999999998</v>
      </c>
      <c r="BC3" s="228">
        <v>117</v>
      </c>
      <c r="BD3" s="228">
        <v>227</v>
      </c>
      <c r="BE3" s="228">
        <v>-110</v>
      </c>
      <c r="BF3" s="229">
        <v>-0.48459999999999998</v>
      </c>
      <c r="BG3" s="230">
        <v>53152</v>
      </c>
      <c r="BH3" s="230">
        <v>58088</v>
      </c>
      <c r="BI3" s="230">
        <v>-4936</v>
      </c>
      <c r="BJ3" s="229">
        <v>-8.5000000000000006E-2</v>
      </c>
      <c r="BK3" s="230">
        <v>25562</v>
      </c>
      <c r="BL3" s="230">
        <v>25250</v>
      </c>
      <c r="BM3" s="228">
        <v>312</v>
      </c>
      <c r="BN3" s="229">
        <v>1.24E-2</v>
      </c>
      <c r="BO3" s="230">
        <v>87110</v>
      </c>
      <c r="BP3" s="230">
        <v>93977</v>
      </c>
      <c r="BQ3" s="230">
        <v>-6867</v>
      </c>
      <c r="BR3" s="229">
        <v>-7.3099999999999998E-2</v>
      </c>
      <c r="BS3" s="230">
        <v>6270922</v>
      </c>
      <c r="BT3" s="230">
        <v>7717756</v>
      </c>
      <c r="BU3" s="230">
        <v>-1446834</v>
      </c>
      <c r="BV3" s="229">
        <v>-0.1875</v>
      </c>
      <c r="BW3" s="230">
        <v>19844075</v>
      </c>
      <c r="BX3" s="230">
        <v>19922450</v>
      </c>
      <c r="BY3" s="230">
        <v>-78375</v>
      </c>
      <c r="BZ3" s="229">
        <v>-3.8999999999999998E-3</v>
      </c>
      <c r="CA3" s="230">
        <v>16932325</v>
      </c>
      <c r="CB3" s="230">
        <v>17108550</v>
      </c>
      <c r="CC3" s="230">
        <v>-176225</v>
      </c>
      <c r="CD3" s="229">
        <v>-1.03E-2</v>
      </c>
      <c r="CE3" s="230">
        <v>2783500</v>
      </c>
      <c r="CF3" s="230">
        <v>2691825</v>
      </c>
      <c r="CG3" s="230">
        <v>91675</v>
      </c>
      <c r="CH3" s="229">
        <v>3.4099999999999998E-2</v>
      </c>
      <c r="CI3" s="230">
        <v>128250</v>
      </c>
      <c r="CJ3" s="230">
        <v>122075</v>
      </c>
      <c r="CK3" s="230">
        <v>6175</v>
      </c>
      <c r="CL3" s="229">
        <v>5.0599999999999999E-2</v>
      </c>
      <c r="CM3" s="230">
        <v>9410225</v>
      </c>
      <c r="CN3" s="230">
        <v>8416525</v>
      </c>
      <c r="CO3" s="230">
        <v>993700</v>
      </c>
      <c r="CP3" s="229">
        <v>0.1181</v>
      </c>
      <c r="CQ3" s="230">
        <v>7909225</v>
      </c>
      <c r="CR3" s="230">
        <v>7062300</v>
      </c>
      <c r="CS3" s="230">
        <v>846925</v>
      </c>
      <c r="CT3" s="229">
        <v>0.11990000000000001</v>
      </c>
      <c r="CU3" s="230">
        <v>37163525</v>
      </c>
      <c r="CV3" s="230">
        <v>35401275</v>
      </c>
      <c r="CW3" s="230">
        <v>1762250</v>
      </c>
      <c r="CX3" s="229">
        <v>4.9799999999999997E-2</v>
      </c>
      <c r="CY3" s="228">
        <v>33.14</v>
      </c>
      <c r="CZ3" s="228">
        <v>32.92</v>
      </c>
      <c r="DA3" s="228">
        <v>0.22</v>
      </c>
      <c r="DB3" s="228">
        <v>0.22</v>
      </c>
      <c r="DC3" s="228">
        <v>40.31</v>
      </c>
      <c r="DD3" s="228">
        <v>40.36</v>
      </c>
      <c r="DE3" s="228">
        <v>-7.17</v>
      </c>
      <c r="DF3" s="228">
        <v>-0.05</v>
      </c>
      <c r="DG3" s="228">
        <v>31.94</v>
      </c>
      <c r="DH3" s="228">
        <v>31.5</v>
      </c>
      <c r="DI3" s="228">
        <v>0.44</v>
      </c>
      <c r="DJ3" s="228">
        <v>0.44</v>
      </c>
      <c r="DK3" s="228">
        <v>35.630000000000003</v>
      </c>
      <c r="DL3" s="228">
        <v>36.18</v>
      </c>
      <c r="DM3" s="228">
        <v>-0.55000000000000004</v>
      </c>
      <c r="DN3" s="228">
        <v>-0.55000000000000004</v>
      </c>
      <c r="DO3" s="228">
        <v>0.84</v>
      </c>
      <c r="DP3" s="228">
        <v>0.84</v>
      </c>
      <c r="DQ3" s="228">
        <v>0</v>
      </c>
      <c r="DR3" s="229">
        <v>0</v>
      </c>
      <c r="DS3" s="231">
        <v>1500</v>
      </c>
      <c r="DT3" s="231">
        <v>1500</v>
      </c>
      <c r="DU3" s="228">
        <v>0.48</v>
      </c>
      <c r="DV3" s="228">
        <v>0.43</v>
      </c>
      <c r="DW3" s="228">
        <v>0.05</v>
      </c>
      <c r="DX3" s="229">
        <v>0.1163</v>
      </c>
      <c r="DY3" s="229">
        <v>0.1467</v>
      </c>
      <c r="DZ3" s="230">
        <v>2813900</v>
      </c>
      <c r="EA3" s="229">
        <v>5.7999999999999996E-3</v>
      </c>
      <c r="EB3" s="229">
        <v>0.1467</v>
      </c>
      <c r="EC3" s="228">
        <v>9.39</v>
      </c>
      <c r="ED3" s="229">
        <v>6.0000000000000001E-3</v>
      </c>
      <c r="EE3" s="230">
        <v>3966999</v>
      </c>
      <c r="EF3" s="230">
        <v>4802681</v>
      </c>
      <c r="EG3" s="229">
        <v>-0.17399999999999999</v>
      </c>
      <c r="EH3" s="229">
        <v>0.63260000000000005</v>
      </c>
      <c r="EI3" s="231">
        <v>411137.95</v>
      </c>
      <c r="EJ3" s="231">
        <v>185800.25</v>
      </c>
      <c r="EK3" s="231">
        <v>62570.01</v>
      </c>
      <c r="EL3" s="231">
        <v>8202</v>
      </c>
      <c r="EM3" s="231">
        <v>659508.21</v>
      </c>
      <c r="EN3" s="231">
        <v>698465.26</v>
      </c>
      <c r="EO3" s="231">
        <v>-38957.050000000003</v>
      </c>
      <c r="EP3" s="229">
        <v>-5.5800000000000002E-2</v>
      </c>
      <c r="EQ3" s="231">
        <v>144223</v>
      </c>
      <c r="ER3" s="231">
        <v>113025</v>
      </c>
      <c r="ES3" s="231">
        <v>312455</v>
      </c>
      <c r="ET3" s="231">
        <v>88142691</v>
      </c>
      <c r="EU3" s="231">
        <v>569704</v>
      </c>
      <c r="EV3" s="231">
        <v>536218</v>
      </c>
      <c r="EW3" s="231">
        <v>33486</v>
      </c>
      <c r="EX3" s="229">
        <v>6.2399999999999997E-2</v>
      </c>
      <c r="EY3" s="229">
        <v>0.42159999999999997</v>
      </c>
    </row>
    <row r="4" spans="1:155" ht="17.25" thickBot="1" x14ac:dyDescent="0.3">
      <c r="A4" s="226">
        <v>46129</v>
      </c>
      <c r="B4" s="227" t="s">
        <v>170</v>
      </c>
      <c r="C4" s="227" t="s">
        <v>165</v>
      </c>
      <c r="D4" s="231">
        <v>7698</v>
      </c>
      <c r="E4" s="231">
        <v>7556</v>
      </c>
      <c r="F4" s="228">
        <v>142</v>
      </c>
      <c r="G4" s="229">
        <v>1.8800000000000001E-2</v>
      </c>
      <c r="H4" s="231">
        <v>7699</v>
      </c>
      <c r="I4" s="231">
        <v>7553</v>
      </c>
      <c r="J4" s="228">
        <v>146</v>
      </c>
      <c r="K4" s="229">
        <v>1.9300000000000001E-2</v>
      </c>
      <c r="L4" s="231">
        <v>7698</v>
      </c>
      <c r="M4" s="231">
        <v>7556</v>
      </c>
      <c r="N4" s="228">
        <v>142</v>
      </c>
      <c r="O4" s="229">
        <v>1.8800000000000001E-2</v>
      </c>
      <c r="P4" s="231">
        <v>7738.5</v>
      </c>
      <c r="Q4" s="231">
        <v>7599.5</v>
      </c>
      <c r="R4" s="228">
        <v>139</v>
      </c>
      <c r="S4" s="229">
        <v>1.83E-2</v>
      </c>
      <c r="T4" s="231">
        <v>7787</v>
      </c>
      <c r="U4" s="231">
        <v>7620.5</v>
      </c>
      <c r="V4" s="228">
        <v>166.5</v>
      </c>
      <c r="W4" s="229">
        <v>2.18E-2</v>
      </c>
      <c r="X4" s="228">
        <v>-1</v>
      </c>
      <c r="Y4" s="228">
        <v>3</v>
      </c>
      <c r="Z4" s="228">
        <v>-4</v>
      </c>
      <c r="AA4" s="229">
        <v>-1E-4</v>
      </c>
      <c r="AB4" s="228">
        <v>-1</v>
      </c>
      <c r="AC4" s="228">
        <v>3</v>
      </c>
      <c r="AD4" s="228">
        <v>-4</v>
      </c>
      <c r="AE4" s="229">
        <v>-1E-4</v>
      </c>
      <c r="AF4" s="228">
        <v>39.5</v>
      </c>
      <c r="AG4" s="228">
        <v>46.5</v>
      </c>
      <c r="AH4" s="228">
        <v>-7</v>
      </c>
      <c r="AI4" s="229">
        <v>5.1000000000000004E-3</v>
      </c>
      <c r="AJ4" s="228">
        <v>88</v>
      </c>
      <c r="AK4" s="228">
        <v>67.5</v>
      </c>
      <c r="AL4" s="228">
        <v>20.5</v>
      </c>
      <c r="AM4" s="229">
        <v>1.14E-2</v>
      </c>
      <c r="AN4" s="231">
        <v>7658.62</v>
      </c>
      <c r="AO4" s="231">
        <v>7682.6</v>
      </c>
      <c r="AP4" s="228">
        <v>0</v>
      </c>
      <c r="AQ4" s="230">
        <v>2517</v>
      </c>
      <c r="AR4" s="230">
        <v>3627</v>
      </c>
      <c r="AS4" s="230">
        <v>-1110</v>
      </c>
      <c r="AT4" s="229">
        <v>-0.30599999999999999</v>
      </c>
      <c r="AU4" s="230">
        <v>2099</v>
      </c>
      <c r="AV4" s="230">
        <v>3231</v>
      </c>
      <c r="AW4" s="230">
        <v>-1132</v>
      </c>
      <c r="AX4" s="229">
        <v>-0.35039999999999999</v>
      </c>
      <c r="AY4" s="228">
        <v>394</v>
      </c>
      <c r="AZ4" s="228">
        <v>385</v>
      </c>
      <c r="BA4" s="228">
        <v>9</v>
      </c>
      <c r="BB4" s="229">
        <v>2.3400000000000001E-2</v>
      </c>
      <c r="BC4" s="228">
        <v>24</v>
      </c>
      <c r="BD4" s="228">
        <v>11</v>
      </c>
      <c r="BE4" s="228">
        <v>13</v>
      </c>
      <c r="BF4" s="229">
        <v>1.1818</v>
      </c>
      <c r="BG4" s="230">
        <v>22879</v>
      </c>
      <c r="BH4" s="230">
        <v>17542</v>
      </c>
      <c r="BI4" s="230">
        <v>5337</v>
      </c>
      <c r="BJ4" s="229">
        <v>0.30420000000000003</v>
      </c>
      <c r="BK4" s="230">
        <v>8515</v>
      </c>
      <c r="BL4" s="230">
        <v>10109</v>
      </c>
      <c r="BM4" s="230">
        <v>-1594</v>
      </c>
      <c r="BN4" s="229">
        <v>-0.15770000000000001</v>
      </c>
      <c r="BO4" s="230">
        <v>33911</v>
      </c>
      <c r="BP4" s="230">
        <v>31278</v>
      </c>
      <c r="BQ4" s="230">
        <v>2633</v>
      </c>
      <c r="BR4" s="229">
        <v>8.4199999999999997E-2</v>
      </c>
      <c r="BS4" s="230">
        <v>354844</v>
      </c>
      <c r="BT4" s="230">
        <v>412795</v>
      </c>
      <c r="BU4" s="230">
        <v>-57951</v>
      </c>
      <c r="BV4" s="229">
        <v>-0.1404</v>
      </c>
      <c r="BW4" s="230">
        <v>2396375</v>
      </c>
      <c r="BX4" s="230">
        <v>2453875</v>
      </c>
      <c r="BY4" s="230">
        <v>-57500</v>
      </c>
      <c r="BZ4" s="229">
        <v>-2.3400000000000001E-2</v>
      </c>
      <c r="CA4" s="230">
        <v>2281375</v>
      </c>
      <c r="CB4" s="230">
        <v>2337875</v>
      </c>
      <c r="CC4" s="230">
        <v>-56500</v>
      </c>
      <c r="CD4" s="229">
        <v>-2.4199999999999999E-2</v>
      </c>
      <c r="CE4" s="230">
        <v>101750</v>
      </c>
      <c r="CF4" s="230">
        <v>103500</v>
      </c>
      <c r="CG4" s="230">
        <v>-1750</v>
      </c>
      <c r="CH4" s="229">
        <v>-1.6899999999999998E-2</v>
      </c>
      <c r="CI4" s="230">
        <v>13250</v>
      </c>
      <c r="CJ4" s="230">
        <v>12500</v>
      </c>
      <c r="CK4" s="228">
        <v>750</v>
      </c>
      <c r="CL4" s="229">
        <v>0.06</v>
      </c>
      <c r="CM4" s="230">
        <v>872625</v>
      </c>
      <c r="CN4" s="230">
        <v>866375</v>
      </c>
      <c r="CO4" s="230">
        <v>6250</v>
      </c>
      <c r="CP4" s="229">
        <v>7.1999999999999998E-3</v>
      </c>
      <c r="CQ4" s="230">
        <v>796750</v>
      </c>
      <c r="CR4" s="230">
        <v>725500</v>
      </c>
      <c r="CS4" s="230">
        <v>71250</v>
      </c>
      <c r="CT4" s="229">
        <v>9.8199999999999996E-2</v>
      </c>
      <c r="CU4" s="230">
        <v>4065750</v>
      </c>
      <c r="CV4" s="230">
        <v>4045750</v>
      </c>
      <c r="CW4" s="230">
        <v>20000</v>
      </c>
      <c r="CX4" s="229">
        <v>4.8999999999999998E-3</v>
      </c>
      <c r="CY4" s="228">
        <v>22.92</v>
      </c>
      <c r="CZ4" s="228">
        <v>24.51</v>
      </c>
      <c r="DA4" s="228">
        <v>-1.59</v>
      </c>
      <c r="DB4" s="228">
        <v>-1.59</v>
      </c>
      <c r="DC4" s="228">
        <v>25.23</v>
      </c>
      <c r="DD4" s="228">
        <v>25.16</v>
      </c>
      <c r="DE4" s="228">
        <v>-2.31</v>
      </c>
      <c r="DF4" s="228">
        <v>7.0000000000000007E-2</v>
      </c>
      <c r="DG4" s="228">
        <v>22.34</v>
      </c>
      <c r="DH4" s="228">
        <v>24.08</v>
      </c>
      <c r="DI4" s="228">
        <v>-1.74</v>
      </c>
      <c r="DJ4" s="228">
        <v>-1.74</v>
      </c>
      <c r="DK4" s="228">
        <v>24.48</v>
      </c>
      <c r="DL4" s="228">
        <v>25.25</v>
      </c>
      <c r="DM4" s="228">
        <v>-0.77</v>
      </c>
      <c r="DN4" s="228">
        <v>-0.77</v>
      </c>
      <c r="DO4" s="228">
        <v>0.91</v>
      </c>
      <c r="DP4" s="228">
        <v>0.84</v>
      </c>
      <c r="DQ4" s="228">
        <v>7.0000000000000007E-2</v>
      </c>
      <c r="DR4" s="229">
        <v>8.3299999999999999E-2</v>
      </c>
      <c r="DS4" s="231">
        <v>7700</v>
      </c>
      <c r="DT4" s="231">
        <v>6700</v>
      </c>
      <c r="DU4" s="228">
        <v>0.37</v>
      </c>
      <c r="DV4" s="228">
        <v>0.57999999999999996</v>
      </c>
      <c r="DW4" s="228">
        <v>-0.21</v>
      </c>
      <c r="DX4" s="229">
        <v>-0.36209999999999998</v>
      </c>
      <c r="DY4" s="229">
        <v>4.8000000000000001E-2</v>
      </c>
      <c r="DZ4" s="230">
        <v>116000</v>
      </c>
      <c r="EA4" s="229">
        <v>5.3E-3</v>
      </c>
      <c r="EB4" s="229">
        <v>4.8000000000000001E-2</v>
      </c>
      <c r="EC4" s="228">
        <v>23.98</v>
      </c>
      <c r="ED4" s="229">
        <v>3.0999999999999999E-3</v>
      </c>
      <c r="EE4" s="230">
        <v>214210</v>
      </c>
      <c r="EF4" s="230">
        <v>239992</v>
      </c>
      <c r="EG4" s="229">
        <v>-0.1074</v>
      </c>
      <c r="EH4" s="229">
        <v>0.60370000000000001</v>
      </c>
      <c r="EI4" s="231">
        <v>224630.92</v>
      </c>
      <c r="EJ4" s="231">
        <v>80026.17</v>
      </c>
      <c r="EK4" s="231">
        <v>24110.38</v>
      </c>
      <c r="EL4" s="231">
        <v>2930</v>
      </c>
      <c r="EM4" s="231">
        <v>328767.46999999997</v>
      </c>
      <c r="EN4" s="231">
        <v>299771.09000000003</v>
      </c>
      <c r="EO4" s="231">
        <v>28996.38</v>
      </c>
      <c r="EP4" s="229">
        <v>9.6699999999999994E-2</v>
      </c>
      <c r="EQ4" s="231">
        <v>67742</v>
      </c>
      <c r="ER4" s="231">
        <v>56863</v>
      </c>
      <c r="ES4" s="231">
        <v>184526</v>
      </c>
      <c r="ET4" s="231">
        <v>15524629</v>
      </c>
      <c r="EU4" s="231">
        <v>309131</v>
      </c>
      <c r="EV4" s="231">
        <v>303986</v>
      </c>
      <c r="EW4" s="231">
        <v>5145</v>
      </c>
      <c r="EX4" s="229">
        <v>1.6899999999999998E-2</v>
      </c>
      <c r="EY4" s="229">
        <v>0.26190000000000002</v>
      </c>
    </row>
    <row r="5" spans="1:155" ht="17.25" thickBot="1" x14ac:dyDescent="0.3">
      <c r="A5" s="226">
        <v>46129</v>
      </c>
      <c r="B5" s="227" t="s">
        <v>168</v>
      </c>
      <c r="C5" s="227" t="s">
        <v>169</v>
      </c>
      <c r="D5" s="231">
        <v>2464.3000000000002</v>
      </c>
      <c r="E5" s="231">
        <v>2442.4</v>
      </c>
      <c r="F5" s="228">
        <v>21.9</v>
      </c>
      <c r="G5" s="229">
        <v>8.9999999999999993E-3</v>
      </c>
      <c r="H5" s="231">
        <v>2464</v>
      </c>
      <c r="I5" s="231">
        <v>2440.3000000000002</v>
      </c>
      <c r="J5" s="228">
        <v>23.7</v>
      </c>
      <c r="K5" s="229">
        <v>9.7000000000000003E-3</v>
      </c>
      <c r="L5" s="231">
        <v>2464.3000000000002</v>
      </c>
      <c r="M5" s="231">
        <v>2442.4</v>
      </c>
      <c r="N5" s="228">
        <v>21.9</v>
      </c>
      <c r="O5" s="229">
        <v>8.9999999999999993E-3</v>
      </c>
      <c r="P5" s="231">
        <v>2478.9</v>
      </c>
      <c r="Q5" s="231">
        <v>2456.4</v>
      </c>
      <c r="R5" s="228">
        <v>22.5</v>
      </c>
      <c r="S5" s="229">
        <v>9.1999999999999998E-3</v>
      </c>
      <c r="T5" s="231">
        <v>2464.1999999999998</v>
      </c>
      <c r="U5" s="231">
        <v>2446.1999999999998</v>
      </c>
      <c r="V5" s="228">
        <v>18</v>
      </c>
      <c r="W5" s="229">
        <v>7.4000000000000003E-3</v>
      </c>
      <c r="X5" s="228">
        <v>0.3</v>
      </c>
      <c r="Y5" s="228">
        <v>2.1</v>
      </c>
      <c r="Z5" s="228">
        <v>-1.8</v>
      </c>
      <c r="AA5" s="229">
        <v>1E-4</v>
      </c>
      <c r="AB5" s="228">
        <v>0.3</v>
      </c>
      <c r="AC5" s="228">
        <v>2.1</v>
      </c>
      <c r="AD5" s="228">
        <v>-1.8</v>
      </c>
      <c r="AE5" s="229">
        <v>1E-4</v>
      </c>
      <c r="AF5" s="228">
        <v>14.9</v>
      </c>
      <c r="AG5" s="228">
        <v>16.100000000000001</v>
      </c>
      <c r="AH5" s="228">
        <v>-1.2</v>
      </c>
      <c r="AI5" s="229">
        <v>6.0000000000000001E-3</v>
      </c>
      <c r="AJ5" s="228">
        <v>0.2</v>
      </c>
      <c r="AK5" s="228">
        <v>5.9</v>
      </c>
      <c r="AL5" s="228">
        <v>-5.7</v>
      </c>
      <c r="AM5" s="229">
        <v>1E-4</v>
      </c>
      <c r="AN5" s="231">
        <v>2464.84</v>
      </c>
      <c r="AO5" s="231">
        <v>2477.73</v>
      </c>
      <c r="AP5" s="228">
        <v>0</v>
      </c>
      <c r="AQ5" s="230">
        <v>12975</v>
      </c>
      <c r="AR5" s="230">
        <v>5595</v>
      </c>
      <c r="AS5" s="230">
        <v>7380</v>
      </c>
      <c r="AT5" s="229">
        <v>1.319</v>
      </c>
      <c r="AU5" s="230">
        <v>9519</v>
      </c>
      <c r="AV5" s="230">
        <v>5024</v>
      </c>
      <c r="AW5" s="230">
        <v>4495</v>
      </c>
      <c r="AX5" s="229">
        <v>0.89470000000000005</v>
      </c>
      <c r="AY5" s="228">
        <v>844</v>
      </c>
      <c r="AZ5" s="228">
        <v>526</v>
      </c>
      <c r="BA5" s="228">
        <v>318</v>
      </c>
      <c r="BB5" s="229">
        <v>0.60460000000000003</v>
      </c>
      <c r="BC5" s="230">
        <v>2612</v>
      </c>
      <c r="BD5" s="228">
        <v>45</v>
      </c>
      <c r="BE5" s="230">
        <v>2567</v>
      </c>
      <c r="BF5" s="229">
        <v>57.044400000000003</v>
      </c>
      <c r="BG5" s="230">
        <v>36857</v>
      </c>
      <c r="BH5" s="230">
        <v>22815</v>
      </c>
      <c r="BI5" s="230">
        <v>14042</v>
      </c>
      <c r="BJ5" s="229">
        <v>0.61550000000000005</v>
      </c>
      <c r="BK5" s="230">
        <v>25805</v>
      </c>
      <c r="BL5" s="230">
        <v>18677</v>
      </c>
      <c r="BM5" s="230">
        <v>7128</v>
      </c>
      <c r="BN5" s="229">
        <v>0.38159999999999999</v>
      </c>
      <c r="BO5" s="230">
        <v>75637</v>
      </c>
      <c r="BP5" s="230">
        <v>47087</v>
      </c>
      <c r="BQ5" s="230">
        <v>28550</v>
      </c>
      <c r="BR5" s="229">
        <v>0.60629999999999995</v>
      </c>
      <c r="BS5" s="230">
        <v>1345408</v>
      </c>
      <c r="BT5" s="230">
        <v>1565260</v>
      </c>
      <c r="BU5" s="230">
        <v>-219852</v>
      </c>
      <c r="BV5" s="229">
        <v>-0.14050000000000001</v>
      </c>
      <c r="BW5" s="230">
        <v>14574750</v>
      </c>
      <c r="BX5" s="230">
        <v>14907500</v>
      </c>
      <c r="BY5" s="230">
        <v>-332750</v>
      </c>
      <c r="BZ5" s="229">
        <v>-2.23E-2</v>
      </c>
      <c r="CA5" s="230">
        <v>12529000</v>
      </c>
      <c r="CB5" s="230">
        <v>13577500</v>
      </c>
      <c r="CC5" s="230">
        <v>-1048500</v>
      </c>
      <c r="CD5" s="229">
        <v>-7.7200000000000005E-2</v>
      </c>
      <c r="CE5" s="230">
        <v>1308000</v>
      </c>
      <c r="CF5" s="230">
        <v>1224500</v>
      </c>
      <c r="CG5" s="230">
        <v>83500</v>
      </c>
      <c r="CH5" s="229">
        <v>6.8199999999999997E-2</v>
      </c>
      <c r="CI5" s="230">
        <v>737750</v>
      </c>
      <c r="CJ5" s="230">
        <v>105500</v>
      </c>
      <c r="CK5" s="230">
        <v>632250</v>
      </c>
      <c r="CL5" s="229">
        <v>5.9928999999999997</v>
      </c>
      <c r="CM5" s="230">
        <v>4461750</v>
      </c>
      <c r="CN5" s="230">
        <v>3778750</v>
      </c>
      <c r="CO5" s="230">
        <v>683000</v>
      </c>
      <c r="CP5" s="229">
        <v>0.1807</v>
      </c>
      <c r="CQ5" s="230">
        <v>5148000</v>
      </c>
      <c r="CR5" s="230">
        <v>5064250</v>
      </c>
      <c r="CS5" s="230">
        <v>83750</v>
      </c>
      <c r="CT5" s="229">
        <v>1.6500000000000001E-2</v>
      </c>
      <c r="CU5" s="230">
        <v>24184500</v>
      </c>
      <c r="CV5" s="230">
        <v>23750500</v>
      </c>
      <c r="CW5" s="230">
        <v>434000</v>
      </c>
      <c r="CX5" s="229">
        <v>1.83E-2</v>
      </c>
      <c r="CY5" s="228">
        <v>28.94</v>
      </c>
      <c r="CZ5" s="228">
        <v>30.16</v>
      </c>
      <c r="DA5" s="228">
        <v>-1.22</v>
      </c>
      <c r="DB5" s="228">
        <v>-1.22</v>
      </c>
      <c r="DC5" s="228">
        <v>29.21</v>
      </c>
      <c r="DD5" s="228">
        <v>29.26</v>
      </c>
      <c r="DE5" s="228">
        <v>-0.27</v>
      </c>
      <c r="DF5" s="228">
        <v>-0.05</v>
      </c>
      <c r="DG5" s="228">
        <v>27.12</v>
      </c>
      <c r="DH5" s="228">
        <v>28.35</v>
      </c>
      <c r="DI5" s="228">
        <v>-1.23</v>
      </c>
      <c r="DJ5" s="228">
        <v>-1.23</v>
      </c>
      <c r="DK5" s="228">
        <v>31.55</v>
      </c>
      <c r="DL5" s="228">
        <v>32.369999999999997</v>
      </c>
      <c r="DM5" s="228">
        <v>-0.82</v>
      </c>
      <c r="DN5" s="228">
        <v>-0.82</v>
      </c>
      <c r="DO5" s="228">
        <v>1.1499999999999999</v>
      </c>
      <c r="DP5" s="228">
        <v>1.34</v>
      </c>
      <c r="DQ5" s="228">
        <v>-0.19</v>
      </c>
      <c r="DR5" s="229">
        <v>-0.14180000000000001</v>
      </c>
      <c r="DS5" s="231">
        <v>2500</v>
      </c>
      <c r="DT5" s="231">
        <v>1900</v>
      </c>
      <c r="DU5" s="228">
        <v>0.7</v>
      </c>
      <c r="DV5" s="228">
        <v>0.82</v>
      </c>
      <c r="DW5" s="228">
        <v>-0.12</v>
      </c>
      <c r="DX5" s="229">
        <v>-0.14630000000000001</v>
      </c>
      <c r="DY5" s="229">
        <v>0.1404</v>
      </c>
      <c r="DZ5" s="230">
        <v>1330000</v>
      </c>
      <c r="EA5" s="229">
        <v>5.8999999999999999E-3</v>
      </c>
      <c r="EB5" s="229">
        <v>0.1404</v>
      </c>
      <c r="EC5" s="228">
        <v>12.89</v>
      </c>
      <c r="ED5" s="229">
        <v>5.1999999999999998E-3</v>
      </c>
      <c r="EE5" s="230">
        <v>742881</v>
      </c>
      <c r="EF5" s="230">
        <v>938608</v>
      </c>
      <c r="EG5" s="229">
        <v>-0.20849999999999999</v>
      </c>
      <c r="EH5" s="229">
        <v>0.55220000000000002</v>
      </c>
      <c r="EI5" s="231">
        <v>234101.16</v>
      </c>
      <c r="EJ5" s="231">
        <v>154609.64000000001</v>
      </c>
      <c r="EK5" s="231">
        <v>80049.67</v>
      </c>
      <c r="EL5" s="231">
        <v>7825</v>
      </c>
      <c r="EM5" s="231">
        <v>468760.47</v>
      </c>
      <c r="EN5" s="231">
        <v>288018.48</v>
      </c>
      <c r="EO5" s="231">
        <v>180741.99</v>
      </c>
      <c r="EP5" s="229">
        <v>0.62749999999999995</v>
      </c>
      <c r="EQ5" s="231">
        <v>108518</v>
      </c>
      <c r="ER5" s="231">
        <v>113515</v>
      </c>
      <c r="ES5" s="231">
        <v>359356</v>
      </c>
      <c r="ET5" s="231">
        <v>62818628</v>
      </c>
      <c r="EU5" s="231">
        <v>581389</v>
      </c>
      <c r="EV5" s="231">
        <v>566261</v>
      </c>
      <c r="EW5" s="231">
        <v>15128</v>
      </c>
      <c r="EX5" s="229">
        <v>2.6700000000000002E-2</v>
      </c>
      <c r="EY5" s="229">
        <v>0.38500000000000001</v>
      </c>
    </row>
    <row r="6" spans="1:155" ht="17.25" thickBot="1" x14ac:dyDescent="0.3">
      <c r="A6" s="226">
        <v>46129</v>
      </c>
      <c r="B6" s="227" t="s">
        <v>172</v>
      </c>
      <c r="C6" s="227" t="s">
        <v>173</v>
      </c>
      <c r="D6" s="231">
        <v>1363.3</v>
      </c>
      <c r="E6" s="231">
        <v>1350.4</v>
      </c>
      <c r="F6" s="228">
        <v>12.9</v>
      </c>
      <c r="G6" s="229">
        <v>9.5999999999999992E-3</v>
      </c>
      <c r="H6" s="231">
        <v>1359.1</v>
      </c>
      <c r="I6" s="231">
        <v>1349.6</v>
      </c>
      <c r="J6" s="228">
        <v>9.5</v>
      </c>
      <c r="K6" s="229">
        <v>7.0000000000000001E-3</v>
      </c>
      <c r="L6" s="231">
        <v>1363.3</v>
      </c>
      <c r="M6" s="231">
        <v>1350.4</v>
      </c>
      <c r="N6" s="228">
        <v>12.9</v>
      </c>
      <c r="O6" s="229">
        <v>9.5999999999999992E-3</v>
      </c>
      <c r="P6" s="231">
        <v>1370</v>
      </c>
      <c r="Q6" s="231">
        <v>1358.6</v>
      </c>
      <c r="R6" s="228">
        <v>11.4</v>
      </c>
      <c r="S6" s="229">
        <v>8.3999999999999995E-3</v>
      </c>
      <c r="T6" s="231">
        <v>1379.9</v>
      </c>
      <c r="U6" s="231">
        <v>1367.1</v>
      </c>
      <c r="V6" s="228">
        <v>12.8</v>
      </c>
      <c r="W6" s="229">
        <v>9.4000000000000004E-3</v>
      </c>
      <c r="X6" s="228">
        <v>4.2</v>
      </c>
      <c r="Y6" s="228">
        <v>0.8</v>
      </c>
      <c r="Z6" s="228">
        <v>3.4</v>
      </c>
      <c r="AA6" s="229">
        <v>3.0999999999999999E-3</v>
      </c>
      <c r="AB6" s="228">
        <v>4.2</v>
      </c>
      <c r="AC6" s="228">
        <v>0.8</v>
      </c>
      <c r="AD6" s="228">
        <v>3.4</v>
      </c>
      <c r="AE6" s="229">
        <v>3.0999999999999999E-3</v>
      </c>
      <c r="AF6" s="228">
        <v>10.9</v>
      </c>
      <c r="AG6" s="228">
        <v>9</v>
      </c>
      <c r="AH6" s="228">
        <v>1.9</v>
      </c>
      <c r="AI6" s="229">
        <v>8.0000000000000002E-3</v>
      </c>
      <c r="AJ6" s="228">
        <v>20.8</v>
      </c>
      <c r="AK6" s="228">
        <v>17.5</v>
      </c>
      <c r="AL6" s="228">
        <v>3.3</v>
      </c>
      <c r="AM6" s="229">
        <v>1.5299999999999999E-2</v>
      </c>
      <c r="AN6" s="231">
        <v>1357.3</v>
      </c>
      <c r="AO6" s="231">
        <v>1364.59</v>
      </c>
      <c r="AP6" s="228">
        <v>0</v>
      </c>
      <c r="AQ6" s="230">
        <v>11312</v>
      </c>
      <c r="AR6" s="230">
        <v>13001</v>
      </c>
      <c r="AS6" s="230">
        <v>-1689</v>
      </c>
      <c r="AT6" s="229">
        <v>-0.12989999999999999</v>
      </c>
      <c r="AU6" s="230">
        <v>9283</v>
      </c>
      <c r="AV6" s="230">
        <v>11719</v>
      </c>
      <c r="AW6" s="230">
        <v>-2436</v>
      </c>
      <c r="AX6" s="229">
        <v>-0.2079</v>
      </c>
      <c r="AY6" s="230">
        <v>2005</v>
      </c>
      <c r="AZ6" s="230">
        <v>1224</v>
      </c>
      <c r="BA6" s="228">
        <v>781</v>
      </c>
      <c r="BB6" s="229">
        <v>0.6381</v>
      </c>
      <c r="BC6" s="228">
        <v>24</v>
      </c>
      <c r="BD6" s="228">
        <v>58</v>
      </c>
      <c r="BE6" s="228">
        <v>-34</v>
      </c>
      <c r="BF6" s="229">
        <v>-0.58620000000000005</v>
      </c>
      <c r="BG6" s="230">
        <v>25677</v>
      </c>
      <c r="BH6" s="230">
        <v>26320</v>
      </c>
      <c r="BI6" s="228">
        <v>-643</v>
      </c>
      <c r="BJ6" s="229">
        <v>-2.4400000000000002E-2</v>
      </c>
      <c r="BK6" s="230">
        <v>17797</v>
      </c>
      <c r="BL6" s="230">
        <v>23065</v>
      </c>
      <c r="BM6" s="230">
        <v>-5268</v>
      </c>
      <c r="BN6" s="229">
        <v>-0.22839999999999999</v>
      </c>
      <c r="BO6" s="230">
        <v>54786</v>
      </c>
      <c r="BP6" s="230">
        <v>62386</v>
      </c>
      <c r="BQ6" s="230">
        <v>-7600</v>
      </c>
      <c r="BR6" s="229">
        <v>-0.12180000000000001</v>
      </c>
      <c r="BS6" s="230">
        <v>4182251</v>
      </c>
      <c r="BT6" s="230">
        <v>6075958</v>
      </c>
      <c r="BU6" s="230">
        <v>-1893707</v>
      </c>
      <c r="BV6" s="229">
        <v>-0.31169999999999998</v>
      </c>
      <c r="BW6" s="230">
        <v>64568125</v>
      </c>
      <c r="BX6" s="230">
        <v>63914375</v>
      </c>
      <c r="BY6" s="230">
        <v>653750</v>
      </c>
      <c r="BZ6" s="229">
        <v>1.0200000000000001E-2</v>
      </c>
      <c r="CA6" s="230">
        <v>47011875</v>
      </c>
      <c r="CB6" s="230">
        <v>47054375</v>
      </c>
      <c r="CC6" s="230">
        <v>-42500</v>
      </c>
      <c r="CD6" s="229">
        <v>-8.9999999999999998E-4</v>
      </c>
      <c r="CE6" s="230">
        <v>15898125</v>
      </c>
      <c r="CF6" s="230">
        <v>15204375</v>
      </c>
      <c r="CG6" s="230">
        <v>693750</v>
      </c>
      <c r="CH6" s="229">
        <v>4.5600000000000002E-2</v>
      </c>
      <c r="CI6" s="230">
        <v>1658125</v>
      </c>
      <c r="CJ6" s="230">
        <v>1655625</v>
      </c>
      <c r="CK6" s="230">
        <v>2500</v>
      </c>
      <c r="CL6" s="229">
        <v>1.5E-3</v>
      </c>
      <c r="CM6" s="230">
        <v>16693125</v>
      </c>
      <c r="CN6" s="230">
        <v>16691875</v>
      </c>
      <c r="CO6" s="230">
        <v>1250</v>
      </c>
      <c r="CP6" s="229">
        <v>1E-4</v>
      </c>
      <c r="CQ6" s="230">
        <v>13978750</v>
      </c>
      <c r="CR6" s="230">
        <v>13541250</v>
      </c>
      <c r="CS6" s="230">
        <v>437500</v>
      </c>
      <c r="CT6" s="229">
        <v>3.2300000000000002E-2</v>
      </c>
      <c r="CU6" s="230">
        <v>95240000</v>
      </c>
      <c r="CV6" s="230">
        <v>94147500</v>
      </c>
      <c r="CW6" s="230">
        <v>1092500</v>
      </c>
      <c r="CX6" s="229">
        <v>1.1599999999999999E-2</v>
      </c>
      <c r="CY6" s="228">
        <v>32.81</v>
      </c>
      <c r="CZ6" s="228">
        <v>32.380000000000003</v>
      </c>
      <c r="DA6" s="228">
        <v>0.43</v>
      </c>
      <c r="DB6" s="228">
        <v>0.43</v>
      </c>
      <c r="DC6" s="228">
        <v>30.06</v>
      </c>
      <c r="DD6" s="228">
        <v>30.12</v>
      </c>
      <c r="DE6" s="228">
        <v>2.75</v>
      </c>
      <c r="DF6" s="228">
        <v>-0.06</v>
      </c>
      <c r="DG6" s="228">
        <v>31.47</v>
      </c>
      <c r="DH6" s="228">
        <v>31.03</v>
      </c>
      <c r="DI6" s="228">
        <v>0.44</v>
      </c>
      <c r="DJ6" s="228">
        <v>0.44</v>
      </c>
      <c r="DK6" s="228">
        <v>34.729999999999997</v>
      </c>
      <c r="DL6" s="228">
        <v>33.92</v>
      </c>
      <c r="DM6" s="228">
        <v>0.81</v>
      </c>
      <c r="DN6" s="228">
        <v>0.81</v>
      </c>
      <c r="DO6" s="228">
        <v>0.84</v>
      </c>
      <c r="DP6" s="228">
        <v>0.81</v>
      </c>
      <c r="DQ6" s="228">
        <v>0.03</v>
      </c>
      <c r="DR6" s="229">
        <v>3.6999999999999998E-2</v>
      </c>
      <c r="DS6" s="231">
        <v>1400</v>
      </c>
      <c r="DT6" s="231">
        <v>1300</v>
      </c>
      <c r="DU6" s="228">
        <v>0.69</v>
      </c>
      <c r="DV6" s="228">
        <v>0.88</v>
      </c>
      <c r="DW6" s="228">
        <v>-0.19</v>
      </c>
      <c r="DX6" s="229">
        <v>-0.21590000000000001</v>
      </c>
      <c r="DY6" s="229">
        <v>0.27189999999999998</v>
      </c>
      <c r="DZ6" s="230">
        <v>16860000</v>
      </c>
      <c r="EA6" s="229">
        <v>4.8999999999999998E-3</v>
      </c>
      <c r="EB6" s="229">
        <v>0.27189999999999998</v>
      </c>
      <c r="EC6" s="228">
        <v>7.29</v>
      </c>
      <c r="ED6" s="229">
        <v>5.4000000000000003E-3</v>
      </c>
      <c r="EE6" s="230">
        <v>2477087</v>
      </c>
      <c r="EF6" s="230">
        <v>2027968</v>
      </c>
      <c r="EG6" s="229">
        <v>0.2215</v>
      </c>
      <c r="EH6" s="229">
        <v>0.59230000000000005</v>
      </c>
      <c r="EI6" s="231">
        <v>225375.24</v>
      </c>
      <c r="EJ6" s="231">
        <v>148807.99</v>
      </c>
      <c r="EK6" s="231">
        <v>96055.54</v>
      </c>
      <c r="EL6" s="231">
        <v>13936</v>
      </c>
      <c r="EM6" s="231">
        <v>470238.77</v>
      </c>
      <c r="EN6" s="231">
        <v>532102.75</v>
      </c>
      <c r="EO6" s="231">
        <v>-61863.98</v>
      </c>
      <c r="EP6" s="229">
        <v>-0.1163</v>
      </c>
      <c r="EQ6" s="231">
        <v>223429</v>
      </c>
      <c r="ER6" s="231">
        <v>174053</v>
      </c>
      <c r="ES6" s="231">
        <v>881598</v>
      </c>
      <c r="ET6" s="231">
        <v>331596880</v>
      </c>
      <c r="EU6" s="231">
        <v>1279079</v>
      </c>
      <c r="EV6" s="231">
        <v>1255555</v>
      </c>
      <c r="EW6" s="231">
        <v>23524</v>
      </c>
      <c r="EX6" s="229">
        <v>1.8700000000000001E-2</v>
      </c>
      <c r="EY6" s="229">
        <v>0.28720000000000001</v>
      </c>
    </row>
    <row r="7" spans="1:155" ht="17.25" thickBot="1" x14ac:dyDescent="0.3">
      <c r="A7" s="226">
        <v>46129</v>
      </c>
      <c r="B7" s="227" t="s">
        <v>162</v>
      </c>
      <c r="C7" s="227" t="s">
        <v>174</v>
      </c>
      <c r="D7" s="231">
        <v>9761.5</v>
      </c>
      <c r="E7" s="231">
        <v>9853</v>
      </c>
      <c r="F7" s="228">
        <v>-91.5</v>
      </c>
      <c r="G7" s="229">
        <v>-9.2999999999999992E-3</v>
      </c>
      <c r="H7" s="231">
        <v>9773.5</v>
      </c>
      <c r="I7" s="231">
        <v>9825</v>
      </c>
      <c r="J7" s="228">
        <v>-51.5</v>
      </c>
      <c r="K7" s="229">
        <v>-5.1999999999999998E-3</v>
      </c>
      <c r="L7" s="231">
        <v>9761.5</v>
      </c>
      <c r="M7" s="231">
        <v>9853</v>
      </c>
      <c r="N7" s="228">
        <v>-91.5</v>
      </c>
      <c r="O7" s="229">
        <v>-9.2999999999999992E-3</v>
      </c>
      <c r="P7" s="231">
        <v>9752</v>
      </c>
      <c r="Q7" s="231">
        <v>9843</v>
      </c>
      <c r="R7" s="228">
        <v>-91</v>
      </c>
      <c r="S7" s="229">
        <v>-9.1999999999999998E-3</v>
      </c>
      <c r="T7" s="231">
        <v>9733.5</v>
      </c>
      <c r="U7" s="231">
        <v>9808</v>
      </c>
      <c r="V7" s="228">
        <v>-74.5</v>
      </c>
      <c r="W7" s="229">
        <v>-7.6E-3</v>
      </c>
      <c r="X7" s="228">
        <v>-12</v>
      </c>
      <c r="Y7" s="228">
        <v>28</v>
      </c>
      <c r="Z7" s="228">
        <v>-40</v>
      </c>
      <c r="AA7" s="229">
        <v>-1.1999999999999999E-3</v>
      </c>
      <c r="AB7" s="228">
        <v>-12</v>
      </c>
      <c r="AC7" s="228">
        <v>28</v>
      </c>
      <c r="AD7" s="228">
        <v>-40</v>
      </c>
      <c r="AE7" s="229">
        <v>-1.1999999999999999E-3</v>
      </c>
      <c r="AF7" s="228">
        <v>-21.5</v>
      </c>
      <c r="AG7" s="228">
        <v>18</v>
      </c>
      <c r="AH7" s="228">
        <v>-39.5</v>
      </c>
      <c r="AI7" s="229">
        <v>-2.2000000000000001E-3</v>
      </c>
      <c r="AJ7" s="228">
        <v>-40</v>
      </c>
      <c r="AK7" s="228">
        <v>-17</v>
      </c>
      <c r="AL7" s="228">
        <v>-23</v>
      </c>
      <c r="AM7" s="229">
        <v>-4.1000000000000003E-3</v>
      </c>
      <c r="AN7" s="231">
        <v>9777.9699999999993</v>
      </c>
      <c r="AO7" s="231">
        <v>9766.15</v>
      </c>
      <c r="AP7" s="228">
        <v>0</v>
      </c>
      <c r="AQ7" s="230">
        <v>4187</v>
      </c>
      <c r="AR7" s="230">
        <v>6605</v>
      </c>
      <c r="AS7" s="230">
        <v>-2418</v>
      </c>
      <c r="AT7" s="229">
        <v>-0.36609999999999998</v>
      </c>
      <c r="AU7" s="230">
        <v>3759</v>
      </c>
      <c r="AV7" s="230">
        <v>6158</v>
      </c>
      <c r="AW7" s="230">
        <v>-2399</v>
      </c>
      <c r="AX7" s="229">
        <v>-0.3896</v>
      </c>
      <c r="AY7" s="228">
        <v>401</v>
      </c>
      <c r="AZ7" s="228">
        <v>422</v>
      </c>
      <c r="BA7" s="228">
        <v>-21</v>
      </c>
      <c r="BB7" s="229">
        <v>-4.9799999999999997E-2</v>
      </c>
      <c r="BC7" s="228">
        <v>27</v>
      </c>
      <c r="BD7" s="228">
        <v>25</v>
      </c>
      <c r="BE7" s="228">
        <v>2</v>
      </c>
      <c r="BF7" s="229">
        <v>0.08</v>
      </c>
      <c r="BG7" s="230">
        <v>16833</v>
      </c>
      <c r="BH7" s="230">
        <v>21084</v>
      </c>
      <c r="BI7" s="230">
        <v>-4251</v>
      </c>
      <c r="BJ7" s="229">
        <v>-0.2016</v>
      </c>
      <c r="BK7" s="230">
        <v>11328</v>
      </c>
      <c r="BL7" s="230">
        <v>12448</v>
      </c>
      <c r="BM7" s="230">
        <v>-1120</v>
      </c>
      <c r="BN7" s="229">
        <v>-0.09</v>
      </c>
      <c r="BO7" s="230">
        <v>32348</v>
      </c>
      <c r="BP7" s="230">
        <v>40137</v>
      </c>
      <c r="BQ7" s="230">
        <v>-7789</v>
      </c>
      <c r="BR7" s="229">
        <v>-0.19409999999999999</v>
      </c>
      <c r="BS7" s="230">
        <v>274564</v>
      </c>
      <c r="BT7" s="230">
        <v>489209</v>
      </c>
      <c r="BU7" s="230">
        <v>-214645</v>
      </c>
      <c r="BV7" s="229">
        <v>-0.43880000000000002</v>
      </c>
      <c r="BW7" s="230">
        <v>3065250</v>
      </c>
      <c r="BX7" s="230">
        <v>3032325</v>
      </c>
      <c r="BY7" s="230">
        <v>32925</v>
      </c>
      <c r="BZ7" s="229">
        <v>1.09E-2</v>
      </c>
      <c r="CA7" s="230">
        <v>2777775</v>
      </c>
      <c r="CB7" s="230">
        <v>2758050</v>
      </c>
      <c r="CC7" s="230">
        <v>19725</v>
      </c>
      <c r="CD7" s="229">
        <v>7.1999999999999998E-3</v>
      </c>
      <c r="CE7" s="230">
        <v>270900</v>
      </c>
      <c r="CF7" s="230">
        <v>259275</v>
      </c>
      <c r="CG7" s="230">
        <v>11625</v>
      </c>
      <c r="CH7" s="229">
        <v>4.48E-2</v>
      </c>
      <c r="CI7" s="230">
        <v>16575</v>
      </c>
      <c r="CJ7" s="230">
        <v>15000</v>
      </c>
      <c r="CK7" s="230">
        <v>1575</v>
      </c>
      <c r="CL7" s="229">
        <v>0.105</v>
      </c>
      <c r="CM7" s="230">
        <v>1282500</v>
      </c>
      <c r="CN7" s="230">
        <v>1137975</v>
      </c>
      <c r="CO7" s="230">
        <v>144525</v>
      </c>
      <c r="CP7" s="229">
        <v>0.127</v>
      </c>
      <c r="CQ7" s="230">
        <v>1139025</v>
      </c>
      <c r="CR7" s="230">
        <v>1136550</v>
      </c>
      <c r="CS7" s="230">
        <v>2475</v>
      </c>
      <c r="CT7" s="229">
        <v>2.2000000000000001E-3</v>
      </c>
      <c r="CU7" s="230">
        <v>5486775</v>
      </c>
      <c r="CV7" s="230">
        <v>5306850</v>
      </c>
      <c r="CW7" s="230">
        <v>179925</v>
      </c>
      <c r="CX7" s="229">
        <v>3.39E-2</v>
      </c>
      <c r="CY7" s="228">
        <v>28.23</v>
      </c>
      <c r="CZ7" s="228">
        <v>28.34</v>
      </c>
      <c r="DA7" s="228">
        <v>-0.11</v>
      </c>
      <c r="DB7" s="228">
        <v>-0.11</v>
      </c>
      <c r="DC7" s="228">
        <v>29.68</v>
      </c>
      <c r="DD7" s="228">
        <v>29.75</v>
      </c>
      <c r="DE7" s="228">
        <v>-1.45</v>
      </c>
      <c r="DF7" s="228">
        <v>-7.0000000000000007E-2</v>
      </c>
      <c r="DG7" s="228">
        <v>27.06</v>
      </c>
      <c r="DH7" s="228">
        <v>27.41</v>
      </c>
      <c r="DI7" s="228">
        <v>-0.35</v>
      </c>
      <c r="DJ7" s="228">
        <v>-0.35</v>
      </c>
      <c r="DK7" s="228">
        <v>29.97</v>
      </c>
      <c r="DL7" s="228">
        <v>29.92</v>
      </c>
      <c r="DM7" s="228">
        <v>0.05</v>
      </c>
      <c r="DN7" s="228">
        <v>0.05</v>
      </c>
      <c r="DO7" s="228">
        <v>0.89</v>
      </c>
      <c r="DP7" s="228">
        <v>1</v>
      </c>
      <c r="DQ7" s="228">
        <v>-0.11</v>
      </c>
      <c r="DR7" s="229">
        <v>-0.11</v>
      </c>
      <c r="DS7" s="231">
        <v>10000</v>
      </c>
      <c r="DT7" s="231">
        <v>8000</v>
      </c>
      <c r="DU7" s="228">
        <v>0.67</v>
      </c>
      <c r="DV7" s="228">
        <v>0.59</v>
      </c>
      <c r="DW7" s="228">
        <v>0.08</v>
      </c>
      <c r="DX7" s="229">
        <v>0.1356</v>
      </c>
      <c r="DY7" s="229">
        <v>9.3799999999999994E-2</v>
      </c>
      <c r="DZ7" s="230">
        <v>274275</v>
      </c>
      <c r="EA7" s="229">
        <v>-1E-3</v>
      </c>
      <c r="EB7" s="229">
        <v>9.3799999999999994E-2</v>
      </c>
      <c r="EC7" s="228">
        <v>-11.82</v>
      </c>
      <c r="ED7" s="229">
        <v>-1.1999999999999999E-3</v>
      </c>
      <c r="EE7" s="230">
        <v>143768</v>
      </c>
      <c r="EF7" s="230">
        <v>263390</v>
      </c>
      <c r="EG7" s="229">
        <v>-0.45419999999999999</v>
      </c>
      <c r="EH7" s="229">
        <v>0.52359999999999995</v>
      </c>
      <c r="EI7" s="231">
        <v>128814.68</v>
      </c>
      <c r="EJ7" s="231">
        <v>81222.67</v>
      </c>
      <c r="EK7" s="231">
        <v>30701.25</v>
      </c>
      <c r="EL7" s="231">
        <v>8056</v>
      </c>
      <c r="EM7" s="231">
        <v>240738.6</v>
      </c>
      <c r="EN7" s="231">
        <v>302084.65000000002</v>
      </c>
      <c r="EO7" s="231">
        <v>-61346.05</v>
      </c>
      <c r="EP7" s="229">
        <v>-0.2031</v>
      </c>
      <c r="EQ7" s="231">
        <v>126422</v>
      </c>
      <c r="ER7" s="231">
        <v>102866</v>
      </c>
      <c r="ES7" s="231">
        <v>299184</v>
      </c>
      <c r="ET7" s="231">
        <v>12553818</v>
      </c>
      <c r="EU7" s="231">
        <v>528472</v>
      </c>
      <c r="EV7" s="231">
        <v>513170</v>
      </c>
      <c r="EW7" s="231">
        <v>15302</v>
      </c>
      <c r="EX7" s="229">
        <v>2.98E-2</v>
      </c>
      <c r="EY7" s="229">
        <v>0.43709999999999999</v>
      </c>
    </row>
    <row r="8" spans="1:155" ht="17.25" thickBot="1" x14ac:dyDescent="0.3">
      <c r="A8" s="226">
        <v>46129</v>
      </c>
      <c r="B8" s="227" t="s">
        <v>175</v>
      </c>
      <c r="C8" s="227" t="s">
        <v>176</v>
      </c>
      <c r="D8" s="231">
        <v>1839.4</v>
      </c>
      <c r="E8" s="231">
        <v>1829.8</v>
      </c>
      <c r="F8" s="228">
        <v>9.6</v>
      </c>
      <c r="G8" s="229">
        <v>5.1999999999999998E-3</v>
      </c>
      <c r="H8" s="231">
        <v>1838.9</v>
      </c>
      <c r="I8" s="231">
        <v>1829.9</v>
      </c>
      <c r="J8" s="228">
        <v>9</v>
      </c>
      <c r="K8" s="229">
        <v>4.8999999999999998E-3</v>
      </c>
      <c r="L8" s="231">
        <v>1839.4</v>
      </c>
      <c r="M8" s="231">
        <v>1829.8</v>
      </c>
      <c r="N8" s="228">
        <v>9.6</v>
      </c>
      <c r="O8" s="229">
        <v>5.1999999999999998E-3</v>
      </c>
      <c r="P8" s="231">
        <v>1849.7</v>
      </c>
      <c r="Q8" s="231">
        <v>1840.6</v>
      </c>
      <c r="R8" s="228">
        <v>9.1</v>
      </c>
      <c r="S8" s="229">
        <v>4.8999999999999998E-3</v>
      </c>
      <c r="T8" s="231">
        <v>1861.2</v>
      </c>
      <c r="U8" s="231">
        <v>1852</v>
      </c>
      <c r="V8" s="228">
        <v>9.1999999999999993</v>
      </c>
      <c r="W8" s="229">
        <v>5.0000000000000001E-3</v>
      </c>
      <c r="X8" s="228">
        <v>0.5</v>
      </c>
      <c r="Y8" s="228">
        <v>-0.1</v>
      </c>
      <c r="Z8" s="228">
        <v>0.6</v>
      </c>
      <c r="AA8" s="229">
        <v>2.9999999999999997E-4</v>
      </c>
      <c r="AB8" s="228">
        <v>0.5</v>
      </c>
      <c r="AC8" s="228">
        <v>-0.1</v>
      </c>
      <c r="AD8" s="228">
        <v>0.6</v>
      </c>
      <c r="AE8" s="229">
        <v>2.9999999999999997E-4</v>
      </c>
      <c r="AF8" s="228">
        <v>10.8</v>
      </c>
      <c r="AG8" s="228">
        <v>10.7</v>
      </c>
      <c r="AH8" s="228">
        <v>0.1</v>
      </c>
      <c r="AI8" s="229">
        <v>5.8999999999999999E-3</v>
      </c>
      <c r="AJ8" s="228">
        <v>22.3</v>
      </c>
      <c r="AK8" s="228">
        <v>22.1</v>
      </c>
      <c r="AL8" s="228">
        <v>0.2</v>
      </c>
      <c r="AM8" s="229">
        <v>1.21E-2</v>
      </c>
      <c r="AN8" s="231">
        <v>1834.13</v>
      </c>
      <c r="AO8" s="231">
        <v>1843.04</v>
      </c>
      <c r="AP8" s="228">
        <v>0</v>
      </c>
      <c r="AQ8" s="230">
        <v>1793</v>
      </c>
      <c r="AR8" s="230">
        <v>5419</v>
      </c>
      <c r="AS8" s="230">
        <v>-3626</v>
      </c>
      <c r="AT8" s="229">
        <v>-0.66910000000000003</v>
      </c>
      <c r="AU8" s="230">
        <v>1543</v>
      </c>
      <c r="AV8" s="230">
        <v>4908</v>
      </c>
      <c r="AW8" s="230">
        <v>-3365</v>
      </c>
      <c r="AX8" s="229">
        <v>-0.68559999999999999</v>
      </c>
      <c r="AY8" s="228">
        <v>233</v>
      </c>
      <c r="AZ8" s="228">
        <v>484</v>
      </c>
      <c r="BA8" s="228">
        <v>-251</v>
      </c>
      <c r="BB8" s="229">
        <v>-0.51859999999999995</v>
      </c>
      <c r="BC8" s="228">
        <v>17</v>
      </c>
      <c r="BD8" s="228">
        <v>27</v>
      </c>
      <c r="BE8" s="228">
        <v>-10</v>
      </c>
      <c r="BF8" s="229">
        <v>-0.37040000000000001</v>
      </c>
      <c r="BG8" s="230">
        <v>7776</v>
      </c>
      <c r="BH8" s="230">
        <v>19368</v>
      </c>
      <c r="BI8" s="230">
        <v>-11592</v>
      </c>
      <c r="BJ8" s="229">
        <v>-0.59850000000000003</v>
      </c>
      <c r="BK8" s="230">
        <v>5112</v>
      </c>
      <c r="BL8" s="230">
        <v>8594</v>
      </c>
      <c r="BM8" s="230">
        <v>-3482</v>
      </c>
      <c r="BN8" s="229">
        <v>-0.4052</v>
      </c>
      <c r="BO8" s="230">
        <v>14681</v>
      </c>
      <c r="BP8" s="230">
        <v>33381</v>
      </c>
      <c r="BQ8" s="230">
        <v>-18700</v>
      </c>
      <c r="BR8" s="229">
        <v>-0.56020000000000003</v>
      </c>
      <c r="BS8" s="230">
        <v>512844</v>
      </c>
      <c r="BT8" s="230">
        <v>1096370</v>
      </c>
      <c r="BU8" s="230">
        <v>-583526</v>
      </c>
      <c r="BV8" s="229">
        <v>-0.53220000000000001</v>
      </c>
      <c r="BW8" s="230">
        <v>11202250</v>
      </c>
      <c r="BX8" s="230">
        <v>11305250</v>
      </c>
      <c r="BY8" s="230">
        <v>-103000</v>
      </c>
      <c r="BZ8" s="229">
        <v>-9.1000000000000004E-3</v>
      </c>
      <c r="CA8" s="230">
        <v>9455500</v>
      </c>
      <c r="CB8" s="230">
        <v>9572500</v>
      </c>
      <c r="CC8" s="230">
        <v>-117000</v>
      </c>
      <c r="CD8" s="229">
        <v>-1.2200000000000001E-2</v>
      </c>
      <c r="CE8" s="230">
        <v>1681250</v>
      </c>
      <c r="CF8" s="230">
        <v>1667250</v>
      </c>
      <c r="CG8" s="230">
        <v>14000</v>
      </c>
      <c r="CH8" s="229">
        <v>8.3999999999999995E-3</v>
      </c>
      <c r="CI8" s="230">
        <v>65500</v>
      </c>
      <c r="CJ8" s="230">
        <v>65500</v>
      </c>
      <c r="CK8" s="228">
        <v>0</v>
      </c>
      <c r="CL8" s="229">
        <v>0</v>
      </c>
      <c r="CM8" s="230">
        <v>3498750</v>
      </c>
      <c r="CN8" s="230">
        <v>3535500</v>
      </c>
      <c r="CO8" s="230">
        <v>-36750</v>
      </c>
      <c r="CP8" s="229">
        <v>-1.04E-2</v>
      </c>
      <c r="CQ8" s="230">
        <v>3578500</v>
      </c>
      <c r="CR8" s="230">
        <v>3528750</v>
      </c>
      <c r="CS8" s="230">
        <v>49750</v>
      </c>
      <c r="CT8" s="229">
        <v>1.41E-2</v>
      </c>
      <c r="CU8" s="230">
        <v>18279500</v>
      </c>
      <c r="CV8" s="230">
        <v>18369500</v>
      </c>
      <c r="CW8" s="230">
        <v>-90000</v>
      </c>
      <c r="CX8" s="229">
        <v>-4.8999999999999998E-3</v>
      </c>
      <c r="CY8" s="228">
        <v>27.51</v>
      </c>
      <c r="CZ8" s="228">
        <v>28.42</v>
      </c>
      <c r="DA8" s="228">
        <v>-0.91</v>
      </c>
      <c r="DB8" s="228">
        <v>-0.91</v>
      </c>
      <c r="DC8" s="228">
        <v>30.62</v>
      </c>
      <c r="DD8" s="228">
        <v>30.69</v>
      </c>
      <c r="DE8" s="228">
        <v>-3.11</v>
      </c>
      <c r="DF8" s="228">
        <v>-7.0000000000000007E-2</v>
      </c>
      <c r="DG8" s="228">
        <v>26.39</v>
      </c>
      <c r="DH8" s="228">
        <v>27.69</v>
      </c>
      <c r="DI8" s="228">
        <v>-1.3</v>
      </c>
      <c r="DJ8" s="228">
        <v>-1.3</v>
      </c>
      <c r="DK8" s="228">
        <v>29.21</v>
      </c>
      <c r="DL8" s="228">
        <v>30.06</v>
      </c>
      <c r="DM8" s="228">
        <v>-0.85</v>
      </c>
      <c r="DN8" s="228">
        <v>-0.85</v>
      </c>
      <c r="DO8" s="228">
        <v>1.02</v>
      </c>
      <c r="DP8" s="228">
        <v>1</v>
      </c>
      <c r="DQ8" s="228">
        <v>0.02</v>
      </c>
      <c r="DR8" s="229">
        <v>0.02</v>
      </c>
      <c r="DS8" s="231">
        <v>1760</v>
      </c>
      <c r="DT8" s="231">
        <v>1620</v>
      </c>
      <c r="DU8" s="228">
        <v>0.66</v>
      </c>
      <c r="DV8" s="228">
        <v>0.44</v>
      </c>
      <c r="DW8" s="228">
        <v>0.22</v>
      </c>
      <c r="DX8" s="229">
        <v>0.5</v>
      </c>
      <c r="DY8" s="229">
        <v>0.15590000000000001</v>
      </c>
      <c r="DZ8" s="230">
        <v>1732750</v>
      </c>
      <c r="EA8" s="229">
        <v>5.5999999999999999E-3</v>
      </c>
      <c r="EB8" s="229">
        <v>0.15590000000000001</v>
      </c>
      <c r="EC8" s="228">
        <v>8.91</v>
      </c>
      <c r="ED8" s="229">
        <v>4.8999999999999998E-3</v>
      </c>
      <c r="EE8" s="230">
        <v>266505</v>
      </c>
      <c r="EF8" s="230">
        <v>557909</v>
      </c>
      <c r="EG8" s="229">
        <v>-0.52229999999999999</v>
      </c>
      <c r="EH8" s="229">
        <v>0.51970000000000005</v>
      </c>
      <c r="EI8" s="231">
        <v>36826.559999999998</v>
      </c>
      <c r="EJ8" s="231">
        <v>23142.23</v>
      </c>
      <c r="EK8" s="231">
        <v>8227.4699999999993</v>
      </c>
      <c r="EL8" s="231">
        <v>4071</v>
      </c>
      <c r="EM8" s="231">
        <v>68196.259999999995</v>
      </c>
      <c r="EN8" s="231">
        <v>155585.4</v>
      </c>
      <c r="EO8" s="231">
        <v>-87389.14</v>
      </c>
      <c r="EP8" s="229">
        <v>-0.56169999999999998</v>
      </c>
      <c r="EQ8" s="231">
        <v>63601</v>
      </c>
      <c r="ER8" s="231">
        <v>60983</v>
      </c>
      <c r="ES8" s="231">
        <v>206242</v>
      </c>
      <c r="ET8" s="231">
        <v>65784745</v>
      </c>
      <c r="EU8" s="231">
        <v>330826</v>
      </c>
      <c r="EV8" s="231">
        <v>331281</v>
      </c>
      <c r="EW8" s="228">
        <v>-455</v>
      </c>
      <c r="EX8" s="229">
        <v>-1.4E-3</v>
      </c>
      <c r="EY8" s="229">
        <v>0.27789999999999998</v>
      </c>
    </row>
    <row r="9" spans="1:155" ht="17.25" thickBot="1" x14ac:dyDescent="0.3">
      <c r="A9" s="226">
        <v>46129</v>
      </c>
      <c r="B9" s="227" t="s">
        <v>175</v>
      </c>
      <c r="C9" s="227" t="s">
        <v>177</v>
      </c>
      <c r="D9" s="228">
        <v>910.95</v>
      </c>
      <c r="E9" s="228">
        <v>908.85</v>
      </c>
      <c r="F9" s="228">
        <v>2.1</v>
      </c>
      <c r="G9" s="229">
        <v>2.3E-3</v>
      </c>
      <c r="H9" s="228">
        <v>908.25</v>
      </c>
      <c r="I9" s="228">
        <v>905.9</v>
      </c>
      <c r="J9" s="228">
        <v>2.35</v>
      </c>
      <c r="K9" s="229">
        <v>2.5999999999999999E-3</v>
      </c>
      <c r="L9" s="228">
        <v>910.95</v>
      </c>
      <c r="M9" s="228">
        <v>908.85</v>
      </c>
      <c r="N9" s="228">
        <v>2.1</v>
      </c>
      <c r="O9" s="229">
        <v>2.3E-3</v>
      </c>
      <c r="P9" s="228">
        <v>915.3</v>
      </c>
      <c r="Q9" s="228">
        <v>913.35</v>
      </c>
      <c r="R9" s="228">
        <v>1.95</v>
      </c>
      <c r="S9" s="229">
        <v>2.0999999999999999E-3</v>
      </c>
      <c r="T9" s="228">
        <v>917.2</v>
      </c>
      <c r="U9" s="228">
        <v>915.55</v>
      </c>
      <c r="V9" s="228">
        <v>1.65</v>
      </c>
      <c r="W9" s="229">
        <v>1.8E-3</v>
      </c>
      <c r="X9" s="228">
        <v>2.7</v>
      </c>
      <c r="Y9" s="228">
        <v>2.95</v>
      </c>
      <c r="Z9" s="228">
        <v>-0.25</v>
      </c>
      <c r="AA9" s="229">
        <v>3.0000000000000001E-3</v>
      </c>
      <c r="AB9" s="228">
        <v>2.7</v>
      </c>
      <c r="AC9" s="228">
        <v>2.95</v>
      </c>
      <c r="AD9" s="228">
        <v>-0.25</v>
      </c>
      <c r="AE9" s="229">
        <v>3.0000000000000001E-3</v>
      </c>
      <c r="AF9" s="228">
        <v>7.05</v>
      </c>
      <c r="AG9" s="228">
        <v>7.45</v>
      </c>
      <c r="AH9" s="228">
        <v>-0.4</v>
      </c>
      <c r="AI9" s="229">
        <v>7.7999999999999996E-3</v>
      </c>
      <c r="AJ9" s="228">
        <v>8.9499999999999993</v>
      </c>
      <c r="AK9" s="228">
        <v>9.65</v>
      </c>
      <c r="AL9" s="228">
        <v>-0.7</v>
      </c>
      <c r="AM9" s="229">
        <v>9.9000000000000008E-3</v>
      </c>
      <c r="AN9" s="228">
        <v>909.6</v>
      </c>
      <c r="AO9" s="228">
        <v>914.39</v>
      </c>
      <c r="AP9" s="228">
        <v>0</v>
      </c>
      <c r="AQ9" s="230">
        <v>6437</v>
      </c>
      <c r="AR9" s="230">
        <v>13773</v>
      </c>
      <c r="AS9" s="230">
        <v>-7336</v>
      </c>
      <c r="AT9" s="229">
        <v>-0.53259999999999996</v>
      </c>
      <c r="AU9" s="230">
        <v>5297</v>
      </c>
      <c r="AV9" s="230">
        <v>11819</v>
      </c>
      <c r="AW9" s="230">
        <v>-6522</v>
      </c>
      <c r="AX9" s="229">
        <v>-0.55179999999999996</v>
      </c>
      <c r="AY9" s="228">
        <v>968</v>
      </c>
      <c r="AZ9" s="230">
        <v>1688</v>
      </c>
      <c r="BA9" s="228">
        <v>-720</v>
      </c>
      <c r="BB9" s="229">
        <v>-0.42649999999999999</v>
      </c>
      <c r="BC9" s="228">
        <v>172</v>
      </c>
      <c r="BD9" s="228">
        <v>266</v>
      </c>
      <c r="BE9" s="228">
        <v>-94</v>
      </c>
      <c r="BF9" s="229">
        <v>-0.35339999999999999</v>
      </c>
      <c r="BG9" s="230">
        <v>18559</v>
      </c>
      <c r="BH9" s="230">
        <v>38937</v>
      </c>
      <c r="BI9" s="230">
        <v>-20378</v>
      </c>
      <c r="BJ9" s="229">
        <v>-0.52339999999999998</v>
      </c>
      <c r="BK9" s="230">
        <v>11603</v>
      </c>
      <c r="BL9" s="230">
        <v>22016</v>
      </c>
      <c r="BM9" s="230">
        <v>-10413</v>
      </c>
      <c r="BN9" s="229">
        <v>-0.47299999999999998</v>
      </c>
      <c r="BO9" s="230">
        <v>36599</v>
      </c>
      <c r="BP9" s="230">
        <v>74726</v>
      </c>
      <c r="BQ9" s="230">
        <v>-38127</v>
      </c>
      <c r="BR9" s="229">
        <v>-0.51019999999999999</v>
      </c>
      <c r="BS9" s="230">
        <v>6274068</v>
      </c>
      <c r="BT9" s="230">
        <v>12446149</v>
      </c>
      <c r="BU9" s="230">
        <v>-6172081</v>
      </c>
      <c r="BV9" s="229">
        <v>-0.49590000000000001</v>
      </c>
      <c r="BW9" s="230">
        <v>70972500</v>
      </c>
      <c r="BX9" s="230">
        <v>71047500</v>
      </c>
      <c r="BY9" s="230">
        <v>-75000</v>
      </c>
      <c r="BZ9" s="229">
        <v>-1.1000000000000001E-3</v>
      </c>
      <c r="CA9" s="230">
        <v>65455500</v>
      </c>
      <c r="CB9" s="230">
        <v>65994000</v>
      </c>
      <c r="CC9" s="230">
        <v>-538500</v>
      </c>
      <c r="CD9" s="229">
        <v>-8.2000000000000007E-3</v>
      </c>
      <c r="CE9" s="230">
        <v>5034750</v>
      </c>
      <c r="CF9" s="230">
        <v>4605750</v>
      </c>
      <c r="CG9" s="230">
        <v>429000</v>
      </c>
      <c r="CH9" s="229">
        <v>9.3100000000000002E-2</v>
      </c>
      <c r="CI9" s="230">
        <v>482250</v>
      </c>
      <c r="CJ9" s="230">
        <v>447750</v>
      </c>
      <c r="CK9" s="230">
        <v>34500</v>
      </c>
      <c r="CL9" s="229">
        <v>7.7100000000000002E-2</v>
      </c>
      <c r="CM9" s="230">
        <v>21938250</v>
      </c>
      <c r="CN9" s="230">
        <v>21335250</v>
      </c>
      <c r="CO9" s="230">
        <v>603000</v>
      </c>
      <c r="CP9" s="229">
        <v>2.8299999999999999E-2</v>
      </c>
      <c r="CQ9" s="230">
        <v>17085750</v>
      </c>
      <c r="CR9" s="230">
        <v>16863000</v>
      </c>
      <c r="CS9" s="230">
        <v>222750</v>
      </c>
      <c r="CT9" s="229">
        <v>1.32E-2</v>
      </c>
      <c r="CU9" s="230">
        <v>109996500</v>
      </c>
      <c r="CV9" s="230">
        <v>109245750</v>
      </c>
      <c r="CW9" s="230">
        <v>750750</v>
      </c>
      <c r="CX9" s="229">
        <v>6.8999999999999999E-3</v>
      </c>
      <c r="CY9" s="228">
        <v>33.26</v>
      </c>
      <c r="CZ9" s="228">
        <v>34.58</v>
      </c>
      <c r="DA9" s="228">
        <v>-1.32</v>
      </c>
      <c r="DB9" s="228">
        <v>-1.32</v>
      </c>
      <c r="DC9" s="228">
        <v>36</v>
      </c>
      <c r="DD9" s="228">
        <v>36.090000000000003</v>
      </c>
      <c r="DE9" s="228">
        <v>-2.74</v>
      </c>
      <c r="DF9" s="228">
        <v>-0.09</v>
      </c>
      <c r="DG9" s="228">
        <v>31.46</v>
      </c>
      <c r="DH9" s="228">
        <v>33.5</v>
      </c>
      <c r="DI9" s="228">
        <v>-2.04</v>
      </c>
      <c r="DJ9" s="228">
        <v>-2.04</v>
      </c>
      <c r="DK9" s="228">
        <v>36.15</v>
      </c>
      <c r="DL9" s="228">
        <v>36.479999999999997</v>
      </c>
      <c r="DM9" s="228">
        <v>-0.33</v>
      </c>
      <c r="DN9" s="228">
        <v>-0.33</v>
      </c>
      <c r="DO9" s="228">
        <v>0.78</v>
      </c>
      <c r="DP9" s="228">
        <v>0.79</v>
      </c>
      <c r="DQ9" s="228">
        <v>-0.01</v>
      </c>
      <c r="DR9" s="229">
        <v>-1.2699999999999999E-2</v>
      </c>
      <c r="DS9" s="228">
        <v>920</v>
      </c>
      <c r="DT9" s="228">
        <v>800</v>
      </c>
      <c r="DU9" s="228">
        <v>0.63</v>
      </c>
      <c r="DV9" s="228">
        <v>0.56999999999999995</v>
      </c>
      <c r="DW9" s="228">
        <v>0.06</v>
      </c>
      <c r="DX9" s="229">
        <v>0.1053</v>
      </c>
      <c r="DY9" s="229">
        <v>7.7700000000000005E-2</v>
      </c>
      <c r="DZ9" s="230">
        <v>5053500</v>
      </c>
      <c r="EA9" s="229">
        <v>4.7999999999999996E-3</v>
      </c>
      <c r="EB9" s="229">
        <v>7.7700000000000005E-2</v>
      </c>
      <c r="EC9" s="228">
        <v>4.79</v>
      </c>
      <c r="ED9" s="229">
        <v>5.3E-3</v>
      </c>
      <c r="EE9" s="230">
        <v>3926064</v>
      </c>
      <c r="EF9" s="230">
        <v>6910097</v>
      </c>
      <c r="EG9" s="229">
        <v>-0.43180000000000002</v>
      </c>
      <c r="EH9" s="229">
        <v>0.62580000000000002</v>
      </c>
      <c r="EI9" s="231">
        <v>131930.37</v>
      </c>
      <c r="EJ9" s="231">
        <v>76754.64</v>
      </c>
      <c r="EK9" s="231">
        <v>43956.02</v>
      </c>
      <c r="EL9" s="231">
        <v>10574</v>
      </c>
      <c r="EM9" s="231">
        <v>252641.03</v>
      </c>
      <c r="EN9" s="231">
        <v>522253.07</v>
      </c>
      <c r="EO9" s="231">
        <v>-269612.03999999998</v>
      </c>
      <c r="EP9" s="229">
        <v>-0.51619999999999999</v>
      </c>
      <c r="EQ9" s="231">
        <v>200367</v>
      </c>
      <c r="ER9" s="231">
        <v>147073</v>
      </c>
      <c r="ES9" s="231">
        <v>646773</v>
      </c>
      <c r="ET9" s="231">
        <v>387962395</v>
      </c>
      <c r="EU9" s="231">
        <v>994212</v>
      </c>
      <c r="EV9" s="231">
        <v>985743</v>
      </c>
      <c r="EW9" s="231">
        <v>8469</v>
      </c>
      <c r="EX9" s="229">
        <v>8.6E-3</v>
      </c>
      <c r="EY9" s="229">
        <v>0.28349999999999997</v>
      </c>
    </row>
    <row r="10" spans="1:155" ht="17.25" thickBot="1" x14ac:dyDescent="0.3">
      <c r="A10" s="226">
        <v>46129</v>
      </c>
      <c r="B10" s="227" t="s">
        <v>184</v>
      </c>
      <c r="C10" s="227" t="s">
        <v>185</v>
      </c>
      <c r="D10" s="228">
        <v>462.9</v>
      </c>
      <c r="E10" s="228">
        <v>456.55</v>
      </c>
      <c r="F10" s="228">
        <v>6.35</v>
      </c>
      <c r="G10" s="229">
        <v>1.3899999999999999E-2</v>
      </c>
      <c r="H10" s="228">
        <v>462.75</v>
      </c>
      <c r="I10" s="228">
        <v>455.65</v>
      </c>
      <c r="J10" s="228">
        <v>7.1</v>
      </c>
      <c r="K10" s="229">
        <v>1.5599999999999999E-2</v>
      </c>
      <c r="L10" s="228">
        <v>462.9</v>
      </c>
      <c r="M10" s="228">
        <v>456.55</v>
      </c>
      <c r="N10" s="228">
        <v>6.35</v>
      </c>
      <c r="O10" s="229">
        <v>1.3899999999999999E-2</v>
      </c>
      <c r="P10" s="228">
        <v>465.55</v>
      </c>
      <c r="Q10" s="228">
        <v>459.25</v>
      </c>
      <c r="R10" s="228">
        <v>6.3</v>
      </c>
      <c r="S10" s="229">
        <v>1.37E-2</v>
      </c>
      <c r="T10" s="228">
        <v>468.4</v>
      </c>
      <c r="U10" s="228">
        <v>461.9</v>
      </c>
      <c r="V10" s="228">
        <v>6.5</v>
      </c>
      <c r="W10" s="229">
        <v>1.41E-2</v>
      </c>
      <c r="X10" s="228">
        <v>0.15</v>
      </c>
      <c r="Y10" s="228">
        <v>0.9</v>
      </c>
      <c r="Z10" s="228">
        <v>-0.75</v>
      </c>
      <c r="AA10" s="229">
        <v>2.9999999999999997E-4</v>
      </c>
      <c r="AB10" s="228">
        <v>0.15</v>
      </c>
      <c r="AC10" s="228">
        <v>0.9</v>
      </c>
      <c r="AD10" s="228">
        <v>-0.75</v>
      </c>
      <c r="AE10" s="229">
        <v>2.9999999999999997E-4</v>
      </c>
      <c r="AF10" s="228">
        <v>2.8</v>
      </c>
      <c r="AG10" s="228">
        <v>3.6</v>
      </c>
      <c r="AH10" s="228">
        <v>-0.8</v>
      </c>
      <c r="AI10" s="229">
        <v>6.1000000000000004E-3</v>
      </c>
      <c r="AJ10" s="228">
        <v>5.65</v>
      </c>
      <c r="AK10" s="228">
        <v>6.25</v>
      </c>
      <c r="AL10" s="228">
        <v>-0.6</v>
      </c>
      <c r="AM10" s="229">
        <v>1.2200000000000001E-2</v>
      </c>
      <c r="AN10" s="228">
        <v>460.06</v>
      </c>
      <c r="AO10" s="228">
        <v>462.56</v>
      </c>
      <c r="AP10" s="228">
        <v>0</v>
      </c>
      <c r="AQ10" s="230">
        <v>8750</v>
      </c>
      <c r="AR10" s="230">
        <v>10249</v>
      </c>
      <c r="AS10" s="230">
        <v>-1499</v>
      </c>
      <c r="AT10" s="229">
        <v>-0.14630000000000001</v>
      </c>
      <c r="AU10" s="230">
        <v>7092</v>
      </c>
      <c r="AV10" s="230">
        <v>8578</v>
      </c>
      <c r="AW10" s="230">
        <v>-1486</v>
      </c>
      <c r="AX10" s="229">
        <v>-0.17319999999999999</v>
      </c>
      <c r="AY10" s="230">
        <v>1413</v>
      </c>
      <c r="AZ10" s="230">
        <v>1434</v>
      </c>
      <c r="BA10" s="228">
        <v>-21</v>
      </c>
      <c r="BB10" s="229">
        <v>-1.46E-2</v>
      </c>
      <c r="BC10" s="228">
        <v>245</v>
      </c>
      <c r="BD10" s="228">
        <v>237</v>
      </c>
      <c r="BE10" s="228">
        <v>8</v>
      </c>
      <c r="BF10" s="229">
        <v>3.3799999999999997E-2</v>
      </c>
      <c r="BG10" s="230">
        <v>54544</v>
      </c>
      <c r="BH10" s="230">
        <v>49701</v>
      </c>
      <c r="BI10" s="230">
        <v>4843</v>
      </c>
      <c r="BJ10" s="229">
        <v>9.74E-2</v>
      </c>
      <c r="BK10" s="230">
        <v>27101</v>
      </c>
      <c r="BL10" s="230">
        <v>23131</v>
      </c>
      <c r="BM10" s="230">
        <v>3970</v>
      </c>
      <c r="BN10" s="229">
        <v>0.1716</v>
      </c>
      <c r="BO10" s="230">
        <v>90395</v>
      </c>
      <c r="BP10" s="230">
        <v>83081</v>
      </c>
      <c r="BQ10" s="230">
        <v>7314</v>
      </c>
      <c r="BR10" s="229">
        <v>8.7999999999999995E-2</v>
      </c>
      <c r="BS10" s="230">
        <v>14792143</v>
      </c>
      <c r="BT10" s="230">
        <v>12746989</v>
      </c>
      <c r="BU10" s="230">
        <v>2045154</v>
      </c>
      <c r="BV10" s="229">
        <v>0.16039999999999999</v>
      </c>
      <c r="BW10" s="230">
        <v>105736425</v>
      </c>
      <c r="BX10" s="230">
        <v>105789150</v>
      </c>
      <c r="BY10" s="230">
        <v>-52725</v>
      </c>
      <c r="BZ10" s="229">
        <v>-5.0000000000000001E-4</v>
      </c>
      <c r="CA10" s="230">
        <v>90809550</v>
      </c>
      <c r="CB10" s="230">
        <v>91559100</v>
      </c>
      <c r="CC10" s="230">
        <v>-749550</v>
      </c>
      <c r="CD10" s="229">
        <v>-8.2000000000000007E-3</v>
      </c>
      <c r="CE10" s="230">
        <v>10854225</v>
      </c>
      <c r="CF10" s="230">
        <v>10254300</v>
      </c>
      <c r="CG10" s="230">
        <v>599925</v>
      </c>
      <c r="CH10" s="229">
        <v>5.8500000000000003E-2</v>
      </c>
      <c r="CI10" s="230">
        <v>4072650</v>
      </c>
      <c r="CJ10" s="230">
        <v>3975750</v>
      </c>
      <c r="CK10" s="230">
        <v>96900</v>
      </c>
      <c r="CL10" s="229">
        <v>2.4400000000000002E-2</v>
      </c>
      <c r="CM10" s="230">
        <v>41927775</v>
      </c>
      <c r="CN10" s="230">
        <v>41283675</v>
      </c>
      <c r="CO10" s="230">
        <v>644100</v>
      </c>
      <c r="CP10" s="229">
        <v>1.5599999999999999E-2</v>
      </c>
      <c r="CQ10" s="230">
        <v>31526700</v>
      </c>
      <c r="CR10" s="230">
        <v>29459025</v>
      </c>
      <c r="CS10" s="230">
        <v>2067675</v>
      </c>
      <c r="CT10" s="229">
        <v>7.0199999999999999E-2</v>
      </c>
      <c r="CU10" s="230">
        <v>179190900</v>
      </c>
      <c r="CV10" s="230">
        <v>176531850</v>
      </c>
      <c r="CW10" s="230">
        <v>2659050</v>
      </c>
      <c r="CX10" s="229">
        <v>1.5100000000000001E-2</v>
      </c>
      <c r="CY10" s="228">
        <v>31.06</v>
      </c>
      <c r="CZ10" s="228">
        <v>31.25</v>
      </c>
      <c r="DA10" s="228">
        <v>-0.19</v>
      </c>
      <c r="DB10" s="228">
        <v>-0.19</v>
      </c>
      <c r="DC10" s="228">
        <v>37.28</v>
      </c>
      <c r="DD10" s="228">
        <v>37.32</v>
      </c>
      <c r="DE10" s="228">
        <v>-6.22</v>
      </c>
      <c r="DF10" s="228">
        <v>-0.04</v>
      </c>
      <c r="DG10" s="228">
        <v>29.9</v>
      </c>
      <c r="DH10" s="228">
        <v>30.17</v>
      </c>
      <c r="DI10" s="228">
        <v>-0.27</v>
      </c>
      <c r="DJ10" s="228">
        <v>-0.27</v>
      </c>
      <c r="DK10" s="228">
        <v>33.409999999999997</v>
      </c>
      <c r="DL10" s="228">
        <v>33.57</v>
      </c>
      <c r="DM10" s="228">
        <v>-0.16</v>
      </c>
      <c r="DN10" s="228">
        <v>-0.16</v>
      </c>
      <c r="DO10" s="228">
        <v>0.75</v>
      </c>
      <c r="DP10" s="228">
        <v>0.71</v>
      </c>
      <c r="DQ10" s="228">
        <v>0.04</v>
      </c>
      <c r="DR10" s="229">
        <v>5.6300000000000003E-2</v>
      </c>
      <c r="DS10" s="228">
        <v>500</v>
      </c>
      <c r="DT10" s="228">
        <v>400</v>
      </c>
      <c r="DU10" s="228">
        <v>0.5</v>
      </c>
      <c r="DV10" s="228">
        <v>0.47</v>
      </c>
      <c r="DW10" s="228">
        <v>0.03</v>
      </c>
      <c r="DX10" s="229">
        <v>6.3799999999999996E-2</v>
      </c>
      <c r="DY10" s="229">
        <v>0.14119999999999999</v>
      </c>
      <c r="DZ10" s="230">
        <v>14230050</v>
      </c>
      <c r="EA10" s="229">
        <v>5.7000000000000002E-3</v>
      </c>
      <c r="EB10" s="229">
        <v>0.14119999999999999</v>
      </c>
      <c r="EC10" s="228">
        <v>2.5</v>
      </c>
      <c r="ED10" s="229">
        <v>5.4000000000000003E-3</v>
      </c>
      <c r="EE10" s="230">
        <v>6636162</v>
      </c>
      <c r="EF10" s="230">
        <v>5683324</v>
      </c>
      <c r="EG10" s="229">
        <v>0.16769999999999999</v>
      </c>
      <c r="EH10" s="229">
        <v>0.4486</v>
      </c>
      <c r="EI10" s="231">
        <v>373293.13</v>
      </c>
      <c r="EJ10" s="231">
        <v>171253.75</v>
      </c>
      <c r="EK10" s="231">
        <v>57432.61</v>
      </c>
      <c r="EL10" s="231">
        <v>9637</v>
      </c>
      <c r="EM10" s="231">
        <v>601979.49</v>
      </c>
      <c r="EN10" s="231">
        <v>546862.54</v>
      </c>
      <c r="EO10" s="231">
        <v>55116.95</v>
      </c>
      <c r="EP10" s="229">
        <v>0.1008</v>
      </c>
      <c r="EQ10" s="231">
        <v>193603</v>
      </c>
      <c r="ER10" s="231">
        <v>133771</v>
      </c>
      <c r="ES10" s="231">
        <v>489966</v>
      </c>
      <c r="ET10" s="231">
        <v>535778534</v>
      </c>
      <c r="EU10" s="231">
        <v>817340</v>
      </c>
      <c r="EV10" s="231">
        <v>797244</v>
      </c>
      <c r="EW10" s="231">
        <v>20096</v>
      </c>
      <c r="EX10" s="229">
        <v>2.52E-2</v>
      </c>
      <c r="EY10" s="229">
        <v>0.33439999999999998</v>
      </c>
    </row>
    <row r="11" spans="1:155" ht="17.25" thickBot="1" x14ac:dyDescent="0.3">
      <c r="A11" s="226">
        <v>46129</v>
      </c>
      <c r="B11" s="227" t="s">
        <v>188</v>
      </c>
      <c r="C11" s="227" t="s">
        <v>189</v>
      </c>
      <c r="D11" s="231">
        <v>1849</v>
      </c>
      <c r="E11" s="231">
        <v>1844</v>
      </c>
      <c r="F11" s="228">
        <v>5</v>
      </c>
      <c r="G11" s="229">
        <v>2.7000000000000001E-3</v>
      </c>
      <c r="H11" s="231">
        <v>1846.9</v>
      </c>
      <c r="I11" s="231">
        <v>1840.6</v>
      </c>
      <c r="J11" s="228">
        <v>6.3</v>
      </c>
      <c r="K11" s="229">
        <v>3.3999999999999998E-3</v>
      </c>
      <c r="L11" s="231">
        <v>1849</v>
      </c>
      <c r="M11" s="231">
        <v>1844</v>
      </c>
      <c r="N11" s="228">
        <v>5</v>
      </c>
      <c r="O11" s="229">
        <v>2.7000000000000001E-3</v>
      </c>
      <c r="P11" s="231">
        <v>1859.5</v>
      </c>
      <c r="Q11" s="231">
        <v>1852.5</v>
      </c>
      <c r="R11" s="228">
        <v>7</v>
      </c>
      <c r="S11" s="229">
        <v>3.8E-3</v>
      </c>
      <c r="T11" s="231">
        <v>1870.8</v>
      </c>
      <c r="U11" s="231">
        <v>1865.9</v>
      </c>
      <c r="V11" s="228">
        <v>4.9000000000000004</v>
      </c>
      <c r="W11" s="229">
        <v>2.5999999999999999E-3</v>
      </c>
      <c r="X11" s="228">
        <v>2.1</v>
      </c>
      <c r="Y11" s="228">
        <v>3.4</v>
      </c>
      <c r="Z11" s="228">
        <v>-1.3</v>
      </c>
      <c r="AA11" s="229">
        <v>1.1000000000000001E-3</v>
      </c>
      <c r="AB11" s="228">
        <v>2.1</v>
      </c>
      <c r="AC11" s="228">
        <v>3.4</v>
      </c>
      <c r="AD11" s="228">
        <v>-1.3</v>
      </c>
      <c r="AE11" s="229">
        <v>1.1000000000000001E-3</v>
      </c>
      <c r="AF11" s="228">
        <v>12.6</v>
      </c>
      <c r="AG11" s="228">
        <v>11.9</v>
      </c>
      <c r="AH11" s="228">
        <v>0.7</v>
      </c>
      <c r="AI11" s="229">
        <v>6.7999999999999996E-3</v>
      </c>
      <c r="AJ11" s="228">
        <v>23.9</v>
      </c>
      <c r="AK11" s="228">
        <v>25.3</v>
      </c>
      <c r="AL11" s="228">
        <v>-1.4</v>
      </c>
      <c r="AM11" s="229">
        <v>1.29E-2</v>
      </c>
      <c r="AN11" s="231">
        <v>1844.71</v>
      </c>
      <c r="AO11" s="231">
        <v>1853.02</v>
      </c>
      <c r="AP11" s="228">
        <v>0</v>
      </c>
      <c r="AQ11" s="230">
        <v>8230</v>
      </c>
      <c r="AR11" s="230">
        <v>16301</v>
      </c>
      <c r="AS11" s="230">
        <v>-8071</v>
      </c>
      <c r="AT11" s="229">
        <v>-0.49509999999999998</v>
      </c>
      <c r="AU11" s="230">
        <v>6571</v>
      </c>
      <c r="AV11" s="230">
        <v>11740</v>
      </c>
      <c r="AW11" s="230">
        <v>-5169</v>
      </c>
      <c r="AX11" s="229">
        <v>-0.44030000000000002</v>
      </c>
      <c r="AY11" s="230">
        <v>1591</v>
      </c>
      <c r="AZ11" s="230">
        <v>2423</v>
      </c>
      <c r="BA11" s="228">
        <v>-832</v>
      </c>
      <c r="BB11" s="229">
        <v>-0.34339999999999998</v>
      </c>
      <c r="BC11" s="228">
        <v>68</v>
      </c>
      <c r="BD11" s="230">
        <v>2138</v>
      </c>
      <c r="BE11" s="230">
        <v>-2070</v>
      </c>
      <c r="BF11" s="229">
        <v>-0.96819999999999995</v>
      </c>
      <c r="BG11" s="230">
        <v>32832</v>
      </c>
      <c r="BH11" s="230">
        <v>51819</v>
      </c>
      <c r="BI11" s="230">
        <v>-18987</v>
      </c>
      <c r="BJ11" s="229">
        <v>-0.3664</v>
      </c>
      <c r="BK11" s="230">
        <v>15522</v>
      </c>
      <c r="BL11" s="230">
        <v>22360</v>
      </c>
      <c r="BM11" s="230">
        <v>-6838</v>
      </c>
      <c r="BN11" s="229">
        <v>-0.30580000000000002</v>
      </c>
      <c r="BO11" s="230">
        <v>56584</v>
      </c>
      <c r="BP11" s="230">
        <v>90480</v>
      </c>
      <c r="BQ11" s="230">
        <v>-33896</v>
      </c>
      <c r="BR11" s="229">
        <v>-0.37459999999999999</v>
      </c>
      <c r="BS11" s="230">
        <v>7465210</v>
      </c>
      <c r="BT11" s="230">
        <v>17135469</v>
      </c>
      <c r="BU11" s="230">
        <v>-9670259</v>
      </c>
      <c r="BV11" s="229">
        <v>-0.56430000000000002</v>
      </c>
      <c r="BW11" s="230">
        <v>60683150</v>
      </c>
      <c r="BX11" s="230">
        <v>60781475</v>
      </c>
      <c r="BY11" s="230">
        <v>-98325</v>
      </c>
      <c r="BZ11" s="229">
        <v>-1.6000000000000001E-3</v>
      </c>
      <c r="CA11" s="230">
        <v>45203375</v>
      </c>
      <c r="CB11" s="230">
        <v>45823250</v>
      </c>
      <c r="CC11" s="230">
        <v>-619875</v>
      </c>
      <c r="CD11" s="229">
        <v>-1.35E-2</v>
      </c>
      <c r="CE11" s="230">
        <v>10397750</v>
      </c>
      <c r="CF11" s="230">
        <v>9887600</v>
      </c>
      <c r="CG11" s="230">
        <v>510150</v>
      </c>
      <c r="CH11" s="229">
        <v>5.16E-2</v>
      </c>
      <c r="CI11" s="230">
        <v>5082025</v>
      </c>
      <c r="CJ11" s="230">
        <v>5070625</v>
      </c>
      <c r="CK11" s="230">
        <v>11400</v>
      </c>
      <c r="CL11" s="229">
        <v>2.2000000000000001E-3</v>
      </c>
      <c r="CM11" s="230">
        <v>13701850</v>
      </c>
      <c r="CN11" s="230">
        <v>13129000</v>
      </c>
      <c r="CO11" s="230">
        <v>572850</v>
      </c>
      <c r="CP11" s="229">
        <v>4.36E-2</v>
      </c>
      <c r="CQ11" s="230">
        <v>8349550</v>
      </c>
      <c r="CR11" s="230">
        <v>8065025</v>
      </c>
      <c r="CS11" s="230">
        <v>284525</v>
      </c>
      <c r="CT11" s="229">
        <v>3.5299999999999998E-2</v>
      </c>
      <c r="CU11" s="230">
        <v>82734550</v>
      </c>
      <c r="CV11" s="230">
        <v>81975500</v>
      </c>
      <c r="CW11" s="230">
        <v>759050</v>
      </c>
      <c r="CX11" s="229">
        <v>9.2999999999999992E-3</v>
      </c>
      <c r="CY11" s="228">
        <v>22.81</v>
      </c>
      <c r="CZ11" s="228">
        <v>24.12</v>
      </c>
      <c r="DA11" s="228">
        <v>-1.31</v>
      </c>
      <c r="DB11" s="228">
        <v>-1.31</v>
      </c>
      <c r="DC11" s="228">
        <v>24.21</v>
      </c>
      <c r="DD11" s="228">
        <v>24.27</v>
      </c>
      <c r="DE11" s="228">
        <v>-1.4</v>
      </c>
      <c r="DF11" s="228">
        <v>-0.06</v>
      </c>
      <c r="DG11" s="228">
        <v>22.06</v>
      </c>
      <c r="DH11" s="228">
        <v>24.18</v>
      </c>
      <c r="DI11" s="228">
        <v>-2.12</v>
      </c>
      <c r="DJ11" s="228">
        <v>-2.12</v>
      </c>
      <c r="DK11" s="228">
        <v>24.41</v>
      </c>
      <c r="DL11" s="228">
        <v>23.98</v>
      </c>
      <c r="DM11" s="228">
        <v>0.43</v>
      </c>
      <c r="DN11" s="228">
        <v>0.43</v>
      </c>
      <c r="DO11" s="228">
        <v>0.61</v>
      </c>
      <c r="DP11" s="228">
        <v>0.61</v>
      </c>
      <c r="DQ11" s="228">
        <v>0</v>
      </c>
      <c r="DR11" s="229">
        <v>0</v>
      </c>
      <c r="DS11" s="231">
        <v>1900</v>
      </c>
      <c r="DT11" s="231">
        <v>1800</v>
      </c>
      <c r="DU11" s="228">
        <v>0.47</v>
      </c>
      <c r="DV11" s="228">
        <v>0.43</v>
      </c>
      <c r="DW11" s="228">
        <v>0.04</v>
      </c>
      <c r="DX11" s="229">
        <v>9.2999999999999999E-2</v>
      </c>
      <c r="DY11" s="229">
        <v>0.25509999999999999</v>
      </c>
      <c r="DZ11" s="230">
        <v>14958225</v>
      </c>
      <c r="EA11" s="229">
        <v>5.7000000000000002E-3</v>
      </c>
      <c r="EB11" s="229">
        <v>0.25509999999999999</v>
      </c>
      <c r="EC11" s="228">
        <v>8.31</v>
      </c>
      <c r="ED11" s="229">
        <v>4.4999999999999997E-3</v>
      </c>
      <c r="EE11" s="230">
        <v>3966487</v>
      </c>
      <c r="EF11" s="230">
        <v>6335316</v>
      </c>
      <c r="EG11" s="229">
        <v>-0.37390000000000001</v>
      </c>
      <c r="EH11" s="229">
        <v>0.53129999999999999</v>
      </c>
      <c r="EI11" s="231">
        <v>297155.61</v>
      </c>
      <c r="EJ11" s="231">
        <v>133244.92000000001</v>
      </c>
      <c r="EK11" s="231">
        <v>72183.960000000006</v>
      </c>
      <c r="EL11" s="231">
        <v>14252</v>
      </c>
      <c r="EM11" s="231">
        <v>502584.49</v>
      </c>
      <c r="EN11" s="231">
        <v>809767.51</v>
      </c>
      <c r="EO11" s="231">
        <v>-307183.02</v>
      </c>
      <c r="EP11" s="229">
        <v>-0.37930000000000003</v>
      </c>
      <c r="EQ11" s="231">
        <v>259884</v>
      </c>
      <c r="ER11" s="231">
        <v>150440</v>
      </c>
      <c r="ES11" s="231">
        <v>1124231</v>
      </c>
      <c r="ET11" s="231">
        <v>342859930</v>
      </c>
      <c r="EU11" s="231">
        <v>1534556</v>
      </c>
      <c r="EV11" s="231">
        <v>1517116</v>
      </c>
      <c r="EW11" s="231">
        <v>17440</v>
      </c>
      <c r="EX11" s="229">
        <v>1.15E-2</v>
      </c>
      <c r="EY11" s="229">
        <v>0.24129999999999999</v>
      </c>
    </row>
    <row r="12" spans="1:155" ht="17.25" thickBot="1" x14ac:dyDescent="0.3">
      <c r="A12" s="226">
        <v>46129</v>
      </c>
      <c r="B12" s="227" t="s">
        <v>170</v>
      </c>
      <c r="C12" s="227" t="s">
        <v>199</v>
      </c>
      <c r="D12" s="231">
        <v>1245.0999999999999</v>
      </c>
      <c r="E12" s="231">
        <v>1232.0999999999999</v>
      </c>
      <c r="F12" s="228">
        <v>13</v>
      </c>
      <c r="G12" s="229">
        <v>1.06E-2</v>
      </c>
      <c r="H12" s="231">
        <v>1240.8</v>
      </c>
      <c r="I12" s="231">
        <v>1230.5</v>
      </c>
      <c r="J12" s="228">
        <v>10.3</v>
      </c>
      <c r="K12" s="229">
        <v>8.3999999999999995E-3</v>
      </c>
      <c r="L12" s="231">
        <v>1245.0999999999999</v>
      </c>
      <c r="M12" s="231">
        <v>1232.0999999999999</v>
      </c>
      <c r="N12" s="228">
        <v>13</v>
      </c>
      <c r="O12" s="229">
        <v>1.06E-2</v>
      </c>
      <c r="P12" s="231">
        <v>1252</v>
      </c>
      <c r="Q12" s="231">
        <v>1239.5999999999999</v>
      </c>
      <c r="R12" s="228">
        <v>12.4</v>
      </c>
      <c r="S12" s="229">
        <v>0.01</v>
      </c>
      <c r="T12" s="231">
        <v>1254.9000000000001</v>
      </c>
      <c r="U12" s="231">
        <v>1244</v>
      </c>
      <c r="V12" s="228">
        <v>10.9</v>
      </c>
      <c r="W12" s="229">
        <v>8.8000000000000005E-3</v>
      </c>
      <c r="X12" s="228">
        <v>4.3</v>
      </c>
      <c r="Y12" s="228">
        <v>1.6</v>
      </c>
      <c r="Z12" s="228">
        <v>2.7</v>
      </c>
      <c r="AA12" s="229">
        <v>3.5000000000000001E-3</v>
      </c>
      <c r="AB12" s="228">
        <v>4.3</v>
      </c>
      <c r="AC12" s="228">
        <v>1.6</v>
      </c>
      <c r="AD12" s="228">
        <v>2.7</v>
      </c>
      <c r="AE12" s="229">
        <v>3.5000000000000001E-3</v>
      </c>
      <c r="AF12" s="228">
        <v>11.2</v>
      </c>
      <c r="AG12" s="228">
        <v>9.1</v>
      </c>
      <c r="AH12" s="228">
        <v>2.1</v>
      </c>
      <c r="AI12" s="229">
        <v>8.9999999999999993E-3</v>
      </c>
      <c r="AJ12" s="228">
        <v>14.1</v>
      </c>
      <c r="AK12" s="228">
        <v>13.5</v>
      </c>
      <c r="AL12" s="228">
        <v>0.6</v>
      </c>
      <c r="AM12" s="229">
        <v>1.14E-2</v>
      </c>
      <c r="AN12" s="231">
        <v>1240.18</v>
      </c>
      <c r="AO12" s="231">
        <v>1247.3499999999999</v>
      </c>
      <c r="AP12" s="228">
        <v>0</v>
      </c>
      <c r="AQ12" s="230">
        <v>4359</v>
      </c>
      <c r="AR12" s="230">
        <v>4212</v>
      </c>
      <c r="AS12" s="228">
        <v>147</v>
      </c>
      <c r="AT12" s="229">
        <v>3.49E-2</v>
      </c>
      <c r="AU12" s="230">
        <v>3546</v>
      </c>
      <c r="AV12" s="230">
        <v>3800</v>
      </c>
      <c r="AW12" s="228">
        <v>-254</v>
      </c>
      <c r="AX12" s="229">
        <v>-6.6799999999999998E-2</v>
      </c>
      <c r="AY12" s="228">
        <v>691</v>
      </c>
      <c r="AZ12" s="228">
        <v>362</v>
      </c>
      <c r="BA12" s="228">
        <v>329</v>
      </c>
      <c r="BB12" s="229">
        <v>0.90880000000000005</v>
      </c>
      <c r="BC12" s="228">
        <v>122</v>
      </c>
      <c r="BD12" s="228">
        <v>50</v>
      </c>
      <c r="BE12" s="228">
        <v>72</v>
      </c>
      <c r="BF12" s="229">
        <v>1.44</v>
      </c>
      <c r="BG12" s="230">
        <v>15719</v>
      </c>
      <c r="BH12" s="230">
        <v>11909</v>
      </c>
      <c r="BI12" s="230">
        <v>3810</v>
      </c>
      <c r="BJ12" s="229">
        <v>0.31990000000000002</v>
      </c>
      <c r="BK12" s="230">
        <v>5859</v>
      </c>
      <c r="BL12" s="230">
        <v>3738</v>
      </c>
      <c r="BM12" s="230">
        <v>2121</v>
      </c>
      <c r="BN12" s="229">
        <v>0.56740000000000002</v>
      </c>
      <c r="BO12" s="230">
        <v>25937</v>
      </c>
      <c r="BP12" s="230">
        <v>19859</v>
      </c>
      <c r="BQ12" s="230">
        <v>6078</v>
      </c>
      <c r="BR12" s="229">
        <v>0.30609999999999998</v>
      </c>
      <c r="BS12" s="230">
        <v>2653013</v>
      </c>
      <c r="BT12" s="230">
        <v>1797631</v>
      </c>
      <c r="BU12" s="230">
        <v>855382</v>
      </c>
      <c r="BV12" s="229">
        <v>0.4758</v>
      </c>
      <c r="BW12" s="230">
        <v>15688125</v>
      </c>
      <c r="BX12" s="230">
        <v>15552000</v>
      </c>
      <c r="BY12" s="230">
        <v>136125</v>
      </c>
      <c r="BZ12" s="229">
        <v>8.8000000000000005E-3</v>
      </c>
      <c r="CA12" s="230">
        <v>14026500</v>
      </c>
      <c r="CB12" s="230">
        <v>13977375</v>
      </c>
      <c r="CC12" s="230">
        <v>49125</v>
      </c>
      <c r="CD12" s="229">
        <v>3.5000000000000001E-3</v>
      </c>
      <c r="CE12" s="230">
        <v>1574625</v>
      </c>
      <c r="CF12" s="230">
        <v>1477500</v>
      </c>
      <c r="CG12" s="230">
        <v>97125</v>
      </c>
      <c r="CH12" s="229">
        <v>6.5699999999999995E-2</v>
      </c>
      <c r="CI12" s="230">
        <v>87000</v>
      </c>
      <c r="CJ12" s="230">
        <v>97125</v>
      </c>
      <c r="CK12" s="230">
        <v>-10125</v>
      </c>
      <c r="CL12" s="229">
        <v>-0.1042</v>
      </c>
      <c r="CM12" s="230">
        <v>4284375</v>
      </c>
      <c r="CN12" s="230">
        <v>4503000</v>
      </c>
      <c r="CO12" s="230">
        <v>-218625</v>
      </c>
      <c r="CP12" s="229">
        <v>-4.8599999999999997E-2</v>
      </c>
      <c r="CQ12" s="230">
        <v>3826875</v>
      </c>
      <c r="CR12" s="230">
        <v>3698250</v>
      </c>
      <c r="CS12" s="230">
        <v>128625</v>
      </c>
      <c r="CT12" s="229">
        <v>3.4799999999999998E-2</v>
      </c>
      <c r="CU12" s="230">
        <v>23799375</v>
      </c>
      <c r="CV12" s="230">
        <v>23753250</v>
      </c>
      <c r="CW12" s="230">
        <v>46125</v>
      </c>
      <c r="CX12" s="229">
        <v>1.9E-3</v>
      </c>
      <c r="CY12" s="228">
        <v>22.88</v>
      </c>
      <c r="CZ12" s="228">
        <v>23.91</v>
      </c>
      <c r="DA12" s="228">
        <v>-1.03</v>
      </c>
      <c r="DB12" s="228">
        <v>-1.03</v>
      </c>
      <c r="DC12" s="228">
        <v>25.03</v>
      </c>
      <c r="DD12" s="228">
        <v>25.05</v>
      </c>
      <c r="DE12" s="228">
        <v>-2.15</v>
      </c>
      <c r="DF12" s="228">
        <v>-0.02</v>
      </c>
      <c r="DG12" s="228">
        <v>22.24</v>
      </c>
      <c r="DH12" s="228">
        <v>23.94</v>
      </c>
      <c r="DI12" s="228">
        <v>-1.7</v>
      </c>
      <c r="DJ12" s="228">
        <v>-1.7</v>
      </c>
      <c r="DK12" s="228">
        <v>24.59</v>
      </c>
      <c r="DL12" s="228">
        <v>23.79</v>
      </c>
      <c r="DM12" s="228">
        <v>0.8</v>
      </c>
      <c r="DN12" s="228">
        <v>0.8</v>
      </c>
      <c r="DO12" s="228">
        <v>0.89</v>
      </c>
      <c r="DP12" s="228">
        <v>0.82</v>
      </c>
      <c r="DQ12" s="228">
        <v>7.0000000000000007E-2</v>
      </c>
      <c r="DR12" s="229">
        <v>8.5400000000000004E-2</v>
      </c>
      <c r="DS12" s="231">
        <v>1300</v>
      </c>
      <c r="DT12" s="231">
        <v>1160</v>
      </c>
      <c r="DU12" s="228">
        <v>0.37</v>
      </c>
      <c r="DV12" s="228">
        <v>0.31</v>
      </c>
      <c r="DW12" s="228">
        <v>0.06</v>
      </c>
      <c r="DX12" s="229">
        <v>0.19350000000000001</v>
      </c>
      <c r="DY12" s="229">
        <v>0.10589999999999999</v>
      </c>
      <c r="DZ12" s="230">
        <v>1574625</v>
      </c>
      <c r="EA12" s="229">
        <v>5.4999999999999997E-3</v>
      </c>
      <c r="EB12" s="229">
        <v>0.10589999999999999</v>
      </c>
      <c r="EC12" s="228">
        <v>7.17</v>
      </c>
      <c r="ED12" s="229">
        <v>5.7999999999999996E-3</v>
      </c>
      <c r="EE12" s="230">
        <v>1988311</v>
      </c>
      <c r="EF12" s="230">
        <v>1100109</v>
      </c>
      <c r="EG12" s="229">
        <v>0.80740000000000001</v>
      </c>
      <c r="EH12" s="229">
        <v>0.74950000000000006</v>
      </c>
      <c r="EI12" s="231">
        <v>74969.88</v>
      </c>
      <c r="EJ12" s="231">
        <v>27000.48</v>
      </c>
      <c r="EK12" s="231">
        <v>20295.97</v>
      </c>
      <c r="EL12" s="231">
        <v>3926</v>
      </c>
      <c r="EM12" s="231">
        <v>122266.33</v>
      </c>
      <c r="EN12" s="231">
        <v>93252.87</v>
      </c>
      <c r="EO12" s="231">
        <v>29013.46</v>
      </c>
      <c r="EP12" s="229">
        <v>0.31109999999999999</v>
      </c>
      <c r="EQ12" s="231">
        <v>54956</v>
      </c>
      <c r="ER12" s="231">
        <v>45290</v>
      </c>
      <c r="ES12" s="231">
        <v>195450</v>
      </c>
      <c r="ET12" s="231">
        <v>76385219</v>
      </c>
      <c r="EU12" s="231">
        <v>295696</v>
      </c>
      <c r="EV12" s="231">
        <v>293092</v>
      </c>
      <c r="EW12" s="231">
        <v>2604</v>
      </c>
      <c r="EX12" s="229">
        <v>8.8999999999999999E-3</v>
      </c>
      <c r="EY12" s="229">
        <v>0.31159999999999999</v>
      </c>
    </row>
    <row r="13" spans="1:155" ht="17.25" thickBot="1" x14ac:dyDescent="0.3">
      <c r="A13" s="226">
        <v>46129</v>
      </c>
      <c r="B13" s="227" t="s">
        <v>227</v>
      </c>
      <c r="C13" s="227" t="s">
        <v>200</v>
      </c>
      <c r="D13" s="228">
        <v>439.55</v>
      </c>
      <c r="E13" s="228">
        <v>432.35</v>
      </c>
      <c r="F13" s="228">
        <v>7.2</v>
      </c>
      <c r="G13" s="229">
        <v>1.67E-2</v>
      </c>
      <c r="H13" s="228">
        <v>438.75</v>
      </c>
      <c r="I13" s="228">
        <v>432.75</v>
      </c>
      <c r="J13" s="228">
        <v>6</v>
      </c>
      <c r="K13" s="229">
        <v>1.3899999999999999E-2</v>
      </c>
      <c r="L13" s="228">
        <v>439.55</v>
      </c>
      <c r="M13" s="228">
        <v>432.35</v>
      </c>
      <c r="N13" s="228">
        <v>7.2</v>
      </c>
      <c r="O13" s="229">
        <v>1.67E-2</v>
      </c>
      <c r="P13" s="228">
        <v>436.5</v>
      </c>
      <c r="Q13" s="228">
        <v>429.2</v>
      </c>
      <c r="R13" s="228">
        <v>7.3</v>
      </c>
      <c r="S13" s="229">
        <v>1.7000000000000001E-2</v>
      </c>
      <c r="T13" s="228">
        <v>434.65</v>
      </c>
      <c r="U13" s="228">
        <v>428.25</v>
      </c>
      <c r="V13" s="228">
        <v>6.4</v>
      </c>
      <c r="W13" s="229">
        <v>1.49E-2</v>
      </c>
      <c r="X13" s="228">
        <v>0.8</v>
      </c>
      <c r="Y13" s="228">
        <v>-0.4</v>
      </c>
      <c r="Z13" s="228">
        <v>1.2</v>
      </c>
      <c r="AA13" s="229">
        <v>1.8E-3</v>
      </c>
      <c r="AB13" s="228">
        <v>0.8</v>
      </c>
      <c r="AC13" s="228">
        <v>-0.4</v>
      </c>
      <c r="AD13" s="228">
        <v>1.2</v>
      </c>
      <c r="AE13" s="229">
        <v>1.8E-3</v>
      </c>
      <c r="AF13" s="228">
        <v>-2.25</v>
      </c>
      <c r="AG13" s="228">
        <v>-3.55</v>
      </c>
      <c r="AH13" s="228">
        <v>1.3</v>
      </c>
      <c r="AI13" s="229">
        <v>-5.1000000000000004E-3</v>
      </c>
      <c r="AJ13" s="228">
        <v>-4.0999999999999996</v>
      </c>
      <c r="AK13" s="228">
        <v>-4.5</v>
      </c>
      <c r="AL13" s="228">
        <v>0.4</v>
      </c>
      <c r="AM13" s="229">
        <v>-9.2999999999999992E-3</v>
      </c>
      <c r="AN13" s="228">
        <v>437.51</v>
      </c>
      <c r="AO13" s="228">
        <v>434.05</v>
      </c>
      <c r="AP13" s="228">
        <v>0</v>
      </c>
      <c r="AQ13" s="230">
        <v>10186</v>
      </c>
      <c r="AR13" s="230">
        <v>6020</v>
      </c>
      <c r="AS13" s="230">
        <v>4166</v>
      </c>
      <c r="AT13" s="229">
        <v>0.69199999999999995</v>
      </c>
      <c r="AU13" s="230">
        <v>8072</v>
      </c>
      <c r="AV13" s="230">
        <v>4595</v>
      </c>
      <c r="AW13" s="230">
        <v>3477</v>
      </c>
      <c r="AX13" s="229">
        <v>0.75670000000000004</v>
      </c>
      <c r="AY13" s="230">
        <v>1884</v>
      </c>
      <c r="AZ13" s="230">
        <v>1263</v>
      </c>
      <c r="BA13" s="228">
        <v>621</v>
      </c>
      <c r="BB13" s="229">
        <v>0.49170000000000003</v>
      </c>
      <c r="BC13" s="228">
        <v>230</v>
      </c>
      <c r="BD13" s="228">
        <v>162</v>
      </c>
      <c r="BE13" s="228">
        <v>68</v>
      </c>
      <c r="BF13" s="229">
        <v>0.41980000000000001</v>
      </c>
      <c r="BG13" s="230">
        <v>37735</v>
      </c>
      <c r="BH13" s="230">
        <v>28552</v>
      </c>
      <c r="BI13" s="230">
        <v>9183</v>
      </c>
      <c r="BJ13" s="229">
        <v>0.3216</v>
      </c>
      <c r="BK13" s="230">
        <v>22629</v>
      </c>
      <c r="BL13" s="230">
        <v>11934</v>
      </c>
      <c r="BM13" s="230">
        <v>10695</v>
      </c>
      <c r="BN13" s="229">
        <v>0.8962</v>
      </c>
      <c r="BO13" s="230">
        <v>70550</v>
      </c>
      <c r="BP13" s="230">
        <v>46506</v>
      </c>
      <c r="BQ13" s="230">
        <v>24044</v>
      </c>
      <c r="BR13" s="229">
        <v>0.51700000000000002</v>
      </c>
      <c r="BS13" s="230">
        <v>11372615</v>
      </c>
      <c r="BT13" s="230">
        <v>12040467</v>
      </c>
      <c r="BU13" s="230">
        <v>-667852</v>
      </c>
      <c r="BV13" s="229">
        <v>-5.5500000000000001E-2</v>
      </c>
      <c r="BW13" s="230">
        <v>70181100</v>
      </c>
      <c r="BX13" s="230">
        <v>70398450</v>
      </c>
      <c r="BY13" s="230">
        <v>-217350</v>
      </c>
      <c r="BZ13" s="229">
        <v>-3.0999999999999999E-3</v>
      </c>
      <c r="CA13" s="230">
        <v>62379450</v>
      </c>
      <c r="CB13" s="230">
        <v>63724050</v>
      </c>
      <c r="CC13" s="230">
        <v>-1344600</v>
      </c>
      <c r="CD13" s="229">
        <v>-2.1100000000000001E-2</v>
      </c>
      <c r="CE13" s="230">
        <v>6952500</v>
      </c>
      <c r="CF13" s="230">
        <v>5817150</v>
      </c>
      <c r="CG13" s="230">
        <v>1135350</v>
      </c>
      <c r="CH13" s="229">
        <v>0.19520000000000001</v>
      </c>
      <c r="CI13" s="230">
        <v>849150</v>
      </c>
      <c r="CJ13" s="230">
        <v>857250</v>
      </c>
      <c r="CK13" s="230">
        <v>-8100</v>
      </c>
      <c r="CL13" s="229">
        <v>-9.4000000000000004E-3</v>
      </c>
      <c r="CM13" s="230">
        <v>44246250</v>
      </c>
      <c r="CN13" s="230">
        <v>45156150</v>
      </c>
      <c r="CO13" s="230">
        <v>-909900</v>
      </c>
      <c r="CP13" s="229">
        <v>-2.0199999999999999E-2</v>
      </c>
      <c r="CQ13" s="230">
        <v>28370250</v>
      </c>
      <c r="CR13" s="230">
        <v>25608150</v>
      </c>
      <c r="CS13" s="230">
        <v>2762100</v>
      </c>
      <c r="CT13" s="229">
        <v>0.1079</v>
      </c>
      <c r="CU13" s="230">
        <v>142797600</v>
      </c>
      <c r="CV13" s="230">
        <v>141162750</v>
      </c>
      <c r="CW13" s="230">
        <v>1634850</v>
      </c>
      <c r="CX13" s="229">
        <v>1.1599999999999999E-2</v>
      </c>
      <c r="CY13" s="228">
        <v>28.23</v>
      </c>
      <c r="CZ13" s="228">
        <v>30.76</v>
      </c>
      <c r="DA13" s="228">
        <v>-2.5299999999999998</v>
      </c>
      <c r="DB13" s="228">
        <v>-2.5299999999999998</v>
      </c>
      <c r="DC13" s="228">
        <v>31.03</v>
      </c>
      <c r="DD13" s="228">
        <v>31.03</v>
      </c>
      <c r="DE13" s="228">
        <v>-2.8</v>
      </c>
      <c r="DF13" s="228">
        <v>0</v>
      </c>
      <c r="DG13" s="228">
        <v>27.9</v>
      </c>
      <c r="DH13" s="228">
        <v>30.88</v>
      </c>
      <c r="DI13" s="228">
        <v>-2.98</v>
      </c>
      <c r="DJ13" s="228">
        <v>-2.98</v>
      </c>
      <c r="DK13" s="228">
        <v>28.78</v>
      </c>
      <c r="DL13" s="228">
        <v>30.48</v>
      </c>
      <c r="DM13" s="228">
        <v>-1.7</v>
      </c>
      <c r="DN13" s="228">
        <v>-1.7</v>
      </c>
      <c r="DO13" s="228">
        <v>0.64</v>
      </c>
      <c r="DP13" s="228">
        <v>0.56999999999999995</v>
      </c>
      <c r="DQ13" s="228">
        <v>7.0000000000000007E-2</v>
      </c>
      <c r="DR13" s="229">
        <v>0.12280000000000001</v>
      </c>
      <c r="DS13" s="228">
        <v>500</v>
      </c>
      <c r="DT13" s="228">
        <v>400</v>
      </c>
      <c r="DU13" s="228">
        <v>0.6</v>
      </c>
      <c r="DV13" s="228">
        <v>0.42</v>
      </c>
      <c r="DW13" s="228">
        <v>0.18</v>
      </c>
      <c r="DX13" s="229">
        <v>0.42859999999999998</v>
      </c>
      <c r="DY13" s="229">
        <v>0.11119999999999999</v>
      </c>
      <c r="DZ13" s="230">
        <v>6674400</v>
      </c>
      <c r="EA13" s="229">
        <v>-6.8999999999999999E-3</v>
      </c>
      <c r="EB13" s="229">
        <v>0.11119999999999999</v>
      </c>
      <c r="EC13" s="228">
        <v>-3.46</v>
      </c>
      <c r="ED13" s="229">
        <v>-7.9000000000000008E-3</v>
      </c>
      <c r="EE13" s="230">
        <v>6874068</v>
      </c>
      <c r="EF13" s="230">
        <v>8321483</v>
      </c>
      <c r="EG13" s="229">
        <v>-0.1739</v>
      </c>
      <c r="EH13" s="229">
        <v>0.60440000000000005</v>
      </c>
      <c r="EI13" s="231">
        <v>230962.89</v>
      </c>
      <c r="EJ13" s="231">
        <v>132758.07</v>
      </c>
      <c r="EK13" s="231">
        <v>60060.44</v>
      </c>
      <c r="EL13" s="231">
        <v>10549</v>
      </c>
      <c r="EM13" s="231">
        <v>423781.4</v>
      </c>
      <c r="EN13" s="231">
        <v>281903.92</v>
      </c>
      <c r="EO13" s="231">
        <v>141877.48000000001</v>
      </c>
      <c r="EP13" s="229">
        <v>0.50329999999999997</v>
      </c>
      <c r="EQ13" s="231">
        <v>206794</v>
      </c>
      <c r="ER13" s="231">
        <v>120940</v>
      </c>
      <c r="ES13" s="231">
        <v>308227</v>
      </c>
      <c r="ET13" s="231">
        <v>320531323</v>
      </c>
      <c r="EU13" s="231">
        <v>635962</v>
      </c>
      <c r="EV13" s="231">
        <v>623868</v>
      </c>
      <c r="EW13" s="231">
        <v>12094</v>
      </c>
      <c r="EX13" s="229">
        <v>1.9400000000000001E-2</v>
      </c>
      <c r="EY13" s="229">
        <v>0.44550000000000001</v>
      </c>
    </row>
    <row r="14" spans="1:155" ht="17.25" thickBot="1" x14ac:dyDescent="0.3">
      <c r="A14" s="226">
        <v>46129</v>
      </c>
      <c r="B14" s="227" t="s">
        <v>170</v>
      </c>
      <c r="C14" s="227" t="s">
        <v>208</v>
      </c>
      <c r="D14" s="231">
        <v>1231.8</v>
      </c>
      <c r="E14" s="231">
        <v>1221</v>
      </c>
      <c r="F14" s="228">
        <v>10.8</v>
      </c>
      <c r="G14" s="229">
        <v>8.8000000000000005E-3</v>
      </c>
      <c r="H14" s="231">
        <v>1235.7</v>
      </c>
      <c r="I14" s="231">
        <v>1221.4000000000001</v>
      </c>
      <c r="J14" s="228">
        <v>14.3</v>
      </c>
      <c r="K14" s="229">
        <v>1.17E-2</v>
      </c>
      <c r="L14" s="231">
        <v>1231.8</v>
      </c>
      <c r="M14" s="231">
        <v>1221</v>
      </c>
      <c r="N14" s="228">
        <v>10.8</v>
      </c>
      <c r="O14" s="229">
        <v>8.8000000000000005E-3</v>
      </c>
      <c r="P14" s="231">
        <v>1232.2</v>
      </c>
      <c r="Q14" s="231">
        <v>1222.3</v>
      </c>
      <c r="R14" s="228">
        <v>9.9</v>
      </c>
      <c r="S14" s="229">
        <v>8.0999999999999996E-3</v>
      </c>
      <c r="T14" s="231">
        <v>1236.0999999999999</v>
      </c>
      <c r="U14" s="231">
        <v>1225.5999999999999</v>
      </c>
      <c r="V14" s="228">
        <v>10.5</v>
      </c>
      <c r="W14" s="229">
        <v>8.6E-3</v>
      </c>
      <c r="X14" s="228">
        <v>-3.9</v>
      </c>
      <c r="Y14" s="228">
        <v>-0.4</v>
      </c>
      <c r="Z14" s="228">
        <v>-3.5</v>
      </c>
      <c r="AA14" s="229">
        <v>-3.2000000000000002E-3</v>
      </c>
      <c r="AB14" s="228">
        <v>-3.9</v>
      </c>
      <c r="AC14" s="228">
        <v>-0.4</v>
      </c>
      <c r="AD14" s="228">
        <v>-3.5</v>
      </c>
      <c r="AE14" s="229">
        <v>-3.2000000000000002E-3</v>
      </c>
      <c r="AF14" s="228">
        <v>-3.5</v>
      </c>
      <c r="AG14" s="228">
        <v>0.9</v>
      </c>
      <c r="AH14" s="228">
        <v>-4.4000000000000004</v>
      </c>
      <c r="AI14" s="229">
        <v>-2.8E-3</v>
      </c>
      <c r="AJ14" s="228">
        <v>0.4</v>
      </c>
      <c r="AK14" s="228">
        <v>4.2</v>
      </c>
      <c r="AL14" s="228">
        <v>-3.8</v>
      </c>
      <c r="AM14" s="229">
        <v>2.9999999999999997E-4</v>
      </c>
      <c r="AN14" s="231">
        <v>1226.95</v>
      </c>
      <c r="AO14" s="231">
        <v>1228.3800000000001</v>
      </c>
      <c r="AP14" s="228">
        <v>0</v>
      </c>
      <c r="AQ14" s="230">
        <v>3667</v>
      </c>
      <c r="AR14" s="230">
        <v>4319</v>
      </c>
      <c r="AS14" s="228">
        <v>-652</v>
      </c>
      <c r="AT14" s="229">
        <v>-0.151</v>
      </c>
      <c r="AU14" s="230">
        <v>2830</v>
      </c>
      <c r="AV14" s="230">
        <v>3518</v>
      </c>
      <c r="AW14" s="228">
        <v>-688</v>
      </c>
      <c r="AX14" s="229">
        <v>-0.1956</v>
      </c>
      <c r="AY14" s="228">
        <v>778</v>
      </c>
      <c r="AZ14" s="228">
        <v>735</v>
      </c>
      <c r="BA14" s="228">
        <v>43</v>
      </c>
      <c r="BB14" s="229">
        <v>5.8500000000000003E-2</v>
      </c>
      <c r="BC14" s="228">
        <v>59</v>
      </c>
      <c r="BD14" s="228">
        <v>66</v>
      </c>
      <c r="BE14" s="228">
        <v>-7</v>
      </c>
      <c r="BF14" s="229">
        <v>-0.1061</v>
      </c>
      <c r="BG14" s="230">
        <v>15352</v>
      </c>
      <c r="BH14" s="230">
        <v>14683</v>
      </c>
      <c r="BI14" s="228">
        <v>669</v>
      </c>
      <c r="BJ14" s="229">
        <v>4.5600000000000002E-2</v>
      </c>
      <c r="BK14" s="230">
        <v>6460</v>
      </c>
      <c r="BL14" s="230">
        <v>7557</v>
      </c>
      <c r="BM14" s="230">
        <v>-1097</v>
      </c>
      <c r="BN14" s="229">
        <v>-0.1452</v>
      </c>
      <c r="BO14" s="230">
        <v>25479</v>
      </c>
      <c r="BP14" s="230">
        <v>26559</v>
      </c>
      <c r="BQ14" s="230">
        <v>-1080</v>
      </c>
      <c r="BR14" s="229">
        <v>-4.07E-2</v>
      </c>
      <c r="BS14" s="230">
        <v>2640179</v>
      </c>
      <c r="BT14" s="230">
        <v>2097756</v>
      </c>
      <c r="BU14" s="230">
        <v>542423</v>
      </c>
      <c r="BV14" s="229">
        <v>0.2586</v>
      </c>
      <c r="BW14" s="230">
        <v>13813750</v>
      </c>
      <c r="BX14" s="230">
        <v>13536250</v>
      </c>
      <c r="BY14" s="230">
        <v>277500</v>
      </c>
      <c r="BZ14" s="229">
        <v>2.0500000000000001E-2</v>
      </c>
      <c r="CA14" s="230">
        <v>12841250</v>
      </c>
      <c r="CB14" s="230">
        <v>12741875</v>
      </c>
      <c r="CC14" s="230">
        <v>99375</v>
      </c>
      <c r="CD14" s="229">
        <v>7.7999999999999996E-3</v>
      </c>
      <c r="CE14" s="230">
        <v>848750</v>
      </c>
      <c r="CF14" s="230">
        <v>671250</v>
      </c>
      <c r="CG14" s="230">
        <v>177500</v>
      </c>
      <c r="CH14" s="229">
        <v>0.26440000000000002</v>
      </c>
      <c r="CI14" s="230">
        <v>123750</v>
      </c>
      <c r="CJ14" s="230">
        <v>123125</v>
      </c>
      <c r="CK14" s="228">
        <v>625</v>
      </c>
      <c r="CL14" s="229">
        <v>5.1000000000000004E-3</v>
      </c>
      <c r="CM14" s="230">
        <v>7251250</v>
      </c>
      <c r="CN14" s="230">
        <v>7154375</v>
      </c>
      <c r="CO14" s="230">
        <v>96875</v>
      </c>
      <c r="CP14" s="229">
        <v>1.35E-2</v>
      </c>
      <c r="CQ14" s="230">
        <v>5168125</v>
      </c>
      <c r="CR14" s="230">
        <v>5128125</v>
      </c>
      <c r="CS14" s="230">
        <v>40000</v>
      </c>
      <c r="CT14" s="229">
        <v>7.7999999999999996E-3</v>
      </c>
      <c r="CU14" s="230">
        <v>26233125</v>
      </c>
      <c r="CV14" s="230">
        <v>25818750</v>
      </c>
      <c r="CW14" s="230">
        <v>414375</v>
      </c>
      <c r="CX14" s="229">
        <v>1.6E-2</v>
      </c>
      <c r="CY14" s="228">
        <v>25.1</v>
      </c>
      <c r="CZ14" s="228">
        <v>25.77</v>
      </c>
      <c r="DA14" s="228">
        <v>-0.67</v>
      </c>
      <c r="DB14" s="228">
        <v>-0.67</v>
      </c>
      <c r="DC14" s="228">
        <v>26.04</v>
      </c>
      <c r="DD14" s="228">
        <v>26.06</v>
      </c>
      <c r="DE14" s="228">
        <v>-0.94</v>
      </c>
      <c r="DF14" s="228">
        <v>-0.02</v>
      </c>
      <c r="DG14" s="228">
        <v>24.76</v>
      </c>
      <c r="DH14" s="228">
        <v>25.58</v>
      </c>
      <c r="DI14" s="228">
        <v>-0.82</v>
      </c>
      <c r="DJ14" s="228">
        <v>-0.82</v>
      </c>
      <c r="DK14" s="228">
        <v>25.92</v>
      </c>
      <c r="DL14" s="228">
        <v>26.15</v>
      </c>
      <c r="DM14" s="228">
        <v>-0.23</v>
      </c>
      <c r="DN14" s="228">
        <v>-0.23</v>
      </c>
      <c r="DO14" s="228">
        <v>0.71</v>
      </c>
      <c r="DP14" s="228">
        <v>0.72</v>
      </c>
      <c r="DQ14" s="228">
        <v>-0.01</v>
      </c>
      <c r="DR14" s="229">
        <v>-1.3899999999999999E-2</v>
      </c>
      <c r="DS14" s="231">
        <v>1260</v>
      </c>
      <c r="DT14" s="231">
        <v>1200</v>
      </c>
      <c r="DU14" s="228">
        <v>0.42</v>
      </c>
      <c r="DV14" s="228">
        <v>0.51</v>
      </c>
      <c r="DW14" s="228">
        <v>-0.09</v>
      </c>
      <c r="DX14" s="229">
        <v>-0.17649999999999999</v>
      </c>
      <c r="DY14" s="229">
        <v>7.0400000000000004E-2</v>
      </c>
      <c r="DZ14" s="230">
        <v>794375</v>
      </c>
      <c r="EA14" s="229">
        <v>2.9999999999999997E-4</v>
      </c>
      <c r="EB14" s="229">
        <v>7.0400000000000004E-2</v>
      </c>
      <c r="EC14" s="228">
        <v>1.43</v>
      </c>
      <c r="ED14" s="229">
        <v>1.1999999999999999E-3</v>
      </c>
      <c r="EE14" s="230">
        <v>1809643</v>
      </c>
      <c r="EF14" s="230">
        <v>1075065</v>
      </c>
      <c r="EG14" s="229">
        <v>0.68330000000000002</v>
      </c>
      <c r="EH14" s="229">
        <v>0.68540000000000001</v>
      </c>
      <c r="EI14" s="231">
        <v>120971.58</v>
      </c>
      <c r="EJ14" s="231">
        <v>49254.53</v>
      </c>
      <c r="EK14" s="231">
        <v>28129.599999999999</v>
      </c>
      <c r="EL14" s="231">
        <v>4521</v>
      </c>
      <c r="EM14" s="231">
        <v>198355.71</v>
      </c>
      <c r="EN14" s="231">
        <v>205807.23</v>
      </c>
      <c r="EO14" s="231">
        <v>-7451.52</v>
      </c>
      <c r="EP14" s="229">
        <v>-3.6200000000000003E-2</v>
      </c>
      <c r="EQ14" s="231">
        <v>91443</v>
      </c>
      <c r="ER14" s="231">
        <v>61039</v>
      </c>
      <c r="ES14" s="231">
        <v>170166</v>
      </c>
      <c r="ET14" s="231">
        <v>61026255</v>
      </c>
      <c r="EU14" s="231">
        <v>322648</v>
      </c>
      <c r="EV14" s="231">
        <v>315987</v>
      </c>
      <c r="EW14" s="231">
        <v>6661</v>
      </c>
      <c r="EX14" s="229">
        <v>2.1100000000000001E-2</v>
      </c>
      <c r="EY14" s="229">
        <v>0.4299</v>
      </c>
    </row>
    <row r="15" spans="1:155" ht="17.25" thickBot="1" x14ac:dyDescent="0.3">
      <c r="A15" s="226">
        <v>46129</v>
      </c>
      <c r="B15" s="227" t="s">
        <v>162</v>
      </c>
      <c r="C15" s="227" t="s">
        <v>209</v>
      </c>
      <c r="D15" s="231">
        <v>7189.5</v>
      </c>
      <c r="E15" s="231">
        <v>7132.5</v>
      </c>
      <c r="F15" s="228">
        <v>57</v>
      </c>
      <c r="G15" s="229">
        <v>8.0000000000000002E-3</v>
      </c>
      <c r="H15" s="231">
        <v>7189.5</v>
      </c>
      <c r="I15" s="231">
        <v>7131</v>
      </c>
      <c r="J15" s="228">
        <v>58.5</v>
      </c>
      <c r="K15" s="229">
        <v>8.2000000000000007E-3</v>
      </c>
      <c r="L15" s="231">
        <v>7189.5</v>
      </c>
      <c r="M15" s="231">
        <v>7132.5</v>
      </c>
      <c r="N15" s="228">
        <v>57</v>
      </c>
      <c r="O15" s="229">
        <v>8.0000000000000002E-3</v>
      </c>
      <c r="P15" s="231">
        <v>7228.5</v>
      </c>
      <c r="Q15" s="231">
        <v>7174</v>
      </c>
      <c r="R15" s="228">
        <v>54.5</v>
      </c>
      <c r="S15" s="229">
        <v>7.6E-3</v>
      </c>
      <c r="T15" s="231">
        <v>7279</v>
      </c>
      <c r="U15" s="231">
        <v>7214</v>
      </c>
      <c r="V15" s="228">
        <v>65</v>
      </c>
      <c r="W15" s="229">
        <v>8.9999999999999993E-3</v>
      </c>
      <c r="X15" s="228">
        <v>0</v>
      </c>
      <c r="Y15" s="228">
        <v>1.5</v>
      </c>
      <c r="Z15" s="228">
        <v>-1.5</v>
      </c>
      <c r="AA15" s="229">
        <v>0</v>
      </c>
      <c r="AB15" s="228">
        <v>0</v>
      </c>
      <c r="AC15" s="228">
        <v>1.5</v>
      </c>
      <c r="AD15" s="228">
        <v>-1.5</v>
      </c>
      <c r="AE15" s="229">
        <v>0</v>
      </c>
      <c r="AF15" s="228">
        <v>39</v>
      </c>
      <c r="AG15" s="228">
        <v>43</v>
      </c>
      <c r="AH15" s="228">
        <v>-4</v>
      </c>
      <c r="AI15" s="229">
        <v>5.4000000000000003E-3</v>
      </c>
      <c r="AJ15" s="228">
        <v>89.5</v>
      </c>
      <c r="AK15" s="228">
        <v>83</v>
      </c>
      <c r="AL15" s="228">
        <v>6.5</v>
      </c>
      <c r="AM15" s="229">
        <v>1.24E-2</v>
      </c>
      <c r="AN15" s="231">
        <v>7170.41</v>
      </c>
      <c r="AO15" s="231">
        <v>7203.38</v>
      </c>
      <c r="AP15" s="228">
        <v>0</v>
      </c>
      <c r="AQ15" s="230">
        <v>4803</v>
      </c>
      <c r="AR15" s="230">
        <v>9603</v>
      </c>
      <c r="AS15" s="230">
        <v>-4800</v>
      </c>
      <c r="AT15" s="229">
        <v>-0.49980000000000002</v>
      </c>
      <c r="AU15" s="230">
        <v>3962</v>
      </c>
      <c r="AV15" s="230">
        <v>7088</v>
      </c>
      <c r="AW15" s="230">
        <v>-3126</v>
      </c>
      <c r="AX15" s="229">
        <v>-0.441</v>
      </c>
      <c r="AY15" s="228">
        <v>791</v>
      </c>
      <c r="AZ15" s="228">
        <v>455</v>
      </c>
      <c r="BA15" s="228">
        <v>336</v>
      </c>
      <c r="BB15" s="229">
        <v>0.73850000000000005</v>
      </c>
      <c r="BC15" s="228">
        <v>50</v>
      </c>
      <c r="BD15" s="230">
        <v>2060</v>
      </c>
      <c r="BE15" s="230">
        <v>-2010</v>
      </c>
      <c r="BF15" s="229">
        <v>-0.97570000000000001</v>
      </c>
      <c r="BG15" s="230">
        <v>32859</v>
      </c>
      <c r="BH15" s="230">
        <v>27726</v>
      </c>
      <c r="BI15" s="230">
        <v>5133</v>
      </c>
      <c r="BJ15" s="229">
        <v>0.18509999999999999</v>
      </c>
      <c r="BK15" s="230">
        <v>11013</v>
      </c>
      <c r="BL15" s="230">
        <v>14641</v>
      </c>
      <c r="BM15" s="230">
        <v>-3628</v>
      </c>
      <c r="BN15" s="229">
        <v>-0.24779999999999999</v>
      </c>
      <c r="BO15" s="230">
        <v>48675</v>
      </c>
      <c r="BP15" s="230">
        <v>51970</v>
      </c>
      <c r="BQ15" s="230">
        <v>-3295</v>
      </c>
      <c r="BR15" s="229">
        <v>-6.3399999999999998E-2</v>
      </c>
      <c r="BS15" s="230">
        <v>645766</v>
      </c>
      <c r="BT15" s="230">
        <v>600951</v>
      </c>
      <c r="BU15" s="230">
        <v>44815</v>
      </c>
      <c r="BV15" s="229">
        <v>7.46E-2</v>
      </c>
      <c r="BW15" s="230">
        <v>4294200</v>
      </c>
      <c r="BX15" s="230">
        <v>4352400</v>
      </c>
      <c r="BY15" s="230">
        <v>-58200</v>
      </c>
      <c r="BZ15" s="229">
        <v>-1.34E-2</v>
      </c>
      <c r="CA15" s="230">
        <v>3626900</v>
      </c>
      <c r="CB15" s="230">
        <v>3676900</v>
      </c>
      <c r="CC15" s="230">
        <v>-50000</v>
      </c>
      <c r="CD15" s="229">
        <v>-1.3599999999999999E-2</v>
      </c>
      <c r="CE15" s="230">
        <v>331600</v>
      </c>
      <c r="CF15" s="230">
        <v>339500</v>
      </c>
      <c r="CG15" s="230">
        <v>-7900</v>
      </c>
      <c r="CH15" s="229">
        <v>-2.3300000000000001E-2</v>
      </c>
      <c r="CI15" s="230">
        <v>335700</v>
      </c>
      <c r="CJ15" s="230">
        <v>336000</v>
      </c>
      <c r="CK15" s="228">
        <v>-300</v>
      </c>
      <c r="CL15" s="229">
        <v>-8.9999999999999998E-4</v>
      </c>
      <c r="CM15" s="230">
        <v>2321600</v>
      </c>
      <c r="CN15" s="230">
        <v>2323900</v>
      </c>
      <c r="CO15" s="230">
        <v>-2300</v>
      </c>
      <c r="CP15" s="229">
        <v>-1E-3</v>
      </c>
      <c r="CQ15" s="230">
        <v>1579400</v>
      </c>
      <c r="CR15" s="230">
        <v>1559600</v>
      </c>
      <c r="CS15" s="230">
        <v>19800</v>
      </c>
      <c r="CT15" s="229">
        <v>1.2699999999999999E-2</v>
      </c>
      <c r="CU15" s="230">
        <v>8195200</v>
      </c>
      <c r="CV15" s="230">
        <v>8235900</v>
      </c>
      <c r="CW15" s="230">
        <v>-40700</v>
      </c>
      <c r="CX15" s="229">
        <v>-4.8999999999999998E-3</v>
      </c>
      <c r="CY15" s="228">
        <v>30.63</v>
      </c>
      <c r="CZ15" s="228">
        <v>32.380000000000003</v>
      </c>
      <c r="DA15" s="228">
        <v>-1.75</v>
      </c>
      <c r="DB15" s="228">
        <v>-1.75</v>
      </c>
      <c r="DC15" s="228">
        <v>33.86</v>
      </c>
      <c r="DD15" s="228">
        <v>33.93</v>
      </c>
      <c r="DE15" s="228">
        <v>-3.23</v>
      </c>
      <c r="DF15" s="228">
        <v>-7.0000000000000007E-2</v>
      </c>
      <c r="DG15" s="228">
        <v>30.13</v>
      </c>
      <c r="DH15" s="228">
        <v>32.159999999999997</v>
      </c>
      <c r="DI15" s="228">
        <v>-2.0299999999999998</v>
      </c>
      <c r="DJ15" s="228">
        <v>-2.0299999999999998</v>
      </c>
      <c r="DK15" s="228">
        <v>32.15</v>
      </c>
      <c r="DL15" s="228">
        <v>32.81</v>
      </c>
      <c r="DM15" s="228">
        <v>-0.66</v>
      </c>
      <c r="DN15" s="228">
        <v>-0.66</v>
      </c>
      <c r="DO15" s="228">
        <v>0.68</v>
      </c>
      <c r="DP15" s="228">
        <v>0.67</v>
      </c>
      <c r="DQ15" s="228">
        <v>0.01</v>
      </c>
      <c r="DR15" s="229">
        <v>1.49E-2</v>
      </c>
      <c r="DS15" s="231">
        <v>8000</v>
      </c>
      <c r="DT15" s="231">
        <v>7100</v>
      </c>
      <c r="DU15" s="228">
        <v>0.34</v>
      </c>
      <c r="DV15" s="228">
        <v>0.53</v>
      </c>
      <c r="DW15" s="228">
        <v>-0.19</v>
      </c>
      <c r="DX15" s="229">
        <v>-0.35849999999999999</v>
      </c>
      <c r="DY15" s="229">
        <v>0.15540000000000001</v>
      </c>
      <c r="DZ15" s="230">
        <v>675500</v>
      </c>
      <c r="EA15" s="229">
        <v>5.4000000000000003E-3</v>
      </c>
      <c r="EB15" s="229">
        <v>0.15540000000000001</v>
      </c>
      <c r="EC15" s="228">
        <v>32.97</v>
      </c>
      <c r="ED15" s="229">
        <v>4.5999999999999999E-3</v>
      </c>
      <c r="EE15" s="230">
        <v>392238</v>
      </c>
      <c r="EF15" s="230">
        <v>301365</v>
      </c>
      <c r="EG15" s="229">
        <v>0.30149999999999999</v>
      </c>
      <c r="EH15" s="229">
        <v>0.60740000000000005</v>
      </c>
      <c r="EI15" s="231">
        <v>245530.93</v>
      </c>
      <c r="EJ15" s="231">
        <v>77446.83</v>
      </c>
      <c r="EK15" s="231">
        <v>34469.760000000002</v>
      </c>
      <c r="EL15" s="231">
        <v>8983</v>
      </c>
      <c r="EM15" s="231">
        <v>357447.52</v>
      </c>
      <c r="EN15" s="231">
        <v>378091.35</v>
      </c>
      <c r="EO15" s="231">
        <v>-20643.830000000002</v>
      </c>
      <c r="EP15" s="229">
        <v>-5.4600000000000003E-2</v>
      </c>
      <c r="EQ15" s="231">
        <v>172198</v>
      </c>
      <c r="ER15" s="231">
        <v>110050</v>
      </c>
      <c r="ES15" s="231">
        <v>309161</v>
      </c>
      <c r="ET15" s="231">
        <v>20960143</v>
      </c>
      <c r="EU15" s="231">
        <v>591409</v>
      </c>
      <c r="EV15" s="231">
        <v>591301</v>
      </c>
      <c r="EW15" s="228">
        <v>108</v>
      </c>
      <c r="EX15" s="229">
        <v>2.0000000000000001E-4</v>
      </c>
      <c r="EY15" s="229">
        <v>0.39100000000000001</v>
      </c>
    </row>
    <row r="16" spans="1:155" ht="17.25" thickBot="1" x14ac:dyDescent="0.3">
      <c r="A16" s="226">
        <v>46129</v>
      </c>
      <c r="B16" s="227" t="s">
        <v>614</v>
      </c>
      <c r="C16" s="227" t="s">
        <v>665</v>
      </c>
      <c r="D16" s="228">
        <v>252.59</v>
      </c>
      <c r="E16" s="228">
        <v>252.79</v>
      </c>
      <c r="F16" s="228">
        <v>-0.2</v>
      </c>
      <c r="G16" s="229">
        <v>-8.0000000000000004E-4</v>
      </c>
      <c r="H16" s="228">
        <v>252.61</v>
      </c>
      <c r="I16" s="228">
        <v>252.7</v>
      </c>
      <c r="J16" s="228">
        <v>-0.09</v>
      </c>
      <c r="K16" s="229">
        <v>-4.0000000000000002E-4</v>
      </c>
      <c r="L16" s="228">
        <v>252.59</v>
      </c>
      <c r="M16" s="228">
        <v>252.79</v>
      </c>
      <c r="N16" s="228">
        <v>-0.2</v>
      </c>
      <c r="O16" s="229">
        <v>-8.0000000000000004E-4</v>
      </c>
      <c r="P16" s="228">
        <v>253.93</v>
      </c>
      <c r="Q16" s="228">
        <v>254.23</v>
      </c>
      <c r="R16" s="228">
        <v>-0.3</v>
      </c>
      <c r="S16" s="229">
        <v>-1.1999999999999999E-3</v>
      </c>
      <c r="T16" s="228">
        <v>255.4</v>
      </c>
      <c r="U16" s="228">
        <v>255.68</v>
      </c>
      <c r="V16" s="228">
        <v>-0.28000000000000003</v>
      </c>
      <c r="W16" s="229">
        <v>-1.1000000000000001E-3</v>
      </c>
      <c r="X16" s="228">
        <v>-0.02</v>
      </c>
      <c r="Y16" s="228">
        <v>0.09</v>
      </c>
      <c r="Z16" s="228">
        <v>-0.11</v>
      </c>
      <c r="AA16" s="229">
        <v>-1E-4</v>
      </c>
      <c r="AB16" s="228">
        <v>-0.02</v>
      </c>
      <c r="AC16" s="228">
        <v>0.09</v>
      </c>
      <c r="AD16" s="228">
        <v>-0.11</v>
      </c>
      <c r="AE16" s="229">
        <v>-1E-4</v>
      </c>
      <c r="AF16" s="228">
        <v>1.32</v>
      </c>
      <c r="AG16" s="228">
        <v>1.53</v>
      </c>
      <c r="AH16" s="228">
        <v>-0.21</v>
      </c>
      <c r="AI16" s="229">
        <v>5.1999999999999998E-3</v>
      </c>
      <c r="AJ16" s="228">
        <v>2.79</v>
      </c>
      <c r="AK16" s="228">
        <v>2.98</v>
      </c>
      <c r="AL16" s="228">
        <v>-0.19</v>
      </c>
      <c r="AM16" s="229">
        <v>1.0999999999999999E-2</v>
      </c>
      <c r="AN16" s="228">
        <v>252.07</v>
      </c>
      <c r="AO16" s="228">
        <v>253.51</v>
      </c>
      <c r="AP16" s="228">
        <v>0</v>
      </c>
      <c r="AQ16" s="230">
        <v>14770</v>
      </c>
      <c r="AR16" s="230">
        <v>17309</v>
      </c>
      <c r="AS16" s="230">
        <v>-2539</v>
      </c>
      <c r="AT16" s="229">
        <v>-0.1467</v>
      </c>
      <c r="AU16" s="230">
        <v>13091</v>
      </c>
      <c r="AV16" s="230">
        <v>15517</v>
      </c>
      <c r="AW16" s="230">
        <v>-2426</v>
      </c>
      <c r="AX16" s="229">
        <v>-0.15629999999999999</v>
      </c>
      <c r="AY16" s="230">
        <v>1467</v>
      </c>
      <c r="AZ16" s="230">
        <v>1576</v>
      </c>
      <c r="BA16" s="228">
        <v>-109</v>
      </c>
      <c r="BB16" s="229">
        <v>-6.9199999999999998E-2</v>
      </c>
      <c r="BC16" s="228">
        <v>212</v>
      </c>
      <c r="BD16" s="228">
        <v>216</v>
      </c>
      <c r="BE16" s="228">
        <v>-4</v>
      </c>
      <c r="BF16" s="229">
        <v>-1.8499999999999999E-2</v>
      </c>
      <c r="BG16" s="230">
        <v>35498</v>
      </c>
      <c r="BH16" s="230">
        <v>48581</v>
      </c>
      <c r="BI16" s="230">
        <v>-13083</v>
      </c>
      <c r="BJ16" s="229">
        <v>-0.26929999999999998</v>
      </c>
      <c r="BK16" s="230">
        <v>17364</v>
      </c>
      <c r="BL16" s="230">
        <v>21020</v>
      </c>
      <c r="BM16" s="230">
        <v>-3656</v>
      </c>
      <c r="BN16" s="229">
        <v>-0.1739</v>
      </c>
      <c r="BO16" s="230">
        <v>67632</v>
      </c>
      <c r="BP16" s="230">
        <v>86910</v>
      </c>
      <c r="BQ16" s="230">
        <v>-19278</v>
      </c>
      <c r="BR16" s="229">
        <v>-0.2218</v>
      </c>
      <c r="BS16" s="230">
        <v>38278410</v>
      </c>
      <c r="BT16" s="230">
        <v>50157460</v>
      </c>
      <c r="BU16" s="230">
        <v>-11879050</v>
      </c>
      <c r="BV16" s="229">
        <v>-0.23680000000000001</v>
      </c>
      <c r="BW16" s="230">
        <v>195071850</v>
      </c>
      <c r="BX16" s="230">
        <v>199987325</v>
      </c>
      <c r="BY16" s="230">
        <v>-4915475</v>
      </c>
      <c r="BZ16" s="229">
        <v>-2.46E-2</v>
      </c>
      <c r="CA16" s="230">
        <v>176940125</v>
      </c>
      <c r="CB16" s="230">
        <v>182832875</v>
      </c>
      <c r="CC16" s="230">
        <v>-5892750</v>
      </c>
      <c r="CD16" s="229">
        <v>-3.2199999999999999E-2</v>
      </c>
      <c r="CE16" s="230">
        <v>15267800</v>
      </c>
      <c r="CF16" s="230">
        <v>14406925</v>
      </c>
      <c r="CG16" s="230">
        <v>860875</v>
      </c>
      <c r="CH16" s="229">
        <v>5.9799999999999999E-2</v>
      </c>
      <c r="CI16" s="230">
        <v>2863925</v>
      </c>
      <c r="CJ16" s="230">
        <v>2747525</v>
      </c>
      <c r="CK16" s="230">
        <v>116400</v>
      </c>
      <c r="CL16" s="229">
        <v>4.24E-2</v>
      </c>
      <c r="CM16" s="230">
        <v>64820250</v>
      </c>
      <c r="CN16" s="230">
        <v>63377375</v>
      </c>
      <c r="CO16" s="230">
        <v>1442875</v>
      </c>
      <c r="CP16" s="229">
        <v>2.2800000000000001E-2</v>
      </c>
      <c r="CQ16" s="230">
        <v>50653400</v>
      </c>
      <c r="CR16" s="230">
        <v>49925900</v>
      </c>
      <c r="CS16" s="230">
        <v>727500</v>
      </c>
      <c r="CT16" s="229">
        <v>1.46E-2</v>
      </c>
      <c r="CU16" s="230">
        <v>310545500</v>
      </c>
      <c r="CV16" s="230">
        <v>313290600</v>
      </c>
      <c r="CW16" s="230">
        <v>-2745100</v>
      </c>
      <c r="CX16" s="229">
        <v>-8.8000000000000005E-3</v>
      </c>
      <c r="CY16" s="228">
        <v>44.57</v>
      </c>
      <c r="CZ16" s="228">
        <v>46.37</v>
      </c>
      <c r="DA16" s="228">
        <v>-1.8</v>
      </c>
      <c r="DB16" s="228">
        <v>-1.8</v>
      </c>
      <c r="DC16" s="228">
        <v>46.24</v>
      </c>
      <c r="DD16" s="228">
        <v>46.36</v>
      </c>
      <c r="DE16" s="228">
        <v>-1.67</v>
      </c>
      <c r="DF16" s="228">
        <v>-0.12</v>
      </c>
      <c r="DG16" s="228">
        <v>43.2</v>
      </c>
      <c r="DH16" s="228">
        <v>44.75</v>
      </c>
      <c r="DI16" s="228">
        <v>-1.55</v>
      </c>
      <c r="DJ16" s="228">
        <v>-1.55</v>
      </c>
      <c r="DK16" s="228">
        <v>47.37</v>
      </c>
      <c r="DL16" s="228">
        <v>50.12</v>
      </c>
      <c r="DM16" s="228">
        <v>-2.75</v>
      </c>
      <c r="DN16" s="228">
        <v>-2.75</v>
      </c>
      <c r="DO16" s="228">
        <v>0.78</v>
      </c>
      <c r="DP16" s="228">
        <v>0.79</v>
      </c>
      <c r="DQ16" s="228">
        <v>-0.01</v>
      </c>
      <c r="DR16" s="229">
        <v>-1.2699999999999999E-2</v>
      </c>
      <c r="DS16" s="228">
        <v>250</v>
      </c>
      <c r="DT16" s="228">
        <v>230</v>
      </c>
      <c r="DU16" s="228">
        <v>0.49</v>
      </c>
      <c r="DV16" s="228">
        <v>0.43</v>
      </c>
      <c r="DW16" s="228">
        <v>0.06</v>
      </c>
      <c r="DX16" s="229">
        <v>0.13950000000000001</v>
      </c>
      <c r="DY16" s="229">
        <v>9.2899999999999996E-2</v>
      </c>
      <c r="DZ16" s="230">
        <v>17154450</v>
      </c>
      <c r="EA16" s="229">
        <v>5.3E-3</v>
      </c>
      <c r="EB16" s="229">
        <v>9.2899999999999996E-2</v>
      </c>
      <c r="EC16" s="228">
        <v>1.44</v>
      </c>
      <c r="ED16" s="229">
        <v>5.7000000000000002E-3</v>
      </c>
      <c r="EE16" s="230">
        <v>18585012</v>
      </c>
      <c r="EF16" s="230">
        <v>21475461</v>
      </c>
      <c r="EG16" s="229">
        <v>-0.1346</v>
      </c>
      <c r="EH16" s="229">
        <v>0.48549999999999999</v>
      </c>
      <c r="EI16" s="231">
        <v>228323.9</v>
      </c>
      <c r="EJ16" s="231">
        <v>104332.44</v>
      </c>
      <c r="EK16" s="231">
        <v>90349.59</v>
      </c>
      <c r="EL16" s="231">
        <v>13526</v>
      </c>
      <c r="EM16" s="231">
        <v>423005.93</v>
      </c>
      <c r="EN16" s="231">
        <v>540848.52</v>
      </c>
      <c r="EO16" s="231">
        <v>-117842.59</v>
      </c>
      <c r="EP16" s="229">
        <v>-0.21790000000000001</v>
      </c>
      <c r="EQ16" s="231">
        <v>165124</v>
      </c>
      <c r="ER16" s="231">
        <v>120970</v>
      </c>
      <c r="ES16" s="231">
        <v>493017</v>
      </c>
      <c r="ET16" s="231">
        <v>1366821859</v>
      </c>
      <c r="EU16" s="231">
        <v>779111</v>
      </c>
      <c r="EV16" s="231">
        <v>786087</v>
      </c>
      <c r="EW16" s="231">
        <v>-6976</v>
      </c>
      <c r="EX16" s="229">
        <v>-8.8999999999999999E-3</v>
      </c>
      <c r="EY16" s="229">
        <v>0.22720000000000001</v>
      </c>
    </row>
    <row r="17" spans="1:155" ht="17.25" thickBot="1" x14ac:dyDescent="0.3">
      <c r="A17" s="226">
        <v>46129</v>
      </c>
      <c r="B17" s="227" t="s">
        <v>157</v>
      </c>
      <c r="C17" s="227" t="s">
        <v>219</v>
      </c>
      <c r="D17" s="231">
        <v>2726.6</v>
      </c>
      <c r="E17" s="231">
        <v>2723.8</v>
      </c>
      <c r="F17" s="228">
        <v>2.8</v>
      </c>
      <c r="G17" s="229">
        <v>1E-3</v>
      </c>
      <c r="H17" s="231">
        <v>2720.5</v>
      </c>
      <c r="I17" s="231">
        <v>2717.3</v>
      </c>
      <c r="J17" s="228">
        <v>3.2</v>
      </c>
      <c r="K17" s="229">
        <v>1.1999999999999999E-3</v>
      </c>
      <c r="L17" s="231">
        <v>2726.6</v>
      </c>
      <c r="M17" s="231">
        <v>2723.8</v>
      </c>
      <c r="N17" s="228">
        <v>2.8</v>
      </c>
      <c r="O17" s="229">
        <v>1E-3</v>
      </c>
      <c r="P17" s="231">
        <v>2739.8</v>
      </c>
      <c r="Q17" s="231">
        <v>2739.2</v>
      </c>
      <c r="R17" s="228">
        <v>0.6</v>
      </c>
      <c r="S17" s="229">
        <v>2.0000000000000001E-4</v>
      </c>
      <c r="T17" s="231">
        <v>2753.7</v>
      </c>
      <c r="U17" s="231">
        <v>2755.6</v>
      </c>
      <c r="V17" s="228">
        <v>-1.9</v>
      </c>
      <c r="W17" s="229">
        <v>-6.9999999999999999E-4</v>
      </c>
      <c r="X17" s="228">
        <v>6.1</v>
      </c>
      <c r="Y17" s="228">
        <v>6.5</v>
      </c>
      <c r="Z17" s="228">
        <v>-0.4</v>
      </c>
      <c r="AA17" s="229">
        <v>2.2000000000000001E-3</v>
      </c>
      <c r="AB17" s="228">
        <v>6.1</v>
      </c>
      <c r="AC17" s="228">
        <v>6.5</v>
      </c>
      <c r="AD17" s="228">
        <v>-0.4</v>
      </c>
      <c r="AE17" s="229">
        <v>2.2000000000000001E-3</v>
      </c>
      <c r="AF17" s="228">
        <v>19.3</v>
      </c>
      <c r="AG17" s="228">
        <v>21.9</v>
      </c>
      <c r="AH17" s="228">
        <v>-2.6</v>
      </c>
      <c r="AI17" s="229">
        <v>7.1000000000000004E-3</v>
      </c>
      <c r="AJ17" s="228">
        <v>33.200000000000003</v>
      </c>
      <c r="AK17" s="228">
        <v>38.299999999999997</v>
      </c>
      <c r="AL17" s="228">
        <v>-5.0999999999999996</v>
      </c>
      <c r="AM17" s="229">
        <v>1.2200000000000001E-2</v>
      </c>
      <c r="AN17" s="231">
        <v>2726.43</v>
      </c>
      <c r="AO17" s="231">
        <v>2742.2</v>
      </c>
      <c r="AP17" s="228">
        <v>0</v>
      </c>
      <c r="AQ17" s="230">
        <v>1990</v>
      </c>
      <c r="AR17" s="230">
        <v>14905</v>
      </c>
      <c r="AS17" s="230">
        <v>-12915</v>
      </c>
      <c r="AT17" s="229">
        <v>-0.86650000000000005</v>
      </c>
      <c r="AU17" s="230">
        <v>1682</v>
      </c>
      <c r="AV17" s="230">
        <v>8596</v>
      </c>
      <c r="AW17" s="230">
        <v>-6914</v>
      </c>
      <c r="AX17" s="229">
        <v>-0.80430000000000001</v>
      </c>
      <c r="AY17" s="228">
        <v>265</v>
      </c>
      <c r="AZ17" s="230">
        <v>5306</v>
      </c>
      <c r="BA17" s="230">
        <v>-5041</v>
      </c>
      <c r="BB17" s="229">
        <v>-0.95009999999999994</v>
      </c>
      <c r="BC17" s="228">
        <v>43</v>
      </c>
      <c r="BD17" s="230">
        <v>1003</v>
      </c>
      <c r="BE17" s="228">
        <v>-960</v>
      </c>
      <c r="BF17" s="229">
        <v>-0.95709999999999995</v>
      </c>
      <c r="BG17" s="230">
        <v>4999</v>
      </c>
      <c r="BH17" s="230">
        <v>12165</v>
      </c>
      <c r="BI17" s="230">
        <v>-7166</v>
      </c>
      <c r="BJ17" s="229">
        <v>-0.58909999999999996</v>
      </c>
      <c r="BK17" s="230">
        <v>2080</v>
      </c>
      <c r="BL17" s="230">
        <v>6810</v>
      </c>
      <c r="BM17" s="230">
        <v>-4730</v>
      </c>
      <c r="BN17" s="229">
        <v>-0.6946</v>
      </c>
      <c r="BO17" s="230">
        <v>9069</v>
      </c>
      <c r="BP17" s="230">
        <v>33880</v>
      </c>
      <c r="BQ17" s="230">
        <v>-24811</v>
      </c>
      <c r="BR17" s="229">
        <v>-0.73229999999999995</v>
      </c>
      <c r="BS17" s="230">
        <v>442157</v>
      </c>
      <c r="BT17" s="230">
        <v>816612</v>
      </c>
      <c r="BU17" s="230">
        <v>-374455</v>
      </c>
      <c r="BV17" s="229">
        <v>-0.45850000000000002</v>
      </c>
      <c r="BW17" s="230">
        <v>14148500</v>
      </c>
      <c r="BX17" s="230">
        <v>14074000</v>
      </c>
      <c r="BY17" s="230">
        <v>74500</v>
      </c>
      <c r="BZ17" s="229">
        <v>5.3E-3</v>
      </c>
      <c r="CA17" s="230">
        <v>12221750</v>
      </c>
      <c r="CB17" s="230">
        <v>12179750</v>
      </c>
      <c r="CC17" s="230">
        <v>42000</v>
      </c>
      <c r="CD17" s="229">
        <v>3.3999999999999998E-3</v>
      </c>
      <c r="CE17" s="230">
        <v>1558500</v>
      </c>
      <c r="CF17" s="230">
        <v>1529000</v>
      </c>
      <c r="CG17" s="230">
        <v>29500</v>
      </c>
      <c r="CH17" s="229">
        <v>1.9300000000000001E-2</v>
      </c>
      <c r="CI17" s="230">
        <v>368250</v>
      </c>
      <c r="CJ17" s="230">
        <v>365250</v>
      </c>
      <c r="CK17" s="230">
        <v>3000</v>
      </c>
      <c r="CL17" s="229">
        <v>8.2000000000000007E-3</v>
      </c>
      <c r="CM17" s="230">
        <v>1701000</v>
      </c>
      <c r="CN17" s="230">
        <v>1748000</v>
      </c>
      <c r="CO17" s="230">
        <v>-47000</v>
      </c>
      <c r="CP17" s="229">
        <v>-2.69E-2</v>
      </c>
      <c r="CQ17" s="230">
        <v>1234250</v>
      </c>
      <c r="CR17" s="230">
        <v>1280750</v>
      </c>
      <c r="CS17" s="230">
        <v>-46500</v>
      </c>
      <c r="CT17" s="229">
        <v>-3.6299999999999999E-2</v>
      </c>
      <c r="CU17" s="230">
        <v>17083750</v>
      </c>
      <c r="CV17" s="230">
        <v>17102750</v>
      </c>
      <c r="CW17" s="230">
        <v>-19000</v>
      </c>
      <c r="CX17" s="229">
        <v>-1.1000000000000001E-3</v>
      </c>
      <c r="CY17" s="228">
        <v>26.85</v>
      </c>
      <c r="CZ17" s="228">
        <v>28.24</v>
      </c>
      <c r="DA17" s="228">
        <v>-1.39</v>
      </c>
      <c r="DB17" s="228">
        <v>-1.39</v>
      </c>
      <c r="DC17" s="228">
        <v>28.37</v>
      </c>
      <c r="DD17" s="228">
        <v>28.44</v>
      </c>
      <c r="DE17" s="228">
        <v>-1.52</v>
      </c>
      <c r="DF17" s="228">
        <v>-7.0000000000000007E-2</v>
      </c>
      <c r="DG17" s="228">
        <v>26.37</v>
      </c>
      <c r="DH17" s="228">
        <v>27.85</v>
      </c>
      <c r="DI17" s="228">
        <v>-1.48</v>
      </c>
      <c r="DJ17" s="228">
        <v>-1.48</v>
      </c>
      <c r="DK17" s="228">
        <v>28</v>
      </c>
      <c r="DL17" s="228">
        <v>28.94</v>
      </c>
      <c r="DM17" s="228">
        <v>-0.94</v>
      </c>
      <c r="DN17" s="228">
        <v>-0.94</v>
      </c>
      <c r="DO17" s="228">
        <v>0.73</v>
      </c>
      <c r="DP17" s="228">
        <v>0.73</v>
      </c>
      <c r="DQ17" s="228">
        <v>0</v>
      </c>
      <c r="DR17" s="229">
        <v>0</v>
      </c>
      <c r="DS17" s="231">
        <v>2800</v>
      </c>
      <c r="DT17" s="231">
        <v>2600</v>
      </c>
      <c r="DU17" s="228">
        <v>0.42</v>
      </c>
      <c r="DV17" s="228">
        <v>0.56000000000000005</v>
      </c>
      <c r="DW17" s="228">
        <v>-0.14000000000000001</v>
      </c>
      <c r="DX17" s="229">
        <v>-0.25</v>
      </c>
      <c r="DY17" s="229">
        <v>0.13619999999999999</v>
      </c>
      <c r="DZ17" s="230">
        <v>1894250</v>
      </c>
      <c r="EA17" s="229">
        <v>4.7999999999999996E-3</v>
      </c>
      <c r="EB17" s="229">
        <v>0.13619999999999999</v>
      </c>
      <c r="EC17" s="228">
        <v>15.77</v>
      </c>
      <c r="ED17" s="229">
        <v>5.7999999999999996E-3</v>
      </c>
      <c r="EE17" s="230">
        <v>248174</v>
      </c>
      <c r="EF17" s="230">
        <v>489939</v>
      </c>
      <c r="EG17" s="229">
        <v>-0.49349999999999999</v>
      </c>
      <c r="EH17" s="229">
        <v>0.56130000000000002</v>
      </c>
      <c r="EI17" s="231">
        <v>35081.26</v>
      </c>
      <c r="EJ17" s="231">
        <v>14094.84</v>
      </c>
      <c r="EK17" s="231">
        <v>13577.45</v>
      </c>
      <c r="EL17" s="231">
        <v>5753</v>
      </c>
      <c r="EM17" s="231">
        <v>62753.55</v>
      </c>
      <c r="EN17" s="231">
        <v>234786.54</v>
      </c>
      <c r="EO17" s="231">
        <v>-172032.99</v>
      </c>
      <c r="EP17" s="229">
        <v>-0.73270000000000002</v>
      </c>
      <c r="EQ17" s="231">
        <v>47549</v>
      </c>
      <c r="ER17" s="231">
        <v>31885</v>
      </c>
      <c r="ES17" s="231">
        <v>386079</v>
      </c>
      <c r="ET17" s="231">
        <v>38401443</v>
      </c>
      <c r="EU17" s="231">
        <v>465512</v>
      </c>
      <c r="EV17" s="231">
        <v>465459</v>
      </c>
      <c r="EW17" s="228">
        <v>53</v>
      </c>
      <c r="EX17" s="229">
        <v>1E-4</v>
      </c>
      <c r="EY17" s="229">
        <v>0.44490000000000002</v>
      </c>
    </row>
    <row r="18" spans="1:155" ht="17.25" thickBot="1" x14ac:dyDescent="0.3">
      <c r="A18" s="226">
        <v>46129</v>
      </c>
      <c r="B18" s="227" t="s">
        <v>221</v>
      </c>
      <c r="C18" s="227" t="s">
        <v>222</v>
      </c>
      <c r="D18" s="231">
        <v>1415.3</v>
      </c>
      <c r="E18" s="231">
        <v>1420</v>
      </c>
      <c r="F18" s="228">
        <v>-4.7</v>
      </c>
      <c r="G18" s="229">
        <v>-3.3E-3</v>
      </c>
      <c r="H18" s="231">
        <v>1442.3</v>
      </c>
      <c r="I18" s="231">
        <v>1450.2</v>
      </c>
      <c r="J18" s="228">
        <v>-7.9</v>
      </c>
      <c r="K18" s="229">
        <v>-5.4000000000000003E-3</v>
      </c>
      <c r="L18" s="231">
        <v>1415.3</v>
      </c>
      <c r="M18" s="231">
        <v>1420</v>
      </c>
      <c r="N18" s="228">
        <v>-4.7</v>
      </c>
      <c r="O18" s="229">
        <v>-3.3E-3</v>
      </c>
      <c r="P18" s="231">
        <v>1402.4</v>
      </c>
      <c r="Q18" s="231">
        <v>1406.4</v>
      </c>
      <c r="R18" s="228">
        <v>-4</v>
      </c>
      <c r="S18" s="229">
        <v>-2.8E-3</v>
      </c>
      <c r="T18" s="231">
        <v>1398.2</v>
      </c>
      <c r="U18" s="231">
        <v>1397.7</v>
      </c>
      <c r="V18" s="228">
        <v>0.5</v>
      </c>
      <c r="W18" s="229">
        <v>4.0000000000000002E-4</v>
      </c>
      <c r="X18" s="228">
        <v>-27</v>
      </c>
      <c r="Y18" s="228">
        <v>-30.2</v>
      </c>
      <c r="Z18" s="228">
        <v>3.2</v>
      </c>
      <c r="AA18" s="229">
        <v>-1.8700000000000001E-2</v>
      </c>
      <c r="AB18" s="228">
        <v>-27</v>
      </c>
      <c r="AC18" s="228">
        <v>-30.2</v>
      </c>
      <c r="AD18" s="228">
        <v>3.2</v>
      </c>
      <c r="AE18" s="229">
        <v>-1.8700000000000001E-2</v>
      </c>
      <c r="AF18" s="228">
        <v>-39.9</v>
      </c>
      <c r="AG18" s="228">
        <v>-43.8</v>
      </c>
      <c r="AH18" s="228">
        <v>3.9</v>
      </c>
      <c r="AI18" s="229">
        <v>-2.7699999999999999E-2</v>
      </c>
      <c r="AJ18" s="228">
        <v>-44.1</v>
      </c>
      <c r="AK18" s="228">
        <v>-52.5</v>
      </c>
      <c r="AL18" s="228">
        <v>8.4</v>
      </c>
      <c r="AM18" s="229">
        <v>-3.0599999999999999E-2</v>
      </c>
      <c r="AN18" s="231">
        <v>1412.66</v>
      </c>
      <c r="AO18" s="231">
        <v>1398.23</v>
      </c>
      <c r="AP18" s="228">
        <v>0</v>
      </c>
      <c r="AQ18" s="230">
        <v>20164</v>
      </c>
      <c r="AR18" s="230">
        <v>31143</v>
      </c>
      <c r="AS18" s="230">
        <v>-10979</v>
      </c>
      <c r="AT18" s="229">
        <v>-0.35249999999999998</v>
      </c>
      <c r="AU18" s="230">
        <v>15811</v>
      </c>
      <c r="AV18" s="230">
        <v>25421</v>
      </c>
      <c r="AW18" s="230">
        <v>-9610</v>
      </c>
      <c r="AX18" s="229">
        <v>-0.378</v>
      </c>
      <c r="AY18" s="230">
        <v>4268</v>
      </c>
      <c r="AZ18" s="230">
        <v>5505</v>
      </c>
      <c r="BA18" s="230">
        <v>-1237</v>
      </c>
      <c r="BB18" s="229">
        <v>-0.22470000000000001</v>
      </c>
      <c r="BC18" s="228">
        <v>85</v>
      </c>
      <c r="BD18" s="228">
        <v>217</v>
      </c>
      <c r="BE18" s="228">
        <v>-132</v>
      </c>
      <c r="BF18" s="229">
        <v>-0.60829999999999995</v>
      </c>
      <c r="BG18" s="230">
        <v>29358</v>
      </c>
      <c r="BH18" s="230">
        <v>42857</v>
      </c>
      <c r="BI18" s="230">
        <v>-13499</v>
      </c>
      <c r="BJ18" s="229">
        <v>-0.315</v>
      </c>
      <c r="BK18" s="230">
        <v>16450</v>
      </c>
      <c r="BL18" s="230">
        <v>23955</v>
      </c>
      <c r="BM18" s="230">
        <v>-7505</v>
      </c>
      <c r="BN18" s="229">
        <v>-0.31330000000000002</v>
      </c>
      <c r="BO18" s="230">
        <v>65972</v>
      </c>
      <c r="BP18" s="230">
        <v>97955</v>
      </c>
      <c r="BQ18" s="230">
        <v>-31983</v>
      </c>
      <c r="BR18" s="229">
        <v>-0.32650000000000001</v>
      </c>
      <c r="BS18" s="230">
        <v>3608781</v>
      </c>
      <c r="BT18" s="230">
        <v>5371927</v>
      </c>
      <c r="BU18" s="230">
        <v>-1763146</v>
      </c>
      <c r="BV18" s="229">
        <v>-0.32819999999999999</v>
      </c>
      <c r="BW18" s="230">
        <v>42867300</v>
      </c>
      <c r="BX18" s="230">
        <v>41508950</v>
      </c>
      <c r="BY18" s="230">
        <v>1358350</v>
      </c>
      <c r="BZ18" s="229">
        <v>3.27E-2</v>
      </c>
      <c r="CA18" s="230">
        <v>36706600</v>
      </c>
      <c r="CB18" s="230">
        <v>36147650</v>
      </c>
      <c r="CC18" s="230">
        <v>558950</v>
      </c>
      <c r="CD18" s="229">
        <v>1.55E-2</v>
      </c>
      <c r="CE18" s="230">
        <v>5937400</v>
      </c>
      <c r="CF18" s="230">
        <v>5150950</v>
      </c>
      <c r="CG18" s="230">
        <v>786450</v>
      </c>
      <c r="CH18" s="229">
        <v>0.1527</v>
      </c>
      <c r="CI18" s="230">
        <v>223300</v>
      </c>
      <c r="CJ18" s="230">
        <v>210350</v>
      </c>
      <c r="CK18" s="230">
        <v>12950</v>
      </c>
      <c r="CL18" s="229">
        <v>6.1600000000000002E-2</v>
      </c>
      <c r="CM18" s="230">
        <v>7123550</v>
      </c>
      <c r="CN18" s="230">
        <v>6675200</v>
      </c>
      <c r="CO18" s="230">
        <v>448350</v>
      </c>
      <c r="CP18" s="229">
        <v>6.7199999999999996E-2</v>
      </c>
      <c r="CQ18" s="230">
        <v>5924100</v>
      </c>
      <c r="CR18" s="230">
        <v>5715150</v>
      </c>
      <c r="CS18" s="230">
        <v>208950</v>
      </c>
      <c r="CT18" s="229">
        <v>3.6600000000000001E-2</v>
      </c>
      <c r="CU18" s="230">
        <v>55914950</v>
      </c>
      <c r="CV18" s="230">
        <v>53899300</v>
      </c>
      <c r="CW18" s="230">
        <v>2015650</v>
      </c>
      <c r="CX18" s="229">
        <v>3.7400000000000003E-2</v>
      </c>
      <c r="CY18" s="228">
        <v>35.65</v>
      </c>
      <c r="CZ18" s="228">
        <v>35.14</v>
      </c>
      <c r="DA18" s="228">
        <v>0.51</v>
      </c>
      <c r="DB18" s="228">
        <v>0.51</v>
      </c>
      <c r="DC18" s="228">
        <v>29.34</v>
      </c>
      <c r="DD18" s="228">
        <v>29.4</v>
      </c>
      <c r="DE18" s="228">
        <v>6.31</v>
      </c>
      <c r="DF18" s="228">
        <v>-0.06</v>
      </c>
      <c r="DG18" s="228">
        <v>35.47</v>
      </c>
      <c r="DH18" s="228">
        <v>34.56</v>
      </c>
      <c r="DI18" s="228">
        <v>0.91</v>
      </c>
      <c r="DJ18" s="228">
        <v>0.91</v>
      </c>
      <c r="DK18" s="228">
        <v>35.979999999999997</v>
      </c>
      <c r="DL18" s="228">
        <v>36.18</v>
      </c>
      <c r="DM18" s="228">
        <v>-0.2</v>
      </c>
      <c r="DN18" s="228">
        <v>-0.2</v>
      </c>
      <c r="DO18" s="228">
        <v>0.83</v>
      </c>
      <c r="DP18" s="228">
        <v>0.86</v>
      </c>
      <c r="DQ18" s="228">
        <v>-0.03</v>
      </c>
      <c r="DR18" s="229">
        <v>-3.49E-2</v>
      </c>
      <c r="DS18" s="231">
        <v>1440</v>
      </c>
      <c r="DT18" s="231">
        <v>1400</v>
      </c>
      <c r="DU18" s="228">
        <v>0.56000000000000005</v>
      </c>
      <c r="DV18" s="228">
        <v>0.56000000000000005</v>
      </c>
      <c r="DW18" s="228">
        <v>0</v>
      </c>
      <c r="DX18" s="229">
        <v>0</v>
      </c>
      <c r="DY18" s="229">
        <v>0.14369999999999999</v>
      </c>
      <c r="DZ18" s="230">
        <v>5361300</v>
      </c>
      <c r="EA18" s="229">
        <v>-9.1000000000000004E-3</v>
      </c>
      <c r="EB18" s="229">
        <v>0.14369999999999999</v>
      </c>
      <c r="EC18" s="228">
        <v>-14.43</v>
      </c>
      <c r="ED18" s="229">
        <v>-1.0200000000000001E-2</v>
      </c>
      <c r="EE18" s="230">
        <v>2104908</v>
      </c>
      <c r="EF18" s="230">
        <v>3004978</v>
      </c>
      <c r="EG18" s="229">
        <v>-0.29949999999999999</v>
      </c>
      <c r="EH18" s="229">
        <v>0.58330000000000004</v>
      </c>
      <c r="EI18" s="231">
        <v>152306.97</v>
      </c>
      <c r="EJ18" s="231">
        <v>81840.289999999994</v>
      </c>
      <c r="EK18" s="231">
        <v>99475.79</v>
      </c>
      <c r="EL18" s="231">
        <v>20055</v>
      </c>
      <c r="EM18" s="231">
        <v>333623.05</v>
      </c>
      <c r="EN18" s="231">
        <v>496293.89</v>
      </c>
      <c r="EO18" s="231">
        <v>-162670.84</v>
      </c>
      <c r="EP18" s="229">
        <v>-0.32779999999999998</v>
      </c>
      <c r="EQ18" s="231">
        <v>104221</v>
      </c>
      <c r="ER18" s="231">
        <v>80650</v>
      </c>
      <c r="ES18" s="231">
        <v>605897</v>
      </c>
      <c r="ET18" s="231">
        <v>145140505</v>
      </c>
      <c r="EU18" s="231">
        <v>790768</v>
      </c>
      <c r="EV18" s="231">
        <v>764042</v>
      </c>
      <c r="EW18" s="231">
        <v>26726</v>
      </c>
      <c r="EX18" s="229">
        <v>3.5000000000000003E-2</v>
      </c>
      <c r="EY18" s="229">
        <v>0.38519999999999999</v>
      </c>
    </row>
    <row r="19" spans="1:155" ht="17.25" thickBot="1" x14ac:dyDescent="0.3">
      <c r="A19" s="226">
        <v>46129</v>
      </c>
      <c r="B19" s="227" t="s">
        <v>172</v>
      </c>
      <c r="C19" s="227" t="s">
        <v>224</v>
      </c>
      <c r="D19" s="228">
        <v>801.6</v>
      </c>
      <c r="E19" s="228">
        <v>795.85</v>
      </c>
      <c r="F19" s="228">
        <v>5.75</v>
      </c>
      <c r="G19" s="229">
        <v>7.1999999999999998E-3</v>
      </c>
      <c r="H19" s="228">
        <v>799.9</v>
      </c>
      <c r="I19" s="228">
        <v>795.45</v>
      </c>
      <c r="J19" s="228">
        <v>4.45</v>
      </c>
      <c r="K19" s="229">
        <v>5.5999999999999999E-3</v>
      </c>
      <c r="L19" s="228">
        <v>801.6</v>
      </c>
      <c r="M19" s="228">
        <v>795.85</v>
      </c>
      <c r="N19" s="228">
        <v>5.75</v>
      </c>
      <c r="O19" s="229">
        <v>7.1999999999999998E-3</v>
      </c>
      <c r="P19" s="228">
        <v>803.2</v>
      </c>
      <c r="Q19" s="228">
        <v>798.2</v>
      </c>
      <c r="R19" s="228">
        <v>5</v>
      </c>
      <c r="S19" s="229">
        <v>6.3E-3</v>
      </c>
      <c r="T19" s="228">
        <v>799.05</v>
      </c>
      <c r="U19" s="228">
        <v>793.4</v>
      </c>
      <c r="V19" s="228">
        <v>5.65</v>
      </c>
      <c r="W19" s="229">
        <v>7.1000000000000004E-3</v>
      </c>
      <c r="X19" s="228">
        <v>1.7</v>
      </c>
      <c r="Y19" s="228">
        <v>0.4</v>
      </c>
      <c r="Z19" s="228">
        <v>1.3</v>
      </c>
      <c r="AA19" s="229">
        <v>2.0999999999999999E-3</v>
      </c>
      <c r="AB19" s="228">
        <v>1.7</v>
      </c>
      <c r="AC19" s="228">
        <v>0.4</v>
      </c>
      <c r="AD19" s="228">
        <v>1.3</v>
      </c>
      <c r="AE19" s="229">
        <v>2.0999999999999999E-3</v>
      </c>
      <c r="AF19" s="228">
        <v>3.3</v>
      </c>
      <c r="AG19" s="228">
        <v>2.75</v>
      </c>
      <c r="AH19" s="228">
        <v>0.55000000000000004</v>
      </c>
      <c r="AI19" s="229">
        <v>4.1000000000000003E-3</v>
      </c>
      <c r="AJ19" s="228">
        <v>-0.85</v>
      </c>
      <c r="AK19" s="228">
        <v>-2.0499999999999998</v>
      </c>
      <c r="AL19" s="228">
        <v>1.2</v>
      </c>
      <c r="AM19" s="229">
        <v>-1.1000000000000001E-3</v>
      </c>
      <c r="AN19" s="228">
        <v>800.21</v>
      </c>
      <c r="AO19" s="228">
        <v>802.07</v>
      </c>
      <c r="AP19" s="228">
        <v>0</v>
      </c>
      <c r="AQ19" s="230">
        <v>60198</v>
      </c>
      <c r="AR19" s="230">
        <v>87943</v>
      </c>
      <c r="AS19" s="230">
        <v>-27745</v>
      </c>
      <c r="AT19" s="229">
        <v>-0.3155</v>
      </c>
      <c r="AU19" s="230">
        <v>47930</v>
      </c>
      <c r="AV19" s="230">
        <v>70914</v>
      </c>
      <c r="AW19" s="230">
        <v>-22984</v>
      </c>
      <c r="AX19" s="229">
        <v>-0.3241</v>
      </c>
      <c r="AY19" s="230">
        <v>10013</v>
      </c>
      <c r="AZ19" s="230">
        <v>12877</v>
      </c>
      <c r="BA19" s="230">
        <v>-2864</v>
      </c>
      <c r="BB19" s="229">
        <v>-0.22239999999999999</v>
      </c>
      <c r="BC19" s="230">
        <v>2255</v>
      </c>
      <c r="BD19" s="230">
        <v>4152</v>
      </c>
      <c r="BE19" s="230">
        <v>-1897</v>
      </c>
      <c r="BF19" s="229">
        <v>-0.45689999999999997</v>
      </c>
      <c r="BG19" s="230">
        <v>192383</v>
      </c>
      <c r="BH19" s="230">
        <v>136439</v>
      </c>
      <c r="BI19" s="230">
        <v>55944</v>
      </c>
      <c r="BJ19" s="229">
        <v>0.41</v>
      </c>
      <c r="BK19" s="230">
        <v>105347</v>
      </c>
      <c r="BL19" s="230">
        <v>89852</v>
      </c>
      <c r="BM19" s="230">
        <v>15495</v>
      </c>
      <c r="BN19" s="229">
        <v>0.17249999999999999</v>
      </c>
      <c r="BO19" s="230">
        <v>357928</v>
      </c>
      <c r="BP19" s="230">
        <v>314234</v>
      </c>
      <c r="BQ19" s="230">
        <v>43694</v>
      </c>
      <c r="BR19" s="229">
        <v>0.13900000000000001</v>
      </c>
      <c r="BS19" s="230">
        <v>38872616</v>
      </c>
      <c r="BT19" s="230">
        <v>68258590</v>
      </c>
      <c r="BU19" s="230">
        <v>-29385974</v>
      </c>
      <c r="BV19" s="229">
        <v>-0.43049999999999999</v>
      </c>
      <c r="BW19" s="230">
        <v>330540100</v>
      </c>
      <c r="BX19" s="230">
        <v>327433700</v>
      </c>
      <c r="BY19" s="230">
        <v>3106400</v>
      </c>
      <c r="BZ19" s="229">
        <v>9.4999999999999998E-3</v>
      </c>
      <c r="CA19" s="230">
        <v>288009150</v>
      </c>
      <c r="CB19" s="230">
        <v>289053050</v>
      </c>
      <c r="CC19" s="230">
        <v>-1043900</v>
      </c>
      <c r="CD19" s="229">
        <v>-3.5999999999999999E-3</v>
      </c>
      <c r="CE19" s="230">
        <v>24295700</v>
      </c>
      <c r="CF19" s="230">
        <v>20941250</v>
      </c>
      <c r="CG19" s="230">
        <v>3354450</v>
      </c>
      <c r="CH19" s="229">
        <v>0.16020000000000001</v>
      </c>
      <c r="CI19" s="230">
        <v>18235250</v>
      </c>
      <c r="CJ19" s="230">
        <v>17439400</v>
      </c>
      <c r="CK19" s="230">
        <v>795850</v>
      </c>
      <c r="CL19" s="229">
        <v>4.5600000000000002E-2</v>
      </c>
      <c r="CM19" s="230">
        <v>97987450</v>
      </c>
      <c r="CN19" s="230">
        <v>83305200</v>
      </c>
      <c r="CO19" s="230">
        <v>14682250</v>
      </c>
      <c r="CP19" s="229">
        <v>0.1762</v>
      </c>
      <c r="CQ19" s="230">
        <v>55635250</v>
      </c>
      <c r="CR19" s="230">
        <v>46867700</v>
      </c>
      <c r="CS19" s="230">
        <v>8767550</v>
      </c>
      <c r="CT19" s="229">
        <v>0.18709999999999999</v>
      </c>
      <c r="CU19" s="230">
        <v>484162800</v>
      </c>
      <c r="CV19" s="230">
        <v>457606600</v>
      </c>
      <c r="CW19" s="230">
        <v>26556200</v>
      </c>
      <c r="CX19" s="229">
        <v>5.8000000000000003E-2</v>
      </c>
      <c r="CY19" s="228">
        <v>34.020000000000003</v>
      </c>
      <c r="CZ19" s="228">
        <v>34.409999999999997</v>
      </c>
      <c r="DA19" s="228">
        <v>-0.39</v>
      </c>
      <c r="DB19" s="228">
        <v>-0.39</v>
      </c>
      <c r="DC19" s="228">
        <v>25.35</v>
      </c>
      <c r="DD19" s="228">
        <v>25.4</v>
      </c>
      <c r="DE19" s="228">
        <v>8.67</v>
      </c>
      <c r="DF19" s="228">
        <v>-0.05</v>
      </c>
      <c r="DG19" s="228">
        <v>34.22</v>
      </c>
      <c r="DH19" s="228">
        <v>34.56</v>
      </c>
      <c r="DI19" s="228">
        <v>-0.34</v>
      </c>
      <c r="DJ19" s="228">
        <v>-0.34</v>
      </c>
      <c r="DK19" s="228">
        <v>33.64</v>
      </c>
      <c r="DL19" s="228">
        <v>34.18</v>
      </c>
      <c r="DM19" s="228">
        <v>-0.54</v>
      </c>
      <c r="DN19" s="228">
        <v>-0.54</v>
      </c>
      <c r="DO19" s="228">
        <v>0.56999999999999995</v>
      </c>
      <c r="DP19" s="228">
        <v>0.56000000000000005</v>
      </c>
      <c r="DQ19" s="228">
        <v>0.01</v>
      </c>
      <c r="DR19" s="229">
        <v>1.7899999999999999E-2</v>
      </c>
      <c r="DS19" s="228">
        <v>800</v>
      </c>
      <c r="DT19" s="228">
        <v>800</v>
      </c>
      <c r="DU19" s="228">
        <v>0.55000000000000004</v>
      </c>
      <c r="DV19" s="228">
        <v>0.66</v>
      </c>
      <c r="DW19" s="228">
        <v>-0.11</v>
      </c>
      <c r="DX19" s="229">
        <v>-0.16669999999999999</v>
      </c>
      <c r="DY19" s="229">
        <v>0.12870000000000001</v>
      </c>
      <c r="DZ19" s="230">
        <v>38380650</v>
      </c>
      <c r="EA19" s="229">
        <v>2E-3</v>
      </c>
      <c r="EB19" s="229">
        <v>0.12870000000000001</v>
      </c>
      <c r="EC19" s="228">
        <v>1.86</v>
      </c>
      <c r="ED19" s="229">
        <v>2.3E-3</v>
      </c>
      <c r="EE19" s="230">
        <v>24425141</v>
      </c>
      <c r="EF19" s="230">
        <v>28038753</v>
      </c>
      <c r="EG19" s="229">
        <v>-0.12889999999999999</v>
      </c>
      <c r="EH19" s="229">
        <v>0.62829999999999997</v>
      </c>
      <c r="EI19" s="231">
        <v>893494.45</v>
      </c>
      <c r="EJ19" s="231">
        <v>452381.98</v>
      </c>
      <c r="EK19" s="231">
        <v>265007.59000000003</v>
      </c>
      <c r="EL19" s="231">
        <v>56416</v>
      </c>
      <c r="EM19" s="231">
        <v>1610884.02</v>
      </c>
      <c r="EN19" s="231">
        <v>1410480.58</v>
      </c>
      <c r="EO19" s="231">
        <v>200403.44</v>
      </c>
      <c r="EP19" s="229">
        <v>0.1421</v>
      </c>
      <c r="EQ19" s="231">
        <v>821111</v>
      </c>
      <c r="ER19" s="231">
        <v>430385</v>
      </c>
      <c r="ES19" s="231">
        <v>2649533</v>
      </c>
      <c r="ET19" s="231">
        <v>1496665645</v>
      </c>
      <c r="EU19" s="231">
        <v>3901030</v>
      </c>
      <c r="EV19" s="231">
        <v>3666451</v>
      </c>
      <c r="EW19" s="231">
        <v>234579</v>
      </c>
      <c r="EX19" s="229">
        <v>6.4000000000000001E-2</v>
      </c>
      <c r="EY19" s="229">
        <v>0.32350000000000001</v>
      </c>
    </row>
    <row r="20" spans="1:155" ht="17.25" thickBot="1" x14ac:dyDescent="0.3">
      <c r="A20" s="226">
        <v>46129</v>
      </c>
      <c r="B20" s="227" t="s">
        <v>175</v>
      </c>
      <c r="C20" s="227" t="s">
        <v>225</v>
      </c>
      <c r="D20" s="228">
        <v>616.29999999999995</v>
      </c>
      <c r="E20" s="228">
        <v>633.1</v>
      </c>
      <c r="F20" s="228">
        <v>-16.8</v>
      </c>
      <c r="G20" s="229">
        <v>-2.6499999999999999E-2</v>
      </c>
      <c r="H20" s="228">
        <v>616.45000000000005</v>
      </c>
      <c r="I20" s="228">
        <v>631.5</v>
      </c>
      <c r="J20" s="228">
        <v>-15.05</v>
      </c>
      <c r="K20" s="229">
        <v>-2.3800000000000002E-2</v>
      </c>
      <c r="L20" s="228">
        <v>616.29999999999995</v>
      </c>
      <c r="M20" s="228">
        <v>633.1</v>
      </c>
      <c r="N20" s="228">
        <v>-16.8</v>
      </c>
      <c r="O20" s="229">
        <v>-2.6499999999999999E-2</v>
      </c>
      <c r="P20" s="228">
        <v>619.6</v>
      </c>
      <c r="Q20" s="228">
        <v>636.6</v>
      </c>
      <c r="R20" s="228">
        <v>-17</v>
      </c>
      <c r="S20" s="229">
        <v>-2.6700000000000002E-2</v>
      </c>
      <c r="T20" s="228">
        <v>621.1</v>
      </c>
      <c r="U20" s="228">
        <v>638.4</v>
      </c>
      <c r="V20" s="228">
        <v>-17.3</v>
      </c>
      <c r="W20" s="229">
        <v>-2.7099999999999999E-2</v>
      </c>
      <c r="X20" s="228">
        <v>-0.15</v>
      </c>
      <c r="Y20" s="228">
        <v>1.6</v>
      </c>
      <c r="Z20" s="228">
        <v>-1.75</v>
      </c>
      <c r="AA20" s="229">
        <v>-2.0000000000000001E-4</v>
      </c>
      <c r="AB20" s="228">
        <v>-0.15</v>
      </c>
      <c r="AC20" s="228">
        <v>1.6</v>
      </c>
      <c r="AD20" s="228">
        <v>-1.75</v>
      </c>
      <c r="AE20" s="229">
        <v>-2.0000000000000001E-4</v>
      </c>
      <c r="AF20" s="228">
        <v>3.15</v>
      </c>
      <c r="AG20" s="228">
        <v>5.0999999999999996</v>
      </c>
      <c r="AH20" s="228">
        <v>-1.95</v>
      </c>
      <c r="AI20" s="229">
        <v>5.1000000000000004E-3</v>
      </c>
      <c r="AJ20" s="228">
        <v>4.6500000000000004</v>
      </c>
      <c r="AK20" s="228">
        <v>6.9</v>
      </c>
      <c r="AL20" s="228">
        <v>-2.25</v>
      </c>
      <c r="AM20" s="229">
        <v>7.4999999999999997E-3</v>
      </c>
      <c r="AN20" s="228">
        <v>614.38</v>
      </c>
      <c r="AO20" s="228">
        <v>616.80999999999995</v>
      </c>
      <c r="AP20" s="228">
        <v>0</v>
      </c>
      <c r="AQ20" s="230">
        <v>10819</v>
      </c>
      <c r="AR20" s="230">
        <v>5803</v>
      </c>
      <c r="AS20" s="230">
        <v>5016</v>
      </c>
      <c r="AT20" s="229">
        <v>0.86439999999999995</v>
      </c>
      <c r="AU20" s="230">
        <v>9415</v>
      </c>
      <c r="AV20" s="230">
        <v>5303</v>
      </c>
      <c r="AW20" s="230">
        <v>4112</v>
      </c>
      <c r="AX20" s="229">
        <v>0.77539999999999998</v>
      </c>
      <c r="AY20" s="230">
        <v>1216</v>
      </c>
      <c r="AZ20" s="228">
        <v>466</v>
      </c>
      <c r="BA20" s="228">
        <v>750</v>
      </c>
      <c r="BB20" s="229">
        <v>1.6093999999999999</v>
      </c>
      <c r="BC20" s="228">
        <v>188</v>
      </c>
      <c r="BD20" s="228">
        <v>34</v>
      </c>
      <c r="BE20" s="228">
        <v>154</v>
      </c>
      <c r="BF20" s="229">
        <v>4.5293999999999999</v>
      </c>
      <c r="BG20" s="230">
        <v>54236</v>
      </c>
      <c r="BH20" s="230">
        <v>27331</v>
      </c>
      <c r="BI20" s="230">
        <v>26905</v>
      </c>
      <c r="BJ20" s="229">
        <v>0.98440000000000005</v>
      </c>
      <c r="BK20" s="230">
        <v>37570</v>
      </c>
      <c r="BL20" s="230">
        <v>18937</v>
      </c>
      <c r="BM20" s="230">
        <v>18633</v>
      </c>
      <c r="BN20" s="229">
        <v>0.9839</v>
      </c>
      <c r="BO20" s="230">
        <v>102625</v>
      </c>
      <c r="BP20" s="230">
        <v>52071</v>
      </c>
      <c r="BQ20" s="230">
        <v>50554</v>
      </c>
      <c r="BR20" s="229">
        <v>0.97089999999999999</v>
      </c>
      <c r="BS20" s="230">
        <v>9166222</v>
      </c>
      <c r="BT20" s="230">
        <v>3164703</v>
      </c>
      <c r="BU20" s="230">
        <v>6001519</v>
      </c>
      <c r="BV20" s="229">
        <v>1.8964000000000001</v>
      </c>
      <c r="BW20" s="230">
        <v>43734900</v>
      </c>
      <c r="BX20" s="230">
        <v>41537100</v>
      </c>
      <c r="BY20" s="230">
        <v>2197800</v>
      </c>
      <c r="BZ20" s="229">
        <v>5.2900000000000003E-2</v>
      </c>
      <c r="CA20" s="230">
        <v>41059700</v>
      </c>
      <c r="CB20" s="230">
        <v>39581300</v>
      </c>
      <c r="CC20" s="230">
        <v>1478400</v>
      </c>
      <c r="CD20" s="229">
        <v>3.7400000000000003E-2</v>
      </c>
      <c r="CE20" s="230">
        <v>2384800</v>
      </c>
      <c r="CF20" s="230">
        <v>1776500</v>
      </c>
      <c r="CG20" s="230">
        <v>608300</v>
      </c>
      <c r="CH20" s="229">
        <v>0.34239999999999998</v>
      </c>
      <c r="CI20" s="230">
        <v>290400</v>
      </c>
      <c r="CJ20" s="230">
        <v>179300</v>
      </c>
      <c r="CK20" s="230">
        <v>111100</v>
      </c>
      <c r="CL20" s="229">
        <v>0.61960000000000004</v>
      </c>
      <c r="CM20" s="230">
        <v>19886900</v>
      </c>
      <c r="CN20" s="230">
        <v>15680500</v>
      </c>
      <c r="CO20" s="230">
        <v>4206400</v>
      </c>
      <c r="CP20" s="229">
        <v>0.26829999999999998</v>
      </c>
      <c r="CQ20" s="230">
        <v>13211000</v>
      </c>
      <c r="CR20" s="230">
        <v>11937200</v>
      </c>
      <c r="CS20" s="230">
        <v>1273800</v>
      </c>
      <c r="CT20" s="229">
        <v>0.1067</v>
      </c>
      <c r="CU20" s="230">
        <v>76832800</v>
      </c>
      <c r="CV20" s="230">
        <v>69154800</v>
      </c>
      <c r="CW20" s="230">
        <v>7678000</v>
      </c>
      <c r="CX20" s="229">
        <v>0.111</v>
      </c>
      <c r="CY20" s="228">
        <v>27.44</v>
      </c>
      <c r="CZ20" s="228">
        <v>31.86</v>
      </c>
      <c r="DA20" s="228">
        <v>-4.42</v>
      </c>
      <c r="DB20" s="228">
        <v>-4.42</v>
      </c>
      <c r="DC20" s="228">
        <v>27.78</v>
      </c>
      <c r="DD20" s="228">
        <v>27.66</v>
      </c>
      <c r="DE20" s="228">
        <v>-0.34</v>
      </c>
      <c r="DF20" s="228">
        <v>0.12</v>
      </c>
      <c r="DG20" s="228">
        <v>27.56</v>
      </c>
      <c r="DH20" s="228">
        <v>31.75</v>
      </c>
      <c r="DI20" s="228">
        <v>-4.1900000000000004</v>
      </c>
      <c r="DJ20" s="228">
        <v>-4.1900000000000004</v>
      </c>
      <c r="DK20" s="228">
        <v>27.27</v>
      </c>
      <c r="DL20" s="228">
        <v>32.01</v>
      </c>
      <c r="DM20" s="228">
        <v>-4.74</v>
      </c>
      <c r="DN20" s="228">
        <v>-4.74</v>
      </c>
      <c r="DO20" s="228">
        <v>0.66</v>
      </c>
      <c r="DP20" s="228">
        <v>0.76</v>
      </c>
      <c r="DQ20" s="228">
        <v>-0.1</v>
      </c>
      <c r="DR20" s="229">
        <v>-0.13159999999999999</v>
      </c>
      <c r="DS20" s="228">
        <v>600</v>
      </c>
      <c r="DT20" s="228">
        <v>600</v>
      </c>
      <c r="DU20" s="228">
        <v>0.69</v>
      </c>
      <c r="DV20" s="228">
        <v>0.69</v>
      </c>
      <c r="DW20" s="228">
        <v>0</v>
      </c>
      <c r="DX20" s="229">
        <v>0</v>
      </c>
      <c r="DY20" s="229">
        <v>6.1199999999999997E-2</v>
      </c>
      <c r="DZ20" s="230">
        <v>1955800</v>
      </c>
      <c r="EA20" s="229">
        <v>5.4000000000000003E-3</v>
      </c>
      <c r="EB20" s="229">
        <v>6.1199999999999997E-2</v>
      </c>
      <c r="EC20" s="228">
        <v>2.4300000000000002</v>
      </c>
      <c r="ED20" s="229">
        <v>4.0000000000000001E-3</v>
      </c>
      <c r="EE20" s="230">
        <v>4018782</v>
      </c>
      <c r="EF20" s="230">
        <v>1416524</v>
      </c>
      <c r="EG20" s="229">
        <v>1.8371</v>
      </c>
      <c r="EH20" s="229">
        <v>0.43840000000000001</v>
      </c>
      <c r="EI20" s="231">
        <v>384257.1</v>
      </c>
      <c r="EJ20" s="231">
        <v>253553.67</v>
      </c>
      <c r="EK20" s="231">
        <v>73159.509999999995</v>
      </c>
      <c r="EL20" s="231">
        <v>6166</v>
      </c>
      <c r="EM20" s="231">
        <v>710970.28</v>
      </c>
      <c r="EN20" s="231">
        <v>372866.52</v>
      </c>
      <c r="EO20" s="231">
        <v>338103.76</v>
      </c>
      <c r="EP20" s="229">
        <v>0.90680000000000005</v>
      </c>
      <c r="EQ20" s="231">
        <v>127600</v>
      </c>
      <c r="ER20" s="231">
        <v>78126</v>
      </c>
      <c r="ES20" s="231">
        <v>269631</v>
      </c>
      <c r="ET20" s="231">
        <v>156090005</v>
      </c>
      <c r="EU20" s="231">
        <v>475357</v>
      </c>
      <c r="EV20" s="231">
        <v>434868</v>
      </c>
      <c r="EW20" s="231">
        <v>40489</v>
      </c>
      <c r="EX20" s="229">
        <v>9.3100000000000002E-2</v>
      </c>
      <c r="EY20" s="229">
        <v>0.49220000000000003</v>
      </c>
    </row>
    <row r="21" spans="1:155" ht="17.25" thickBot="1" x14ac:dyDescent="0.3">
      <c r="A21" s="226">
        <v>46129</v>
      </c>
      <c r="B21" s="227" t="s">
        <v>227</v>
      </c>
      <c r="C21" s="227" t="s">
        <v>228</v>
      </c>
      <c r="D21" s="231">
        <v>1040.95</v>
      </c>
      <c r="E21" s="231">
        <v>1039.8</v>
      </c>
      <c r="F21" s="228">
        <v>1.1499999999999999</v>
      </c>
      <c r="G21" s="229">
        <v>1.1000000000000001E-3</v>
      </c>
      <c r="H21" s="231">
        <v>1039</v>
      </c>
      <c r="I21" s="231">
        <v>1039.9000000000001</v>
      </c>
      <c r="J21" s="228">
        <v>-0.9</v>
      </c>
      <c r="K21" s="229">
        <v>-8.9999999999999998E-4</v>
      </c>
      <c r="L21" s="231">
        <v>1040.95</v>
      </c>
      <c r="M21" s="231">
        <v>1039.8</v>
      </c>
      <c r="N21" s="228">
        <v>1.1499999999999999</v>
      </c>
      <c r="O21" s="229">
        <v>1.1000000000000001E-3</v>
      </c>
      <c r="P21" s="231">
        <v>1046.95</v>
      </c>
      <c r="Q21" s="231">
        <v>1046.05</v>
      </c>
      <c r="R21" s="228">
        <v>0.9</v>
      </c>
      <c r="S21" s="229">
        <v>8.9999999999999998E-4</v>
      </c>
      <c r="T21" s="231">
        <v>1052.7</v>
      </c>
      <c r="U21" s="231">
        <v>1053.3499999999999</v>
      </c>
      <c r="V21" s="228">
        <v>-0.65</v>
      </c>
      <c r="W21" s="229">
        <v>-5.9999999999999995E-4</v>
      </c>
      <c r="X21" s="228">
        <v>1.95</v>
      </c>
      <c r="Y21" s="228">
        <v>-0.1</v>
      </c>
      <c r="Z21" s="228">
        <v>2.0499999999999998</v>
      </c>
      <c r="AA21" s="229">
        <v>1.9E-3</v>
      </c>
      <c r="AB21" s="228">
        <v>1.95</v>
      </c>
      <c r="AC21" s="228">
        <v>-0.1</v>
      </c>
      <c r="AD21" s="228">
        <v>2.0499999999999998</v>
      </c>
      <c r="AE21" s="229">
        <v>1.9E-3</v>
      </c>
      <c r="AF21" s="228">
        <v>7.95</v>
      </c>
      <c r="AG21" s="228">
        <v>6.15</v>
      </c>
      <c r="AH21" s="228">
        <v>1.8</v>
      </c>
      <c r="AI21" s="229">
        <v>7.7000000000000002E-3</v>
      </c>
      <c r="AJ21" s="228">
        <v>13.7</v>
      </c>
      <c r="AK21" s="228">
        <v>13.45</v>
      </c>
      <c r="AL21" s="228">
        <v>0.25</v>
      </c>
      <c r="AM21" s="229">
        <v>1.32E-2</v>
      </c>
      <c r="AN21" s="231">
        <v>1035.49</v>
      </c>
      <c r="AO21" s="231">
        <v>1040.2</v>
      </c>
      <c r="AP21" s="228">
        <v>0</v>
      </c>
      <c r="AQ21" s="230">
        <v>6417</v>
      </c>
      <c r="AR21" s="230">
        <v>15453</v>
      </c>
      <c r="AS21" s="230">
        <v>-9036</v>
      </c>
      <c r="AT21" s="229">
        <v>-0.5847</v>
      </c>
      <c r="AU21" s="230">
        <v>5583</v>
      </c>
      <c r="AV21" s="230">
        <v>12986</v>
      </c>
      <c r="AW21" s="230">
        <v>-7403</v>
      </c>
      <c r="AX21" s="229">
        <v>-0.57010000000000005</v>
      </c>
      <c r="AY21" s="228">
        <v>775</v>
      </c>
      <c r="AZ21" s="230">
        <v>1322</v>
      </c>
      <c r="BA21" s="228">
        <v>-547</v>
      </c>
      <c r="BB21" s="229">
        <v>-0.4138</v>
      </c>
      <c r="BC21" s="228">
        <v>59</v>
      </c>
      <c r="BD21" s="230">
        <v>1145</v>
      </c>
      <c r="BE21" s="230">
        <v>-1086</v>
      </c>
      <c r="BF21" s="229">
        <v>-0.94850000000000001</v>
      </c>
      <c r="BG21" s="230">
        <v>29522</v>
      </c>
      <c r="BH21" s="230">
        <v>78045</v>
      </c>
      <c r="BI21" s="230">
        <v>-48523</v>
      </c>
      <c r="BJ21" s="229">
        <v>-0.62170000000000003</v>
      </c>
      <c r="BK21" s="230">
        <v>23160</v>
      </c>
      <c r="BL21" s="230">
        <v>40055</v>
      </c>
      <c r="BM21" s="230">
        <v>-16895</v>
      </c>
      <c r="BN21" s="229">
        <v>-0.42180000000000001</v>
      </c>
      <c r="BO21" s="230">
        <v>59099</v>
      </c>
      <c r="BP21" s="230">
        <v>133553</v>
      </c>
      <c r="BQ21" s="230">
        <v>-74454</v>
      </c>
      <c r="BR21" s="229">
        <v>-0.5575</v>
      </c>
      <c r="BS21" s="230">
        <v>4421270</v>
      </c>
      <c r="BT21" s="230">
        <v>11313313</v>
      </c>
      <c r="BU21" s="230">
        <v>-6892043</v>
      </c>
      <c r="BV21" s="229">
        <v>-0.60919999999999996</v>
      </c>
      <c r="BW21" s="230">
        <v>36741600</v>
      </c>
      <c r="BX21" s="230">
        <v>36444800</v>
      </c>
      <c r="BY21" s="230">
        <v>296800</v>
      </c>
      <c r="BZ21" s="229">
        <v>8.0999999999999996E-3</v>
      </c>
      <c r="CA21" s="230">
        <v>32025000</v>
      </c>
      <c r="CB21" s="230">
        <v>31882900</v>
      </c>
      <c r="CC21" s="230">
        <v>142100</v>
      </c>
      <c r="CD21" s="229">
        <v>4.4999999999999997E-3</v>
      </c>
      <c r="CE21" s="230">
        <v>3024000</v>
      </c>
      <c r="CF21" s="230">
        <v>2872100</v>
      </c>
      <c r="CG21" s="230">
        <v>151900</v>
      </c>
      <c r="CH21" s="229">
        <v>5.2900000000000003E-2</v>
      </c>
      <c r="CI21" s="230">
        <v>1692600</v>
      </c>
      <c r="CJ21" s="230">
        <v>1689800</v>
      </c>
      <c r="CK21" s="230">
        <v>2800</v>
      </c>
      <c r="CL21" s="229">
        <v>1.6999999999999999E-3</v>
      </c>
      <c r="CM21" s="230">
        <v>15120000</v>
      </c>
      <c r="CN21" s="230">
        <v>15488200</v>
      </c>
      <c r="CO21" s="230">
        <v>-368200</v>
      </c>
      <c r="CP21" s="229">
        <v>-2.3800000000000002E-2</v>
      </c>
      <c r="CQ21" s="230">
        <v>11953900</v>
      </c>
      <c r="CR21" s="230">
        <v>13376300</v>
      </c>
      <c r="CS21" s="230">
        <v>-1422400</v>
      </c>
      <c r="CT21" s="229">
        <v>-0.10630000000000001</v>
      </c>
      <c r="CU21" s="230">
        <v>63815500</v>
      </c>
      <c r="CV21" s="230">
        <v>65309300</v>
      </c>
      <c r="CW21" s="230">
        <v>-1493800</v>
      </c>
      <c r="CX21" s="229">
        <v>-2.29E-2</v>
      </c>
      <c r="CY21" s="228">
        <v>33.67</v>
      </c>
      <c r="CZ21" s="228">
        <v>35.119999999999997</v>
      </c>
      <c r="DA21" s="228">
        <v>-1.45</v>
      </c>
      <c r="DB21" s="228">
        <v>-1.45</v>
      </c>
      <c r="DC21" s="228">
        <v>36.58</v>
      </c>
      <c r="DD21" s="228">
        <v>36.67</v>
      </c>
      <c r="DE21" s="228">
        <v>-2.91</v>
      </c>
      <c r="DF21" s="228">
        <v>-0.09</v>
      </c>
      <c r="DG21" s="228">
        <v>32.450000000000003</v>
      </c>
      <c r="DH21" s="228">
        <v>34.57</v>
      </c>
      <c r="DI21" s="228">
        <v>-2.12</v>
      </c>
      <c r="DJ21" s="228">
        <v>-2.12</v>
      </c>
      <c r="DK21" s="228">
        <v>35.229999999999997</v>
      </c>
      <c r="DL21" s="228">
        <v>36.200000000000003</v>
      </c>
      <c r="DM21" s="228">
        <v>-0.97</v>
      </c>
      <c r="DN21" s="228">
        <v>-0.97</v>
      </c>
      <c r="DO21" s="228">
        <v>0.79</v>
      </c>
      <c r="DP21" s="228">
        <v>0.86</v>
      </c>
      <c r="DQ21" s="228">
        <v>-7.0000000000000007E-2</v>
      </c>
      <c r="DR21" s="229">
        <v>-8.14E-2</v>
      </c>
      <c r="DS21" s="228">
        <v>900</v>
      </c>
      <c r="DT21" s="228">
        <v>900</v>
      </c>
      <c r="DU21" s="228">
        <v>0.78</v>
      </c>
      <c r="DV21" s="228">
        <v>0.51</v>
      </c>
      <c r="DW21" s="228">
        <v>0.27</v>
      </c>
      <c r="DX21" s="229">
        <v>0.52939999999999998</v>
      </c>
      <c r="DY21" s="229">
        <v>0.12839999999999999</v>
      </c>
      <c r="DZ21" s="230">
        <v>4561900</v>
      </c>
      <c r="EA21" s="229">
        <v>5.7999999999999996E-3</v>
      </c>
      <c r="EB21" s="229">
        <v>0.12839999999999999</v>
      </c>
      <c r="EC21" s="228">
        <v>4.71</v>
      </c>
      <c r="ED21" s="229">
        <v>4.4999999999999997E-3</v>
      </c>
      <c r="EE21" s="230">
        <v>2131443</v>
      </c>
      <c r="EF21" s="230">
        <v>6548758</v>
      </c>
      <c r="EG21" s="229">
        <v>-0.67449999999999999</v>
      </c>
      <c r="EH21" s="229">
        <v>0.48209999999999997</v>
      </c>
      <c r="EI21" s="231">
        <v>222440.57</v>
      </c>
      <c r="EJ21" s="231">
        <v>165044.59</v>
      </c>
      <c r="EK21" s="231">
        <v>46542.62</v>
      </c>
      <c r="EL21" s="231">
        <v>12746</v>
      </c>
      <c r="EM21" s="231">
        <v>434027.78</v>
      </c>
      <c r="EN21" s="231">
        <v>988780.32</v>
      </c>
      <c r="EO21" s="231">
        <v>-554752.54</v>
      </c>
      <c r="EP21" s="229">
        <v>-0.56100000000000005</v>
      </c>
      <c r="EQ21" s="231">
        <v>151501</v>
      </c>
      <c r="ER21" s="231">
        <v>112779</v>
      </c>
      <c r="ES21" s="231">
        <v>382842</v>
      </c>
      <c r="ET21" s="231">
        <v>218611634</v>
      </c>
      <c r="EU21" s="231">
        <v>647122</v>
      </c>
      <c r="EV21" s="231">
        <v>660971</v>
      </c>
      <c r="EW21" s="231">
        <v>-13849</v>
      </c>
      <c r="EX21" s="229">
        <v>-2.1000000000000001E-2</v>
      </c>
      <c r="EY21" s="229">
        <v>0.29189999999999999</v>
      </c>
    </row>
    <row r="22" spans="1:155" ht="17.25" thickBot="1" x14ac:dyDescent="0.3">
      <c r="A22" s="226">
        <v>46129</v>
      </c>
      <c r="B22" s="227" t="s">
        <v>168</v>
      </c>
      <c r="C22" s="227" t="s">
        <v>230</v>
      </c>
      <c r="D22" s="231">
        <v>2240.6999999999998</v>
      </c>
      <c r="E22" s="231">
        <v>2145.1999999999998</v>
      </c>
      <c r="F22" s="228">
        <v>95.5</v>
      </c>
      <c r="G22" s="229">
        <v>4.4499999999999998E-2</v>
      </c>
      <c r="H22" s="231">
        <v>2240.8000000000002</v>
      </c>
      <c r="I22" s="231">
        <v>2139.1</v>
      </c>
      <c r="J22" s="228">
        <v>101.7</v>
      </c>
      <c r="K22" s="229">
        <v>4.7500000000000001E-2</v>
      </c>
      <c r="L22" s="231">
        <v>2240.6999999999998</v>
      </c>
      <c r="M22" s="231">
        <v>2145.1999999999998</v>
      </c>
      <c r="N22" s="228">
        <v>95.5</v>
      </c>
      <c r="O22" s="229">
        <v>4.4499999999999998E-2</v>
      </c>
      <c r="P22" s="231">
        <v>2251.4</v>
      </c>
      <c r="Q22" s="231">
        <v>2155.5</v>
      </c>
      <c r="R22" s="228">
        <v>95.9</v>
      </c>
      <c r="S22" s="229">
        <v>4.4499999999999998E-2</v>
      </c>
      <c r="T22" s="231">
        <v>2237.8000000000002</v>
      </c>
      <c r="U22" s="231">
        <v>2149.6</v>
      </c>
      <c r="V22" s="228">
        <v>88.2</v>
      </c>
      <c r="W22" s="229">
        <v>4.1000000000000002E-2</v>
      </c>
      <c r="X22" s="228">
        <v>-0.1</v>
      </c>
      <c r="Y22" s="228">
        <v>6.1</v>
      </c>
      <c r="Z22" s="228">
        <v>-6.2</v>
      </c>
      <c r="AA22" s="229">
        <v>0</v>
      </c>
      <c r="AB22" s="228">
        <v>-0.1</v>
      </c>
      <c r="AC22" s="228">
        <v>6.1</v>
      </c>
      <c r="AD22" s="228">
        <v>-6.2</v>
      </c>
      <c r="AE22" s="229">
        <v>0</v>
      </c>
      <c r="AF22" s="228">
        <v>10.6</v>
      </c>
      <c r="AG22" s="228">
        <v>16.399999999999999</v>
      </c>
      <c r="AH22" s="228">
        <v>-5.8</v>
      </c>
      <c r="AI22" s="229">
        <v>4.7000000000000002E-3</v>
      </c>
      <c r="AJ22" s="228">
        <v>-3</v>
      </c>
      <c r="AK22" s="228">
        <v>10.5</v>
      </c>
      <c r="AL22" s="228">
        <v>-13.5</v>
      </c>
      <c r="AM22" s="229">
        <v>-1.2999999999999999E-3</v>
      </c>
      <c r="AN22" s="231">
        <v>2223</v>
      </c>
      <c r="AO22" s="231">
        <v>2229.92</v>
      </c>
      <c r="AP22" s="228">
        <v>0</v>
      </c>
      <c r="AQ22" s="230">
        <v>16288</v>
      </c>
      <c r="AR22" s="230">
        <v>5115</v>
      </c>
      <c r="AS22" s="230">
        <v>11173</v>
      </c>
      <c r="AT22" s="229">
        <v>2.1844000000000001</v>
      </c>
      <c r="AU22" s="230">
        <v>14466</v>
      </c>
      <c r="AV22" s="230">
        <v>4474</v>
      </c>
      <c r="AW22" s="230">
        <v>9992</v>
      </c>
      <c r="AX22" s="229">
        <v>2.2332999999999998</v>
      </c>
      <c r="AY22" s="230">
        <v>1496</v>
      </c>
      <c r="AZ22" s="228">
        <v>437</v>
      </c>
      <c r="BA22" s="230">
        <v>1059</v>
      </c>
      <c r="BB22" s="229">
        <v>2.4232999999999998</v>
      </c>
      <c r="BC22" s="228">
        <v>326</v>
      </c>
      <c r="BD22" s="228">
        <v>204</v>
      </c>
      <c r="BE22" s="228">
        <v>122</v>
      </c>
      <c r="BF22" s="229">
        <v>0.59799999999999998</v>
      </c>
      <c r="BG22" s="230">
        <v>128936</v>
      </c>
      <c r="BH22" s="230">
        <v>16502</v>
      </c>
      <c r="BI22" s="230">
        <v>112434</v>
      </c>
      <c r="BJ22" s="229">
        <v>6.8133999999999997</v>
      </c>
      <c r="BK22" s="230">
        <v>54428</v>
      </c>
      <c r="BL22" s="230">
        <v>8578</v>
      </c>
      <c r="BM22" s="230">
        <v>45850</v>
      </c>
      <c r="BN22" s="229">
        <v>5.3451000000000004</v>
      </c>
      <c r="BO22" s="230">
        <v>199652</v>
      </c>
      <c r="BP22" s="230">
        <v>30195</v>
      </c>
      <c r="BQ22" s="230">
        <v>169457</v>
      </c>
      <c r="BR22" s="229">
        <v>5.6120999999999999</v>
      </c>
      <c r="BS22" s="230">
        <v>5144290</v>
      </c>
      <c r="BT22" s="230">
        <v>1985305</v>
      </c>
      <c r="BU22" s="230">
        <v>3158985</v>
      </c>
      <c r="BV22" s="229">
        <v>1.5911999999999999</v>
      </c>
      <c r="BW22" s="230">
        <v>17974800</v>
      </c>
      <c r="BX22" s="230">
        <v>18265800</v>
      </c>
      <c r="BY22" s="230">
        <v>-291000</v>
      </c>
      <c r="BZ22" s="229">
        <v>-1.5900000000000001E-2</v>
      </c>
      <c r="CA22" s="230">
        <v>16951500</v>
      </c>
      <c r="CB22" s="230">
        <v>17284500</v>
      </c>
      <c r="CC22" s="230">
        <v>-333000</v>
      </c>
      <c r="CD22" s="229">
        <v>-1.9300000000000001E-2</v>
      </c>
      <c r="CE22" s="230">
        <v>843000</v>
      </c>
      <c r="CF22" s="230">
        <v>785400</v>
      </c>
      <c r="CG22" s="230">
        <v>57600</v>
      </c>
      <c r="CH22" s="229">
        <v>7.3300000000000004E-2</v>
      </c>
      <c r="CI22" s="230">
        <v>180300</v>
      </c>
      <c r="CJ22" s="230">
        <v>195900</v>
      </c>
      <c r="CK22" s="230">
        <v>-15600</v>
      </c>
      <c r="CL22" s="229">
        <v>-7.9600000000000004E-2</v>
      </c>
      <c r="CM22" s="230">
        <v>7044000</v>
      </c>
      <c r="CN22" s="230">
        <v>5085600</v>
      </c>
      <c r="CO22" s="230">
        <v>1958400</v>
      </c>
      <c r="CP22" s="229">
        <v>0.3851</v>
      </c>
      <c r="CQ22" s="230">
        <v>4959000</v>
      </c>
      <c r="CR22" s="230">
        <v>3791400</v>
      </c>
      <c r="CS22" s="230">
        <v>1167600</v>
      </c>
      <c r="CT22" s="229">
        <v>0.308</v>
      </c>
      <c r="CU22" s="230">
        <v>29977800</v>
      </c>
      <c r="CV22" s="230">
        <v>27142800</v>
      </c>
      <c r="CW22" s="230">
        <v>2835000</v>
      </c>
      <c r="CX22" s="229">
        <v>0.10440000000000001</v>
      </c>
      <c r="CY22" s="228">
        <v>23.32</v>
      </c>
      <c r="CZ22" s="228">
        <v>23.35</v>
      </c>
      <c r="DA22" s="228">
        <v>-0.03</v>
      </c>
      <c r="DB22" s="228">
        <v>-0.03</v>
      </c>
      <c r="DC22" s="228">
        <v>23.93</v>
      </c>
      <c r="DD22" s="228">
        <v>23.15</v>
      </c>
      <c r="DE22" s="228">
        <v>-0.61</v>
      </c>
      <c r="DF22" s="228">
        <v>0.78</v>
      </c>
      <c r="DG22" s="228">
        <v>22.79</v>
      </c>
      <c r="DH22" s="228">
        <v>23.23</v>
      </c>
      <c r="DI22" s="228">
        <v>-0.44</v>
      </c>
      <c r="DJ22" s="228">
        <v>-0.44</v>
      </c>
      <c r="DK22" s="228">
        <v>24.59</v>
      </c>
      <c r="DL22" s="228">
        <v>23.56</v>
      </c>
      <c r="DM22" s="228">
        <v>1.03</v>
      </c>
      <c r="DN22" s="228">
        <v>1.03</v>
      </c>
      <c r="DO22" s="228">
        <v>0.7</v>
      </c>
      <c r="DP22" s="228">
        <v>0.75</v>
      </c>
      <c r="DQ22" s="228">
        <v>-0.05</v>
      </c>
      <c r="DR22" s="229">
        <v>-6.6699999999999995E-2</v>
      </c>
      <c r="DS22" s="231">
        <v>2260</v>
      </c>
      <c r="DT22" s="231">
        <v>1900</v>
      </c>
      <c r="DU22" s="228">
        <v>0.42</v>
      </c>
      <c r="DV22" s="228">
        <v>0.52</v>
      </c>
      <c r="DW22" s="228">
        <v>-0.1</v>
      </c>
      <c r="DX22" s="229">
        <v>-0.1923</v>
      </c>
      <c r="DY22" s="229">
        <v>5.6899999999999999E-2</v>
      </c>
      <c r="DZ22" s="230">
        <v>981300</v>
      </c>
      <c r="EA22" s="229">
        <v>4.7999999999999996E-3</v>
      </c>
      <c r="EB22" s="229">
        <v>5.6899999999999999E-2</v>
      </c>
      <c r="EC22" s="228">
        <v>6.92</v>
      </c>
      <c r="ED22" s="229">
        <v>3.0999999999999999E-3</v>
      </c>
      <c r="EE22" s="230">
        <v>2985003</v>
      </c>
      <c r="EF22" s="230">
        <v>1083756</v>
      </c>
      <c r="EG22" s="229">
        <v>1.7543</v>
      </c>
      <c r="EH22" s="229">
        <v>0.58030000000000004</v>
      </c>
      <c r="EI22" s="231">
        <v>886426.7</v>
      </c>
      <c r="EJ22" s="231">
        <v>358518.29</v>
      </c>
      <c r="EK22" s="231">
        <v>108642.16</v>
      </c>
      <c r="EL22" s="231">
        <v>6710</v>
      </c>
      <c r="EM22" s="231">
        <v>1353587.15</v>
      </c>
      <c r="EN22" s="231">
        <v>197819.82</v>
      </c>
      <c r="EO22" s="231">
        <v>1155767.33</v>
      </c>
      <c r="EP22" s="229">
        <v>5.8425000000000002</v>
      </c>
      <c r="EQ22" s="231">
        <v>158027</v>
      </c>
      <c r="ER22" s="231">
        <v>104367</v>
      </c>
      <c r="ES22" s="231">
        <v>402846</v>
      </c>
      <c r="ET22" s="231">
        <v>89517840</v>
      </c>
      <c r="EU22" s="231">
        <v>665240</v>
      </c>
      <c r="EV22" s="231">
        <v>583101</v>
      </c>
      <c r="EW22" s="231">
        <v>82139</v>
      </c>
      <c r="EX22" s="229">
        <v>0.1409</v>
      </c>
      <c r="EY22" s="229">
        <v>0.33489999999999998</v>
      </c>
    </row>
    <row r="23" spans="1:155" ht="17.25" thickBot="1" x14ac:dyDescent="0.3">
      <c r="A23" s="226">
        <v>46129</v>
      </c>
      <c r="B23" s="227" t="s">
        <v>172</v>
      </c>
      <c r="C23" s="227" t="s">
        <v>232</v>
      </c>
      <c r="D23" s="231">
        <v>1351.6</v>
      </c>
      <c r="E23" s="231">
        <v>1348.1</v>
      </c>
      <c r="F23" s="228">
        <v>3.5</v>
      </c>
      <c r="G23" s="229">
        <v>2.5999999999999999E-3</v>
      </c>
      <c r="H23" s="231">
        <v>1346.8</v>
      </c>
      <c r="I23" s="231">
        <v>1345.5</v>
      </c>
      <c r="J23" s="228">
        <v>1.3</v>
      </c>
      <c r="K23" s="229">
        <v>1E-3</v>
      </c>
      <c r="L23" s="231">
        <v>1351.6</v>
      </c>
      <c r="M23" s="231">
        <v>1348.1</v>
      </c>
      <c r="N23" s="228">
        <v>3.5</v>
      </c>
      <c r="O23" s="229">
        <v>2.5999999999999999E-3</v>
      </c>
      <c r="P23" s="231">
        <v>1358.6</v>
      </c>
      <c r="Q23" s="231">
        <v>1355.4</v>
      </c>
      <c r="R23" s="228">
        <v>3.2</v>
      </c>
      <c r="S23" s="229">
        <v>2.3999999999999998E-3</v>
      </c>
      <c r="T23" s="231">
        <v>1367.1</v>
      </c>
      <c r="U23" s="231">
        <v>1363.1</v>
      </c>
      <c r="V23" s="228">
        <v>4</v>
      </c>
      <c r="W23" s="229">
        <v>2.8999999999999998E-3</v>
      </c>
      <c r="X23" s="228">
        <v>4.8</v>
      </c>
      <c r="Y23" s="228">
        <v>2.6</v>
      </c>
      <c r="Z23" s="228">
        <v>2.2000000000000002</v>
      </c>
      <c r="AA23" s="229">
        <v>3.5999999999999999E-3</v>
      </c>
      <c r="AB23" s="228">
        <v>4.8</v>
      </c>
      <c r="AC23" s="228">
        <v>2.6</v>
      </c>
      <c r="AD23" s="228">
        <v>2.2000000000000002</v>
      </c>
      <c r="AE23" s="229">
        <v>3.5999999999999999E-3</v>
      </c>
      <c r="AF23" s="228">
        <v>11.8</v>
      </c>
      <c r="AG23" s="228">
        <v>9.9</v>
      </c>
      <c r="AH23" s="228">
        <v>1.9</v>
      </c>
      <c r="AI23" s="229">
        <v>8.8000000000000005E-3</v>
      </c>
      <c r="AJ23" s="228">
        <v>20.3</v>
      </c>
      <c r="AK23" s="228">
        <v>17.600000000000001</v>
      </c>
      <c r="AL23" s="228">
        <v>2.7</v>
      </c>
      <c r="AM23" s="229">
        <v>1.5100000000000001E-2</v>
      </c>
      <c r="AN23" s="231">
        <v>1345.81</v>
      </c>
      <c r="AO23" s="231">
        <v>1351.69</v>
      </c>
      <c r="AP23" s="228">
        <v>0</v>
      </c>
      <c r="AQ23" s="230">
        <v>25969</v>
      </c>
      <c r="AR23" s="230">
        <v>25739</v>
      </c>
      <c r="AS23" s="228">
        <v>230</v>
      </c>
      <c r="AT23" s="229">
        <v>8.8999999999999999E-3</v>
      </c>
      <c r="AU23" s="230">
        <v>22161</v>
      </c>
      <c r="AV23" s="230">
        <v>21994</v>
      </c>
      <c r="AW23" s="228">
        <v>167</v>
      </c>
      <c r="AX23" s="229">
        <v>7.6E-3</v>
      </c>
      <c r="AY23" s="230">
        <v>3581</v>
      </c>
      <c r="AZ23" s="230">
        <v>2235</v>
      </c>
      <c r="BA23" s="230">
        <v>1346</v>
      </c>
      <c r="BB23" s="229">
        <v>0.60219999999999996</v>
      </c>
      <c r="BC23" s="228">
        <v>227</v>
      </c>
      <c r="BD23" s="230">
        <v>1510</v>
      </c>
      <c r="BE23" s="230">
        <v>-1283</v>
      </c>
      <c r="BF23" s="229">
        <v>-0.84970000000000001</v>
      </c>
      <c r="BG23" s="230">
        <v>83881</v>
      </c>
      <c r="BH23" s="230">
        <v>64787</v>
      </c>
      <c r="BI23" s="230">
        <v>19094</v>
      </c>
      <c r="BJ23" s="229">
        <v>0.29470000000000002</v>
      </c>
      <c r="BK23" s="230">
        <v>56898</v>
      </c>
      <c r="BL23" s="230">
        <v>39206</v>
      </c>
      <c r="BM23" s="230">
        <v>17692</v>
      </c>
      <c r="BN23" s="229">
        <v>0.45129999999999998</v>
      </c>
      <c r="BO23" s="230">
        <v>166748</v>
      </c>
      <c r="BP23" s="230">
        <v>129732</v>
      </c>
      <c r="BQ23" s="230">
        <v>37016</v>
      </c>
      <c r="BR23" s="229">
        <v>0.2853</v>
      </c>
      <c r="BS23" s="230">
        <v>18309513</v>
      </c>
      <c r="BT23" s="230">
        <v>27946514</v>
      </c>
      <c r="BU23" s="230">
        <v>-9637001</v>
      </c>
      <c r="BV23" s="229">
        <v>-0.3448</v>
      </c>
      <c r="BW23" s="230">
        <v>115859800</v>
      </c>
      <c r="BX23" s="230">
        <v>112387800</v>
      </c>
      <c r="BY23" s="230">
        <v>3472000</v>
      </c>
      <c r="BZ23" s="229">
        <v>3.09E-2</v>
      </c>
      <c r="CA23" s="230">
        <v>85801100</v>
      </c>
      <c r="CB23" s="230">
        <v>84044100</v>
      </c>
      <c r="CC23" s="230">
        <v>1757000</v>
      </c>
      <c r="CD23" s="229">
        <v>2.0899999999999998E-2</v>
      </c>
      <c r="CE23" s="230">
        <v>25859400</v>
      </c>
      <c r="CF23" s="230">
        <v>24229800</v>
      </c>
      <c r="CG23" s="230">
        <v>1629600</v>
      </c>
      <c r="CH23" s="229">
        <v>6.7299999999999999E-2</v>
      </c>
      <c r="CI23" s="230">
        <v>4199300</v>
      </c>
      <c r="CJ23" s="230">
        <v>4113900</v>
      </c>
      <c r="CK23" s="230">
        <v>85400</v>
      </c>
      <c r="CL23" s="229">
        <v>2.0799999999999999E-2</v>
      </c>
      <c r="CM23" s="230">
        <v>30629200</v>
      </c>
      <c r="CN23" s="230">
        <v>25916100</v>
      </c>
      <c r="CO23" s="230">
        <v>4713100</v>
      </c>
      <c r="CP23" s="229">
        <v>0.18190000000000001</v>
      </c>
      <c r="CQ23" s="230">
        <v>25355400</v>
      </c>
      <c r="CR23" s="230">
        <v>21008400</v>
      </c>
      <c r="CS23" s="230">
        <v>4347000</v>
      </c>
      <c r="CT23" s="229">
        <v>0.2069</v>
      </c>
      <c r="CU23" s="230">
        <v>171844400</v>
      </c>
      <c r="CV23" s="230">
        <v>159312300</v>
      </c>
      <c r="CW23" s="230">
        <v>12532100</v>
      </c>
      <c r="CX23" s="229">
        <v>7.8700000000000006E-2</v>
      </c>
      <c r="CY23" s="228">
        <v>28.99</v>
      </c>
      <c r="CZ23" s="228">
        <v>29.72</v>
      </c>
      <c r="DA23" s="228">
        <v>-0.73</v>
      </c>
      <c r="DB23" s="228">
        <v>-0.73</v>
      </c>
      <c r="DC23" s="228">
        <v>23.88</v>
      </c>
      <c r="DD23" s="228">
        <v>23.94</v>
      </c>
      <c r="DE23" s="228">
        <v>5.1100000000000003</v>
      </c>
      <c r="DF23" s="228">
        <v>-0.06</v>
      </c>
      <c r="DG23" s="228">
        <v>28.26</v>
      </c>
      <c r="DH23" s="228">
        <v>29.3</v>
      </c>
      <c r="DI23" s="228">
        <v>-1.04</v>
      </c>
      <c r="DJ23" s="228">
        <v>-1.04</v>
      </c>
      <c r="DK23" s="228">
        <v>30.06</v>
      </c>
      <c r="DL23" s="228">
        <v>30.39</v>
      </c>
      <c r="DM23" s="228">
        <v>-0.33</v>
      </c>
      <c r="DN23" s="228">
        <v>-0.33</v>
      </c>
      <c r="DO23" s="228">
        <v>0.83</v>
      </c>
      <c r="DP23" s="228">
        <v>0.81</v>
      </c>
      <c r="DQ23" s="228">
        <v>0.02</v>
      </c>
      <c r="DR23" s="229">
        <v>2.47E-2</v>
      </c>
      <c r="DS23" s="231">
        <v>1400</v>
      </c>
      <c r="DT23" s="231">
        <v>1300</v>
      </c>
      <c r="DU23" s="228">
        <v>0.68</v>
      </c>
      <c r="DV23" s="228">
        <v>0.61</v>
      </c>
      <c r="DW23" s="228">
        <v>7.0000000000000007E-2</v>
      </c>
      <c r="DX23" s="229">
        <v>0.1148</v>
      </c>
      <c r="DY23" s="229">
        <v>0.25940000000000002</v>
      </c>
      <c r="DZ23" s="230">
        <v>28343700</v>
      </c>
      <c r="EA23" s="229">
        <v>5.1999999999999998E-3</v>
      </c>
      <c r="EB23" s="229">
        <v>0.25940000000000002</v>
      </c>
      <c r="EC23" s="228">
        <v>5.88</v>
      </c>
      <c r="ED23" s="229">
        <v>4.4000000000000003E-3</v>
      </c>
      <c r="EE23" s="230">
        <v>10779112</v>
      </c>
      <c r="EF23" s="230">
        <v>8617015</v>
      </c>
      <c r="EG23" s="229">
        <v>0.25090000000000001</v>
      </c>
      <c r="EH23" s="229">
        <v>0.5887</v>
      </c>
      <c r="EI23" s="231">
        <v>822075.94</v>
      </c>
      <c r="EJ23" s="231">
        <v>527110.81000000006</v>
      </c>
      <c r="EK23" s="231">
        <v>244817.74</v>
      </c>
      <c r="EL23" s="231">
        <v>29843</v>
      </c>
      <c r="EM23" s="231">
        <v>1594004.49</v>
      </c>
      <c r="EN23" s="231">
        <v>1250028.83</v>
      </c>
      <c r="EO23" s="231">
        <v>343975.66</v>
      </c>
      <c r="EP23" s="229">
        <v>0.2752</v>
      </c>
      <c r="EQ23" s="231">
        <v>414075</v>
      </c>
      <c r="ER23" s="231">
        <v>324396</v>
      </c>
      <c r="ES23" s="231">
        <v>1568422</v>
      </c>
      <c r="ET23" s="231">
        <v>668616020</v>
      </c>
      <c r="EU23" s="231">
        <v>2306893</v>
      </c>
      <c r="EV23" s="231">
        <v>2134081</v>
      </c>
      <c r="EW23" s="231">
        <v>172812</v>
      </c>
      <c r="EX23" s="229">
        <v>8.1000000000000003E-2</v>
      </c>
      <c r="EY23" s="229">
        <v>0.25700000000000001</v>
      </c>
    </row>
    <row r="24" spans="1:155" ht="17.25" thickBot="1" x14ac:dyDescent="0.3">
      <c r="A24" s="226">
        <v>46129</v>
      </c>
      <c r="B24" s="227" t="s">
        <v>215</v>
      </c>
      <c r="C24" s="227" t="s">
        <v>238</v>
      </c>
      <c r="D24" s="231">
        <v>4647.8999999999996</v>
      </c>
      <c r="E24" s="231">
        <v>4624.2</v>
      </c>
      <c r="F24" s="228">
        <v>23.7</v>
      </c>
      <c r="G24" s="229">
        <v>5.1000000000000004E-3</v>
      </c>
      <c r="H24" s="231">
        <v>4638.3999999999996</v>
      </c>
      <c r="I24" s="231">
        <v>4608.7</v>
      </c>
      <c r="J24" s="228">
        <v>29.7</v>
      </c>
      <c r="K24" s="229">
        <v>6.4000000000000003E-3</v>
      </c>
      <c r="L24" s="231">
        <v>4647.8999999999996</v>
      </c>
      <c r="M24" s="231">
        <v>4624.2</v>
      </c>
      <c r="N24" s="228">
        <v>23.7</v>
      </c>
      <c r="O24" s="229">
        <v>5.1000000000000004E-3</v>
      </c>
      <c r="P24" s="231">
        <v>4656.2</v>
      </c>
      <c r="Q24" s="231">
        <v>4632.8999999999996</v>
      </c>
      <c r="R24" s="228">
        <v>23.3</v>
      </c>
      <c r="S24" s="229">
        <v>5.0000000000000001E-3</v>
      </c>
      <c r="T24" s="231">
        <v>4670.8</v>
      </c>
      <c r="U24" s="231">
        <v>4648.3999999999996</v>
      </c>
      <c r="V24" s="228">
        <v>22.4</v>
      </c>
      <c r="W24" s="229">
        <v>4.7999999999999996E-3</v>
      </c>
      <c r="X24" s="228">
        <v>9.5</v>
      </c>
      <c r="Y24" s="228">
        <v>15.5</v>
      </c>
      <c r="Z24" s="228">
        <v>-6</v>
      </c>
      <c r="AA24" s="229">
        <v>2E-3</v>
      </c>
      <c r="AB24" s="228">
        <v>9.5</v>
      </c>
      <c r="AC24" s="228">
        <v>15.5</v>
      </c>
      <c r="AD24" s="228">
        <v>-6</v>
      </c>
      <c r="AE24" s="229">
        <v>2E-3</v>
      </c>
      <c r="AF24" s="228">
        <v>17.8</v>
      </c>
      <c r="AG24" s="228">
        <v>24.2</v>
      </c>
      <c r="AH24" s="228">
        <v>-6.4</v>
      </c>
      <c r="AI24" s="229">
        <v>3.8E-3</v>
      </c>
      <c r="AJ24" s="228">
        <v>32.4</v>
      </c>
      <c r="AK24" s="228">
        <v>39.700000000000003</v>
      </c>
      <c r="AL24" s="228">
        <v>-7.3</v>
      </c>
      <c r="AM24" s="229">
        <v>7.0000000000000001E-3</v>
      </c>
      <c r="AN24" s="231">
        <v>4631.4799999999996</v>
      </c>
      <c r="AO24" s="231">
        <v>4637.2299999999996</v>
      </c>
      <c r="AP24" s="228">
        <v>0</v>
      </c>
      <c r="AQ24" s="230">
        <v>5892</v>
      </c>
      <c r="AR24" s="230">
        <v>7445</v>
      </c>
      <c r="AS24" s="230">
        <v>-1553</v>
      </c>
      <c r="AT24" s="229">
        <v>-0.20860000000000001</v>
      </c>
      <c r="AU24" s="230">
        <v>5266</v>
      </c>
      <c r="AV24" s="230">
        <v>6683</v>
      </c>
      <c r="AW24" s="230">
        <v>-1417</v>
      </c>
      <c r="AX24" s="229">
        <v>-0.21199999999999999</v>
      </c>
      <c r="AY24" s="228">
        <v>571</v>
      </c>
      <c r="AZ24" s="228">
        <v>653</v>
      </c>
      <c r="BA24" s="228">
        <v>-82</v>
      </c>
      <c r="BB24" s="229">
        <v>-0.12559999999999999</v>
      </c>
      <c r="BC24" s="228">
        <v>55</v>
      </c>
      <c r="BD24" s="228">
        <v>109</v>
      </c>
      <c r="BE24" s="228">
        <v>-54</v>
      </c>
      <c r="BF24" s="229">
        <v>-0.49540000000000001</v>
      </c>
      <c r="BG24" s="230">
        <v>28429</v>
      </c>
      <c r="BH24" s="230">
        <v>34123</v>
      </c>
      <c r="BI24" s="230">
        <v>-5694</v>
      </c>
      <c r="BJ24" s="229">
        <v>-0.16689999999999999</v>
      </c>
      <c r="BK24" s="230">
        <v>25299</v>
      </c>
      <c r="BL24" s="230">
        <v>27755</v>
      </c>
      <c r="BM24" s="230">
        <v>-2456</v>
      </c>
      <c r="BN24" s="229">
        <v>-8.8499999999999995E-2</v>
      </c>
      <c r="BO24" s="230">
        <v>59620</v>
      </c>
      <c r="BP24" s="230">
        <v>69323</v>
      </c>
      <c r="BQ24" s="230">
        <v>-9703</v>
      </c>
      <c r="BR24" s="229">
        <v>-0.14000000000000001</v>
      </c>
      <c r="BS24" s="230">
        <v>794960</v>
      </c>
      <c r="BT24" s="230">
        <v>1522874</v>
      </c>
      <c r="BU24" s="230">
        <v>-727914</v>
      </c>
      <c r="BV24" s="229">
        <v>-0.47799999999999998</v>
      </c>
      <c r="BW24" s="230">
        <v>7012500</v>
      </c>
      <c r="BX24" s="230">
        <v>7029750</v>
      </c>
      <c r="BY24" s="230">
        <v>-17250</v>
      </c>
      <c r="BZ24" s="229">
        <v>-2.5000000000000001E-3</v>
      </c>
      <c r="CA24" s="230">
        <v>6667800</v>
      </c>
      <c r="CB24" s="230">
        <v>6708600</v>
      </c>
      <c r="CC24" s="230">
        <v>-40800</v>
      </c>
      <c r="CD24" s="229">
        <v>-6.1000000000000004E-3</v>
      </c>
      <c r="CE24" s="230">
        <v>296400</v>
      </c>
      <c r="CF24" s="230">
        <v>275250</v>
      </c>
      <c r="CG24" s="230">
        <v>21150</v>
      </c>
      <c r="CH24" s="229">
        <v>7.6799999999999993E-2</v>
      </c>
      <c r="CI24" s="230">
        <v>48300</v>
      </c>
      <c r="CJ24" s="230">
        <v>45900</v>
      </c>
      <c r="CK24" s="230">
        <v>2400</v>
      </c>
      <c r="CL24" s="229">
        <v>5.2299999999999999E-2</v>
      </c>
      <c r="CM24" s="230">
        <v>6302100</v>
      </c>
      <c r="CN24" s="230">
        <v>6209400</v>
      </c>
      <c r="CO24" s="230">
        <v>92700</v>
      </c>
      <c r="CP24" s="229">
        <v>1.49E-2</v>
      </c>
      <c r="CQ24" s="230">
        <v>4357800</v>
      </c>
      <c r="CR24" s="230">
        <v>4333950</v>
      </c>
      <c r="CS24" s="230">
        <v>23850</v>
      </c>
      <c r="CT24" s="229">
        <v>5.4999999999999997E-3</v>
      </c>
      <c r="CU24" s="230">
        <v>17672400</v>
      </c>
      <c r="CV24" s="230">
        <v>17573100</v>
      </c>
      <c r="CW24" s="230">
        <v>99300</v>
      </c>
      <c r="CX24" s="229">
        <v>5.7000000000000002E-3</v>
      </c>
      <c r="CY24" s="228">
        <v>38.86</v>
      </c>
      <c r="CZ24" s="228">
        <v>37.909999999999997</v>
      </c>
      <c r="DA24" s="228">
        <v>0.95</v>
      </c>
      <c r="DB24" s="228">
        <v>0.95</v>
      </c>
      <c r="DC24" s="228">
        <v>40.24</v>
      </c>
      <c r="DD24" s="228">
        <v>40.33</v>
      </c>
      <c r="DE24" s="228">
        <v>-1.38</v>
      </c>
      <c r="DF24" s="228">
        <v>-0.09</v>
      </c>
      <c r="DG24" s="228">
        <v>34.979999999999997</v>
      </c>
      <c r="DH24" s="228">
        <v>35.24</v>
      </c>
      <c r="DI24" s="228">
        <v>-0.26</v>
      </c>
      <c r="DJ24" s="228">
        <v>-0.26</v>
      </c>
      <c r="DK24" s="228">
        <v>43.22</v>
      </c>
      <c r="DL24" s="228">
        <v>41.2</v>
      </c>
      <c r="DM24" s="228">
        <v>2.02</v>
      </c>
      <c r="DN24" s="228">
        <v>2.02</v>
      </c>
      <c r="DO24" s="228">
        <v>0.69</v>
      </c>
      <c r="DP24" s="228">
        <v>0.7</v>
      </c>
      <c r="DQ24" s="228">
        <v>-0.01</v>
      </c>
      <c r="DR24" s="229">
        <v>-1.43E-2</v>
      </c>
      <c r="DS24" s="231">
        <v>4700</v>
      </c>
      <c r="DT24" s="231">
        <v>4400</v>
      </c>
      <c r="DU24" s="228">
        <v>0.89</v>
      </c>
      <c r="DV24" s="228">
        <v>0.81</v>
      </c>
      <c r="DW24" s="228">
        <v>0.08</v>
      </c>
      <c r="DX24" s="229">
        <v>9.8799999999999999E-2</v>
      </c>
      <c r="DY24" s="229">
        <v>4.9200000000000001E-2</v>
      </c>
      <c r="DZ24" s="230">
        <v>321150</v>
      </c>
      <c r="EA24" s="229">
        <v>1.8E-3</v>
      </c>
      <c r="EB24" s="229">
        <v>4.9200000000000001E-2</v>
      </c>
      <c r="EC24" s="228">
        <v>5.75</v>
      </c>
      <c r="ED24" s="229">
        <v>1.1999999999999999E-3</v>
      </c>
      <c r="EE24" s="230">
        <v>338886</v>
      </c>
      <c r="EF24" s="230">
        <v>692801</v>
      </c>
      <c r="EG24" s="229">
        <v>-0.51080000000000003</v>
      </c>
      <c r="EH24" s="229">
        <v>0.42630000000000001</v>
      </c>
      <c r="EI24" s="231">
        <v>207704.65</v>
      </c>
      <c r="EJ24" s="231">
        <v>166875.12</v>
      </c>
      <c r="EK24" s="231">
        <v>40939.72</v>
      </c>
      <c r="EL24" s="231">
        <v>10235</v>
      </c>
      <c r="EM24" s="231">
        <v>415519.49</v>
      </c>
      <c r="EN24" s="231">
        <v>486995.38</v>
      </c>
      <c r="EO24" s="231">
        <v>-71475.89</v>
      </c>
      <c r="EP24" s="229">
        <v>-0.14680000000000001</v>
      </c>
      <c r="EQ24" s="231">
        <v>296914</v>
      </c>
      <c r="ER24" s="231">
        <v>186635</v>
      </c>
      <c r="ES24" s="231">
        <v>325970</v>
      </c>
      <c r="ET24" s="231">
        <v>33878797</v>
      </c>
      <c r="EU24" s="231">
        <v>809518</v>
      </c>
      <c r="EV24" s="231">
        <v>802874</v>
      </c>
      <c r="EW24" s="231">
        <v>6644</v>
      </c>
      <c r="EX24" s="229">
        <v>8.3000000000000001E-3</v>
      </c>
      <c r="EY24" s="229">
        <v>0.52159999999999995</v>
      </c>
    </row>
    <row r="25" spans="1:155" ht="17.25" thickBot="1" x14ac:dyDescent="0.3">
      <c r="A25" s="226">
        <v>46129</v>
      </c>
      <c r="B25" s="227" t="s">
        <v>221</v>
      </c>
      <c r="C25" s="227" t="s">
        <v>240</v>
      </c>
      <c r="D25" s="231">
        <v>1321</v>
      </c>
      <c r="E25" s="231">
        <v>1320.7</v>
      </c>
      <c r="F25" s="228">
        <v>0.3</v>
      </c>
      <c r="G25" s="229">
        <v>2.0000000000000001E-4</v>
      </c>
      <c r="H25" s="231">
        <v>1318.7</v>
      </c>
      <c r="I25" s="231">
        <v>1319.2</v>
      </c>
      <c r="J25" s="228">
        <v>-0.5</v>
      </c>
      <c r="K25" s="229">
        <v>-4.0000000000000002E-4</v>
      </c>
      <c r="L25" s="231">
        <v>1321</v>
      </c>
      <c r="M25" s="231">
        <v>1320.7</v>
      </c>
      <c r="N25" s="228">
        <v>0.3</v>
      </c>
      <c r="O25" s="229">
        <v>2.0000000000000001E-4</v>
      </c>
      <c r="P25" s="231">
        <v>1319.1</v>
      </c>
      <c r="Q25" s="231">
        <v>1317.1</v>
      </c>
      <c r="R25" s="228">
        <v>2</v>
      </c>
      <c r="S25" s="229">
        <v>1.5E-3</v>
      </c>
      <c r="T25" s="231">
        <v>1311.7</v>
      </c>
      <c r="U25" s="231">
        <v>1311.7</v>
      </c>
      <c r="V25" s="228">
        <v>0</v>
      </c>
      <c r="W25" s="229">
        <v>0</v>
      </c>
      <c r="X25" s="228">
        <v>2.2999999999999998</v>
      </c>
      <c r="Y25" s="228">
        <v>1.5</v>
      </c>
      <c r="Z25" s="228">
        <v>0.8</v>
      </c>
      <c r="AA25" s="229">
        <v>1.6999999999999999E-3</v>
      </c>
      <c r="AB25" s="228">
        <v>2.2999999999999998</v>
      </c>
      <c r="AC25" s="228">
        <v>1.5</v>
      </c>
      <c r="AD25" s="228">
        <v>0.8</v>
      </c>
      <c r="AE25" s="229">
        <v>1.6999999999999999E-3</v>
      </c>
      <c r="AF25" s="228">
        <v>0.4</v>
      </c>
      <c r="AG25" s="228">
        <v>-2.1</v>
      </c>
      <c r="AH25" s="228">
        <v>2.5</v>
      </c>
      <c r="AI25" s="229">
        <v>2.9999999999999997E-4</v>
      </c>
      <c r="AJ25" s="228">
        <v>-7</v>
      </c>
      <c r="AK25" s="228">
        <v>-7.5</v>
      </c>
      <c r="AL25" s="228">
        <v>0.5</v>
      </c>
      <c r="AM25" s="229">
        <v>-5.3E-3</v>
      </c>
      <c r="AN25" s="231">
        <v>1317.25</v>
      </c>
      <c r="AO25" s="231">
        <v>1314.57</v>
      </c>
      <c r="AP25" s="228">
        <v>0</v>
      </c>
      <c r="AQ25" s="230">
        <v>27667</v>
      </c>
      <c r="AR25" s="230">
        <v>41375</v>
      </c>
      <c r="AS25" s="230">
        <v>-13708</v>
      </c>
      <c r="AT25" s="229">
        <v>-0.33129999999999998</v>
      </c>
      <c r="AU25" s="230">
        <v>24194</v>
      </c>
      <c r="AV25" s="230">
        <v>36914</v>
      </c>
      <c r="AW25" s="230">
        <v>-12720</v>
      </c>
      <c r="AX25" s="229">
        <v>-0.34460000000000002</v>
      </c>
      <c r="AY25" s="230">
        <v>3083</v>
      </c>
      <c r="AZ25" s="230">
        <v>3431</v>
      </c>
      <c r="BA25" s="228">
        <v>-348</v>
      </c>
      <c r="BB25" s="229">
        <v>-0.1014</v>
      </c>
      <c r="BC25" s="228">
        <v>390</v>
      </c>
      <c r="BD25" s="230">
        <v>1030</v>
      </c>
      <c r="BE25" s="228">
        <v>-640</v>
      </c>
      <c r="BF25" s="229">
        <v>-0.62139999999999995</v>
      </c>
      <c r="BG25" s="230">
        <v>45318</v>
      </c>
      <c r="BH25" s="230">
        <v>85263</v>
      </c>
      <c r="BI25" s="230">
        <v>-39945</v>
      </c>
      <c r="BJ25" s="229">
        <v>-0.46850000000000003</v>
      </c>
      <c r="BK25" s="230">
        <v>33229</v>
      </c>
      <c r="BL25" s="230">
        <v>45496</v>
      </c>
      <c r="BM25" s="230">
        <v>-12267</v>
      </c>
      <c r="BN25" s="229">
        <v>-0.26960000000000001</v>
      </c>
      <c r="BO25" s="230">
        <v>106214</v>
      </c>
      <c r="BP25" s="230">
        <v>172134</v>
      </c>
      <c r="BQ25" s="230">
        <v>-65920</v>
      </c>
      <c r="BR25" s="229">
        <v>-0.38300000000000001</v>
      </c>
      <c r="BS25" s="230">
        <v>12443945</v>
      </c>
      <c r="BT25" s="230">
        <v>20320960</v>
      </c>
      <c r="BU25" s="230">
        <v>-7877015</v>
      </c>
      <c r="BV25" s="229">
        <v>-0.3876</v>
      </c>
      <c r="BW25" s="230">
        <v>79619200</v>
      </c>
      <c r="BX25" s="230">
        <v>80956000</v>
      </c>
      <c r="BY25" s="230">
        <v>-1336800</v>
      </c>
      <c r="BZ25" s="229">
        <v>-1.6500000000000001E-2</v>
      </c>
      <c r="CA25" s="230">
        <v>75030800</v>
      </c>
      <c r="CB25" s="230">
        <v>76714400</v>
      </c>
      <c r="CC25" s="230">
        <v>-1683600</v>
      </c>
      <c r="CD25" s="229">
        <v>-2.1899999999999999E-2</v>
      </c>
      <c r="CE25" s="230">
        <v>3689600</v>
      </c>
      <c r="CF25" s="230">
        <v>3387600</v>
      </c>
      <c r="CG25" s="230">
        <v>302000</v>
      </c>
      <c r="CH25" s="229">
        <v>8.9099999999999999E-2</v>
      </c>
      <c r="CI25" s="230">
        <v>898800</v>
      </c>
      <c r="CJ25" s="230">
        <v>854000</v>
      </c>
      <c r="CK25" s="230">
        <v>44800</v>
      </c>
      <c r="CL25" s="229">
        <v>5.2499999999999998E-2</v>
      </c>
      <c r="CM25" s="230">
        <v>28466400</v>
      </c>
      <c r="CN25" s="230">
        <v>27637200</v>
      </c>
      <c r="CO25" s="230">
        <v>829200</v>
      </c>
      <c r="CP25" s="229">
        <v>0.03</v>
      </c>
      <c r="CQ25" s="230">
        <v>20294800</v>
      </c>
      <c r="CR25" s="230">
        <v>20277600</v>
      </c>
      <c r="CS25" s="230">
        <v>17200</v>
      </c>
      <c r="CT25" s="229">
        <v>8.0000000000000004E-4</v>
      </c>
      <c r="CU25" s="230">
        <v>128380400</v>
      </c>
      <c r="CV25" s="230">
        <v>128870800</v>
      </c>
      <c r="CW25" s="230">
        <v>-490400</v>
      </c>
      <c r="CX25" s="229">
        <v>-3.8E-3</v>
      </c>
      <c r="CY25" s="228">
        <v>34.840000000000003</v>
      </c>
      <c r="CZ25" s="228">
        <v>35.130000000000003</v>
      </c>
      <c r="DA25" s="228">
        <v>-0.28999999999999998</v>
      </c>
      <c r="DB25" s="228">
        <v>-0.28999999999999998</v>
      </c>
      <c r="DC25" s="228">
        <v>30.95</v>
      </c>
      <c r="DD25" s="228">
        <v>31.03</v>
      </c>
      <c r="DE25" s="228">
        <v>3.89</v>
      </c>
      <c r="DF25" s="228">
        <v>-0.08</v>
      </c>
      <c r="DG25" s="228">
        <v>33.47</v>
      </c>
      <c r="DH25" s="228">
        <v>34.11</v>
      </c>
      <c r="DI25" s="228">
        <v>-0.64</v>
      </c>
      <c r="DJ25" s="228">
        <v>-0.64</v>
      </c>
      <c r="DK25" s="228">
        <v>36.72</v>
      </c>
      <c r="DL25" s="228">
        <v>37.04</v>
      </c>
      <c r="DM25" s="228">
        <v>-0.32</v>
      </c>
      <c r="DN25" s="228">
        <v>-0.32</v>
      </c>
      <c r="DO25" s="228">
        <v>0.71</v>
      </c>
      <c r="DP25" s="228">
        <v>0.73</v>
      </c>
      <c r="DQ25" s="228">
        <v>-0.02</v>
      </c>
      <c r="DR25" s="229">
        <v>-2.7400000000000001E-2</v>
      </c>
      <c r="DS25" s="231">
        <v>1350</v>
      </c>
      <c r="DT25" s="231">
        <v>1280</v>
      </c>
      <c r="DU25" s="228">
        <v>0.73</v>
      </c>
      <c r="DV25" s="228">
        <v>0.53</v>
      </c>
      <c r="DW25" s="228">
        <v>0.2</v>
      </c>
      <c r="DX25" s="229">
        <v>0.37740000000000001</v>
      </c>
      <c r="DY25" s="229">
        <v>5.7599999999999998E-2</v>
      </c>
      <c r="DZ25" s="230">
        <v>4241600</v>
      </c>
      <c r="EA25" s="229">
        <v>-1.4E-3</v>
      </c>
      <c r="EB25" s="229">
        <v>5.7599999999999998E-2</v>
      </c>
      <c r="EC25" s="228">
        <v>-2.68</v>
      </c>
      <c r="ED25" s="229">
        <v>-2E-3</v>
      </c>
      <c r="EE25" s="230">
        <v>7412894</v>
      </c>
      <c r="EF25" s="230">
        <v>7789524</v>
      </c>
      <c r="EG25" s="229">
        <v>-4.8399999999999999E-2</v>
      </c>
      <c r="EH25" s="229">
        <v>0.59570000000000001</v>
      </c>
      <c r="EI25" s="231">
        <v>249325.28</v>
      </c>
      <c r="EJ25" s="231">
        <v>172154.21</v>
      </c>
      <c r="EK25" s="231">
        <v>145731.44</v>
      </c>
      <c r="EL25" s="231">
        <v>37988</v>
      </c>
      <c r="EM25" s="231">
        <v>567210.93000000005</v>
      </c>
      <c r="EN25" s="231">
        <v>923529.2</v>
      </c>
      <c r="EO25" s="231">
        <v>-356318.27</v>
      </c>
      <c r="EP25" s="229">
        <v>-0.38579999999999998</v>
      </c>
      <c r="EQ25" s="231">
        <v>387184</v>
      </c>
      <c r="ER25" s="231">
        <v>259472</v>
      </c>
      <c r="ES25" s="231">
        <v>1051616</v>
      </c>
      <c r="ET25" s="231">
        <v>475237614</v>
      </c>
      <c r="EU25" s="231">
        <v>1698272</v>
      </c>
      <c r="EV25" s="231">
        <v>1703424</v>
      </c>
      <c r="EW25" s="231">
        <v>-5152</v>
      </c>
      <c r="EX25" s="229">
        <v>-3.0000000000000001E-3</v>
      </c>
      <c r="EY25" s="229">
        <v>0.27010000000000001</v>
      </c>
    </row>
    <row r="26" spans="1:155" ht="17.25" thickBot="1" x14ac:dyDescent="0.3">
      <c r="A26" s="226">
        <v>46129</v>
      </c>
      <c r="B26" s="227" t="s">
        <v>168</v>
      </c>
      <c r="C26" s="227" t="s">
        <v>242</v>
      </c>
      <c r="D26" s="228">
        <v>307.5</v>
      </c>
      <c r="E26" s="228">
        <v>303.75</v>
      </c>
      <c r="F26" s="228">
        <v>3.75</v>
      </c>
      <c r="G26" s="229">
        <v>1.23E-2</v>
      </c>
      <c r="H26" s="228">
        <v>306.8</v>
      </c>
      <c r="I26" s="228">
        <v>303.39999999999998</v>
      </c>
      <c r="J26" s="228">
        <v>3.4</v>
      </c>
      <c r="K26" s="229">
        <v>1.12E-2</v>
      </c>
      <c r="L26" s="228">
        <v>307.5</v>
      </c>
      <c r="M26" s="228">
        <v>303.75</v>
      </c>
      <c r="N26" s="228">
        <v>3.75</v>
      </c>
      <c r="O26" s="229">
        <v>1.23E-2</v>
      </c>
      <c r="P26" s="228">
        <v>309.25</v>
      </c>
      <c r="Q26" s="228">
        <v>305.55</v>
      </c>
      <c r="R26" s="228">
        <v>3.7</v>
      </c>
      <c r="S26" s="229">
        <v>1.21E-2</v>
      </c>
      <c r="T26" s="228">
        <v>311.14999999999998</v>
      </c>
      <c r="U26" s="228">
        <v>307.2</v>
      </c>
      <c r="V26" s="228">
        <v>3.95</v>
      </c>
      <c r="W26" s="229">
        <v>1.29E-2</v>
      </c>
      <c r="X26" s="228">
        <v>0.7</v>
      </c>
      <c r="Y26" s="228">
        <v>0.35</v>
      </c>
      <c r="Z26" s="228">
        <v>0.35</v>
      </c>
      <c r="AA26" s="229">
        <v>2.3E-3</v>
      </c>
      <c r="AB26" s="228">
        <v>0.7</v>
      </c>
      <c r="AC26" s="228">
        <v>0.35</v>
      </c>
      <c r="AD26" s="228">
        <v>0.35</v>
      </c>
      <c r="AE26" s="229">
        <v>2.3E-3</v>
      </c>
      <c r="AF26" s="228">
        <v>2.4500000000000002</v>
      </c>
      <c r="AG26" s="228">
        <v>2.15</v>
      </c>
      <c r="AH26" s="228">
        <v>0.3</v>
      </c>
      <c r="AI26" s="229">
        <v>8.0000000000000002E-3</v>
      </c>
      <c r="AJ26" s="228">
        <v>4.3499999999999996</v>
      </c>
      <c r="AK26" s="228">
        <v>3.8</v>
      </c>
      <c r="AL26" s="228">
        <v>0.55000000000000004</v>
      </c>
      <c r="AM26" s="229">
        <v>1.4200000000000001E-2</v>
      </c>
      <c r="AN26" s="228">
        <v>308.2</v>
      </c>
      <c r="AO26" s="228">
        <v>309.83999999999997</v>
      </c>
      <c r="AP26" s="228">
        <v>0</v>
      </c>
      <c r="AQ26" s="230">
        <v>21086</v>
      </c>
      <c r="AR26" s="230">
        <v>7544</v>
      </c>
      <c r="AS26" s="230">
        <v>13542</v>
      </c>
      <c r="AT26" s="229">
        <v>1.7950999999999999</v>
      </c>
      <c r="AU26" s="230">
        <v>16030</v>
      </c>
      <c r="AV26" s="230">
        <v>6015</v>
      </c>
      <c r="AW26" s="230">
        <v>10015</v>
      </c>
      <c r="AX26" s="229">
        <v>1.665</v>
      </c>
      <c r="AY26" s="230">
        <v>3421</v>
      </c>
      <c r="AZ26" s="230">
        <v>1236</v>
      </c>
      <c r="BA26" s="230">
        <v>2185</v>
      </c>
      <c r="BB26" s="229">
        <v>1.7678</v>
      </c>
      <c r="BC26" s="230">
        <v>1635</v>
      </c>
      <c r="BD26" s="228">
        <v>293</v>
      </c>
      <c r="BE26" s="230">
        <v>1342</v>
      </c>
      <c r="BF26" s="229">
        <v>4.5801999999999996</v>
      </c>
      <c r="BG26" s="230">
        <v>178202</v>
      </c>
      <c r="BH26" s="230">
        <v>49336</v>
      </c>
      <c r="BI26" s="230">
        <v>128866</v>
      </c>
      <c r="BJ26" s="229">
        <v>2.6120000000000001</v>
      </c>
      <c r="BK26" s="230">
        <v>76328</v>
      </c>
      <c r="BL26" s="230">
        <v>23298</v>
      </c>
      <c r="BM26" s="230">
        <v>53030</v>
      </c>
      <c r="BN26" s="229">
        <v>2.2761999999999998</v>
      </c>
      <c r="BO26" s="230">
        <v>275616</v>
      </c>
      <c r="BP26" s="230">
        <v>80178</v>
      </c>
      <c r="BQ26" s="230">
        <v>195438</v>
      </c>
      <c r="BR26" s="229">
        <v>2.4376000000000002</v>
      </c>
      <c r="BS26" s="230">
        <v>36660208</v>
      </c>
      <c r="BT26" s="230">
        <v>17995611</v>
      </c>
      <c r="BU26" s="230">
        <v>18664597</v>
      </c>
      <c r="BV26" s="229">
        <v>1.0371999999999999</v>
      </c>
      <c r="BW26" s="230">
        <v>165144000</v>
      </c>
      <c r="BX26" s="230">
        <v>163216000</v>
      </c>
      <c r="BY26" s="230">
        <v>1928000</v>
      </c>
      <c r="BZ26" s="229">
        <v>1.18E-2</v>
      </c>
      <c r="CA26" s="230">
        <v>143740800</v>
      </c>
      <c r="CB26" s="230">
        <v>146020800</v>
      </c>
      <c r="CC26" s="230">
        <v>-2280000</v>
      </c>
      <c r="CD26" s="229">
        <v>-1.5599999999999999E-2</v>
      </c>
      <c r="CE26" s="230">
        <v>17001600</v>
      </c>
      <c r="CF26" s="230">
        <v>14900800</v>
      </c>
      <c r="CG26" s="230">
        <v>2100800</v>
      </c>
      <c r="CH26" s="229">
        <v>0.14099999999999999</v>
      </c>
      <c r="CI26" s="230">
        <v>4401600</v>
      </c>
      <c r="CJ26" s="230">
        <v>2294400</v>
      </c>
      <c r="CK26" s="230">
        <v>2107200</v>
      </c>
      <c r="CL26" s="229">
        <v>0.91839999999999999</v>
      </c>
      <c r="CM26" s="230">
        <v>114555200</v>
      </c>
      <c r="CN26" s="230">
        <v>98401600</v>
      </c>
      <c r="CO26" s="230">
        <v>16153600</v>
      </c>
      <c r="CP26" s="229">
        <v>0.16420000000000001</v>
      </c>
      <c r="CQ26" s="230">
        <v>57020800</v>
      </c>
      <c r="CR26" s="230">
        <v>51764800</v>
      </c>
      <c r="CS26" s="230">
        <v>5256000</v>
      </c>
      <c r="CT26" s="229">
        <v>0.10150000000000001</v>
      </c>
      <c r="CU26" s="230">
        <v>336720000</v>
      </c>
      <c r="CV26" s="230">
        <v>313382400</v>
      </c>
      <c r="CW26" s="230">
        <v>23337600</v>
      </c>
      <c r="CX26" s="229">
        <v>7.4499999999999997E-2</v>
      </c>
      <c r="CY26" s="228">
        <v>20.91</v>
      </c>
      <c r="CZ26" s="228">
        <v>20.91</v>
      </c>
      <c r="DA26" s="228">
        <v>0</v>
      </c>
      <c r="DB26" s="228">
        <v>0</v>
      </c>
      <c r="DC26" s="228">
        <v>24.47</v>
      </c>
      <c r="DD26" s="228">
        <v>24.48</v>
      </c>
      <c r="DE26" s="228">
        <v>-3.56</v>
      </c>
      <c r="DF26" s="228">
        <v>-0.01</v>
      </c>
      <c r="DG26" s="228">
        <v>20.54</v>
      </c>
      <c r="DH26" s="228">
        <v>20.14</v>
      </c>
      <c r="DI26" s="228">
        <v>0.4</v>
      </c>
      <c r="DJ26" s="228">
        <v>0.4</v>
      </c>
      <c r="DK26" s="228">
        <v>21.78</v>
      </c>
      <c r="DL26" s="228">
        <v>22.53</v>
      </c>
      <c r="DM26" s="228">
        <v>-0.75</v>
      </c>
      <c r="DN26" s="228">
        <v>-0.75</v>
      </c>
      <c r="DO26" s="228">
        <v>0.5</v>
      </c>
      <c r="DP26" s="228">
        <v>0.53</v>
      </c>
      <c r="DQ26" s="228">
        <v>-0.03</v>
      </c>
      <c r="DR26" s="229">
        <v>-5.6599999999999998E-2</v>
      </c>
      <c r="DS26" s="228">
        <v>300</v>
      </c>
      <c r="DT26" s="228">
        <v>300</v>
      </c>
      <c r="DU26" s="228">
        <v>0.43</v>
      </c>
      <c r="DV26" s="228">
        <v>0.47</v>
      </c>
      <c r="DW26" s="228">
        <v>-0.04</v>
      </c>
      <c r="DX26" s="229">
        <v>-8.5099999999999995E-2</v>
      </c>
      <c r="DY26" s="229">
        <v>0.12959999999999999</v>
      </c>
      <c r="DZ26" s="230">
        <v>17195200</v>
      </c>
      <c r="EA26" s="229">
        <v>5.7000000000000002E-3</v>
      </c>
      <c r="EB26" s="229">
        <v>0.12959999999999999</v>
      </c>
      <c r="EC26" s="228">
        <v>1.64</v>
      </c>
      <c r="ED26" s="229">
        <v>5.3E-3</v>
      </c>
      <c r="EE26" s="230">
        <v>17476483</v>
      </c>
      <c r="EF26" s="230">
        <v>8967548</v>
      </c>
      <c r="EG26" s="229">
        <v>0.94889999999999997</v>
      </c>
      <c r="EH26" s="229">
        <v>0.47670000000000001</v>
      </c>
      <c r="EI26" s="231">
        <v>903423.43</v>
      </c>
      <c r="EJ26" s="231">
        <v>367982.16</v>
      </c>
      <c r="EK26" s="231">
        <v>104147.34</v>
      </c>
      <c r="EL26" s="231">
        <v>7770</v>
      </c>
      <c r="EM26" s="231">
        <v>1375552.93</v>
      </c>
      <c r="EN26" s="231">
        <v>395265.01</v>
      </c>
      <c r="EO26" s="231">
        <v>980287.92</v>
      </c>
      <c r="EP26" s="229">
        <v>2.4801000000000002</v>
      </c>
      <c r="EQ26" s="231">
        <v>361432</v>
      </c>
      <c r="ER26" s="231">
        <v>170421</v>
      </c>
      <c r="ES26" s="231">
        <v>508276</v>
      </c>
      <c r="ET26" s="231">
        <v>1317896781</v>
      </c>
      <c r="EU26" s="231">
        <v>1040129</v>
      </c>
      <c r="EV26" s="231">
        <v>960147</v>
      </c>
      <c r="EW26" s="231">
        <v>79982</v>
      </c>
      <c r="EX26" s="229">
        <v>8.3299999999999999E-2</v>
      </c>
      <c r="EY26" s="229">
        <v>0.2555</v>
      </c>
    </row>
    <row r="27" spans="1:155" ht="17.25" thickBot="1" x14ac:dyDescent="0.3">
      <c r="A27" s="226">
        <v>46129</v>
      </c>
      <c r="B27" s="227" t="s">
        <v>175</v>
      </c>
      <c r="C27" s="227" t="s">
        <v>569</v>
      </c>
      <c r="D27" s="228">
        <v>244.6</v>
      </c>
      <c r="E27" s="228">
        <v>241.8</v>
      </c>
      <c r="F27" s="228">
        <v>2.8</v>
      </c>
      <c r="G27" s="229">
        <v>1.1599999999999999E-2</v>
      </c>
      <c r="H27" s="228">
        <v>243.86</v>
      </c>
      <c r="I27" s="228">
        <v>241.27</v>
      </c>
      <c r="J27" s="228">
        <v>2.59</v>
      </c>
      <c r="K27" s="229">
        <v>1.0699999999999999E-2</v>
      </c>
      <c r="L27" s="228">
        <v>244.6</v>
      </c>
      <c r="M27" s="228">
        <v>241.8</v>
      </c>
      <c r="N27" s="228">
        <v>2.8</v>
      </c>
      <c r="O27" s="229">
        <v>1.1599999999999999E-2</v>
      </c>
      <c r="P27" s="228">
        <v>245.81</v>
      </c>
      <c r="Q27" s="228">
        <v>243.18</v>
      </c>
      <c r="R27" s="228">
        <v>2.63</v>
      </c>
      <c r="S27" s="229">
        <v>1.0800000000000001E-2</v>
      </c>
      <c r="T27" s="228">
        <v>247.57</v>
      </c>
      <c r="U27" s="228">
        <v>244.64</v>
      </c>
      <c r="V27" s="228">
        <v>2.93</v>
      </c>
      <c r="W27" s="229">
        <v>1.2E-2</v>
      </c>
      <c r="X27" s="228">
        <v>0.74</v>
      </c>
      <c r="Y27" s="228">
        <v>0.53</v>
      </c>
      <c r="Z27" s="228">
        <v>0.21</v>
      </c>
      <c r="AA27" s="229">
        <v>3.0000000000000001E-3</v>
      </c>
      <c r="AB27" s="228">
        <v>0.74</v>
      </c>
      <c r="AC27" s="228">
        <v>0.53</v>
      </c>
      <c r="AD27" s="228">
        <v>0.21</v>
      </c>
      <c r="AE27" s="229">
        <v>3.0000000000000001E-3</v>
      </c>
      <c r="AF27" s="228">
        <v>1.95</v>
      </c>
      <c r="AG27" s="228">
        <v>1.91</v>
      </c>
      <c r="AH27" s="228">
        <v>0.04</v>
      </c>
      <c r="AI27" s="229">
        <v>8.0000000000000002E-3</v>
      </c>
      <c r="AJ27" s="228">
        <v>3.71</v>
      </c>
      <c r="AK27" s="228">
        <v>3.37</v>
      </c>
      <c r="AL27" s="228">
        <v>0.34</v>
      </c>
      <c r="AM27" s="229">
        <v>1.52E-2</v>
      </c>
      <c r="AN27" s="228">
        <v>243.74</v>
      </c>
      <c r="AO27" s="228">
        <v>244.84</v>
      </c>
      <c r="AP27" s="228">
        <v>0</v>
      </c>
      <c r="AQ27" s="230">
        <v>18629</v>
      </c>
      <c r="AR27" s="230">
        <v>10976</v>
      </c>
      <c r="AS27" s="230">
        <v>7653</v>
      </c>
      <c r="AT27" s="229">
        <v>0.69720000000000004</v>
      </c>
      <c r="AU27" s="230">
        <v>13146</v>
      </c>
      <c r="AV27" s="230">
        <v>7568</v>
      </c>
      <c r="AW27" s="230">
        <v>5578</v>
      </c>
      <c r="AX27" s="229">
        <v>0.73709999999999998</v>
      </c>
      <c r="AY27" s="230">
        <v>4498</v>
      </c>
      <c r="AZ27" s="230">
        <v>2185</v>
      </c>
      <c r="BA27" s="230">
        <v>2313</v>
      </c>
      <c r="BB27" s="229">
        <v>1.0586</v>
      </c>
      <c r="BC27" s="228">
        <v>985</v>
      </c>
      <c r="BD27" s="230">
        <v>1223</v>
      </c>
      <c r="BE27" s="228">
        <v>-238</v>
      </c>
      <c r="BF27" s="229">
        <v>-0.1946</v>
      </c>
      <c r="BG27" s="230">
        <v>53820</v>
      </c>
      <c r="BH27" s="230">
        <v>20378</v>
      </c>
      <c r="BI27" s="230">
        <v>33442</v>
      </c>
      <c r="BJ27" s="229">
        <v>1.6411</v>
      </c>
      <c r="BK27" s="230">
        <v>18063</v>
      </c>
      <c r="BL27" s="230">
        <v>9436</v>
      </c>
      <c r="BM27" s="230">
        <v>8627</v>
      </c>
      <c r="BN27" s="229">
        <v>0.9143</v>
      </c>
      <c r="BO27" s="230">
        <v>90512</v>
      </c>
      <c r="BP27" s="230">
        <v>40790</v>
      </c>
      <c r="BQ27" s="230">
        <v>49722</v>
      </c>
      <c r="BR27" s="229">
        <v>1.2190000000000001</v>
      </c>
      <c r="BS27" s="230">
        <v>54250757</v>
      </c>
      <c r="BT27" s="230">
        <v>27359017</v>
      </c>
      <c r="BU27" s="230">
        <v>26891740</v>
      </c>
      <c r="BV27" s="229">
        <v>0.9829</v>
      </c>
      <c r="BW27" s="230">
        <v>169855650</v>
      </c>
      <c r="BX27" s="230">
        <v>153779300</v>
      </c>
      <c r="BY27" s="230">
        <v>16076350</v>
      </c>
      <c r="BZ27" s="229">
        <v>0.1045</v>
      </c>
      <c r="CA27" s="230">
        <v>132995900</v>
      </c>
      <c r="CB27" s="230">
        <v>125659200</v>
      </c>
      <c r="CC27" s="230">
        <v>7336700</v>
      </c>
      <c r="CD27" s="229">
        <v>5.8400000000000001E-2</v>
      </c>
      <c r="CE27" s="230">
        <v>30862550</v>
      </c>
      <c r="CF27" s="230">
        <v>23946500</v>
      </c>
      <c r="CG27" s="230">
        <v>6916050</v>
      </c>
      <c r="CH27" s="229">
        <v>0.2888</v>
      </c>
      <c r="CI27" s="230">
        <v>5997200</v>
      </c>
      <c r="CJ27" s="230">
        <v>4173600</v>
      </c>
      <c r="CK27" s="230">
        <v>1823600</v>
      </c>
      <c r="CL27" s="229">
        <v>0.43690000000000001</v>
      </c>
      <c r="CM27" s="230">
        <v>69118200</v>
      </c>
      <c r="CN27" s="230">
        <v>50908050</v>
      </c>
      <c r="CO27" s="230">
        <v>18210150</v>
      </c>
      <c r="CP27" s="229">
        <v>0.35770000000000002</v>
      </c>
      <c r="CQ27" s="230">
        <v>46475950</v>
      </c>
      <c r="CR27" s="230">
        <v>37144100</v>
      </c>
      <c r="CS27" s="230">
        <v>9331850</v>
      </c>
      <c r="CT27" s="229">
        <v>0.25119999999999998</v>
      </c>
      <c r="CU27" s="230">
        <v>285449800</v>
      </c>
      <c r="CV27" s="230">
        <v>241831450</v>
      </c>
      <c r="CW27" s="230">
        <v>43618350</v>
      </c>
      <c r="CX27" s="229">
        <v>0.1804</v>
      </c>
      <c r="CY27" s="228">
        <v>40.93</v>
      </c>
      <c r="CZ27" s="228">
        <v>39.72</v>
      </c>
      <c r="DA27" s="228">
        <v>1.21</v>
      </c>
      <c r="DB27" s="228">
        <v>1.21</v>
      </c>
      <c r="DC27" s="228">
        <v>37.39</v>
      </c>
      <c r="DD27" s="228">
        <v>37.450000000000003</v>
      </c>
      <c r="DE27" s="228">
        <v>3.54</v>
      </c>
      <c r="DF27" s="228">
        <v>-0.06</v>
      </c>
      <c r="DG27" s="228">
        <v>41.02</v>
      </c>
      <c r="DH27" s="228">
        <v>39.6</v>
      </c>
      <c r="DI27" s="228">
        <v>1.42</v>
      </c>
      <c r="DJ27" s="228">
        <v>1.42</v>
      </c>
      <c r="DK27" s="228">
        <v>40.65</v>
      </c>
      <c r="DL27" s="228">
        <v>40</v>
      </c>
      <c r="DM27" s="228">
        <v>0.65</v>
      </c>
      <c r="DN27" s="228">
        <v>0.65</v>
      </c>
      <c r="DO27" s="228">
        <v>0.67</v>
      </c>
      <c r="DP27" s="228">
        <v>0.73</v>
      </c>
      <c r="DQ27" s="228">
        <v>-0.06</v>
      </c>
      <c r="DR27" s="229">
        <v>-8.2199999999999995E-2</v>
      </c>
      <c r="DS27" s="228">
        <v>250</v>
      </c>
      <c r="DT27" s="228">
        <v>240</v>
      </c>
      <c r="DU27" s="228">
        <v>0.34</v>
      </c>
      <c r="DV27" s="228">
        <v>0.46</v>
      </c>
      <c r="DW27" s="228">
        <v>-0.12</v>
      </c>
      <c r="DX27" s="229">
        <v>-0.26090000000000002</v>
      </c>
      <c r="DY27" s="229">
        <v>0.217</v>
      </c>
      <c r="DZ27" s="230">
        <v>28120100</v>
      </c>
      <c r="EA27" s="229">
        <v>4.8999999999999998E-3</v>
      </c>
      <c r="EB27" s="229">
        <v>0.217</v>
      </c>
      <c r="EC27" s="228">
        <v>1.1000000000000001</v>
      </c>
      <c r="ED27" s="229">
        <v>4.4999999999999997E-3</v>
      </c>
      <c r="EE27" s="230">
        <v>33884357</v>
      </c>
      <c r="EF27" s="230">
        <v>12901031</v>
      </c>
      <c r="EG27" s="229">
        <v>1.6265000000000001</v>
      </c>
      <c r="EH27" s="229">
        <v>0.62460000000000004</v>
      </c>
      <c r="EI27" s="231">
        <v>326497.53999999998</v>
      </c>
      <c r="EJ27" s="231">
        <v>101793.24</v>
      </c>
      <c r="EK27" s="231">
        <v>106878.67</v>
      </c>
      <c r="EL27" s="231">
        <v>6989</v>
      </c>
      <c r="EM27" s="231">
        <v>535169.44999999995</v>
      </c>
      <c r="EN27" s="231">
        <v>238011.89</v>
      </c>
      <c r="EO27" s="231">
        <v>297157.56</v>
      </c>
      <c r="EP27" s="229">
        <v>1.2484999999999999</v>
      </c>
      <c r="EQ27" s="231">
        <v>176420</v>
      </c>
      <c r="ER27" s="231">
        <v>112795</v>
      </c>
      <c r="ES27" s="231">
        <v>416018</v>
      </c>
      <c r="ET27" s="231">
        <v>490240515</v>
      </c>
      <c r="EU27" s="231">
        <v>705234</v>
      </c>
      <c r="EV27" s="231">
        <v>592562</v>
      </c>
      <c r="EW27" s="231">
        <v>112672</v>
      </c>
      <c r="EX27" s="229">
        <v>0.19009999999999999</v>
      </c>
      <c r="EY27" s="229">
        <v>0.58230000000000004</v>
      </c>
    </row>
    <row r="28" spans="1:155" ht="17.25" thickBot="1" x14ac:dyDescent="0.3">
      <c r="A28" s="226">
        <v>46129</v>
      </c>
      <c r="B28" s="227" t="s">
        <v>227</v>
      </c>
      <c r="C28" s="227" t="s">
        <v>244</v>
      </c>
      <c r="D28" s="231">
        <v>1240.2</v>
      </c>
      <c r="E28" s="231">
        <v>1217.3</v>
      </c>
      <c r="F28" s="228">
        <v>22.9</v>
      </c>
      <c r="G28" s="229">
        <v>1.8800000000000001E-2</v>
      </c>
      <c r="H28" s="231">
        <v>1240.3</v>
      </c>
      <c r="I28" s="231">
        <v>1214.9000000000001</v>
      </c>
      <c r="J28" s="228">
        <v>25.4</v>
      </c>
      <c r="K28" s="229">
        <v>2.0899999999999998E-2</v>
      </c>
      <c r="L28" s="231">
        <v>1240.2</v>
      </c>
      <c r="M28" s="231">
        <v>1217.3</v>
      </c>
      <c r="N28" s="228">
        <v>22.9</v>
      </c>
      <c r="O28" s="229">
        <v>1.8800000000000001E-2</v>
      </c>
      <c r="P28" s="231">
        <v>1247.5999999999999</v>
      </c>
      <c r="Q28" s="231">
        <v>1224.2</v>
      </c>
      <c r="R28" s="228">
        <v>23.4</v>
      </c>
      <c r="S28" s="229">
        <v>1.9099999999999999E-2</v>
      </c>
      <c r="T28" s="231">
        <v>1254.4000000000001</v>
      </c>
      <c r="U28" s="231">
        <v>1229.3</v>
      </c>
      <c r="V28" s="228">
        <v>25.1</v>
      </c>
      <c r="W28" s="229">
        <v>2.0400000000000001E-2</v>
      </c>
      <c r="X28" s="228">
        <v>-0.1</v>
      </c>
      <c r="Y28" s="228">
        <v>2.4</v>
      </c>
      <c r="Z28" s="228">
        <v>-2.5</v>
      </c>
      <c r="AA28" s="229">
        <v>-1E-4</v>
      </c>
      <c r="AB28" s="228">
        <v>-0.1</v>
      </c>
      <c r="AC28" s="228">
        <v>2.4</v>
      </c>
      <c r="AD28" s="228">
        <v>-2.5</v>
      </c>
      <c r="AE28" s="229">
        <v>-1E-4</v>
      </c>
      <c r="AF28" s="228">
        <v>7.3</v>
      </c>
      <c r="AG28" s="228">
        <v>9.3000000000000007</v>
      </c>
      <c r="AH28" s="228">
        <v>-2</v>
      </c>
      <c r="AI28" s="229">
        <v>5.8999999999999999E-3</v>
      </c>
      <c r="AJ28" s="228">
        <v>14.1</v>
      </c>
      <c r="AK28" s="228">
        <v>14.4</v>
      </c>
      <c r="AL28" s="228">
        <v>-0.3</v>
      </c>
      <c r="AM28" s="229">
        <v>1.14E-2</v>
      </c>
      <c r="AN28" s="231">
        <v>1231.95</v>
      </c>
      <c r="AO28" s="231">
        <v>1242.3900000000001</v>
      </c>
      <c r="AP28" s="228">
        <v>0</v>
      </c>
      <c r="AQ28" s="230">
        <v>7995</v>
      </c>
      <c r="AR28" s="230">
        <v>5998</v>
      </c>
      <c r="AS28" s="230">
        <v>1997</v>
      </c>
      <c r="AT28" s="229">
        <v>0.33289999999999997</v>
      </c>
      <c r="AU28" s="230">
        <v>5643</v>
      </c>
      <c r="AV28" s="230">
        <v>5031</v>
      </c>
      <c r="AW28" s="228">
        <v>612</v>
      </c>
      <c r="AX28" s="229">
        <v>0.1216</v>
      </c>
      <c r="AY28" s="230">
        <v>2337</v>
      </c>
      <c r="AZ28" s="228">
        <v>947</v>
      </c>
      <c r="BA28" s="230">
        <v>1390</v>
      </c>
      <c r="BB28" s="229">
        <v>1.4678</v>
      </c>
      <c r="BC28" s="228">
        <v>15</v>
      </c>
      <c r="BD28" s="228">
        <v>20</v>
      </c>
      <c r="BE28" s="228">
        <v>-5</v>
      </c>
      <c r="BF28" s="229">
        <v>-0.25</v>
      </c>
      <c r="BG28" s="230">
        <v>15929</v>
      </c>
      <c r="BH28" s="230">
        <v>12404</v>
      </c>
      <c r="BI28" s="230">
        <v>3525</v>
      </c>
      <c r="BJ28" s="229">
        <v>0.28420000000000001</v>
      </c>
      <c r="BK28" s="230">
        <v>7910</v>
      </c>
      <c r="BL28" s="230">
        <v>5885</v>
      </c>
      <c r="BM28" s="230">
        <v>2025</v>
      </c>
      <c r="BN28" s="229">
        <v>0.34410000000000002</v>
      </c>
      <c r="BO28" s="230">
        <v>31834</v>
      </c>
      <c r="BP28" s="230">
        <v>24287</v>
      </c>
      <c r="BQ28" s="230">
        <v>7547</v>
      </c>
      <c r="BR28" s="229">
        <v>0.31069999999999998</v>
      </c>
      <c r="BS28" s="230">
        <v>1941439</v>
      </c>
      <c r="BT28" s="230">
        <v>2823610</v>
      </c>
      <c r="BU28" s="230">
        <v>-882171</v>
      </c>
      <c r="BV28" s="229">
        <v>-0.31240000000000001</v>
      </c>
      <c r="BW28" s="230">
        <v>49965525</v>
      </c>
      <c r="BX28" s="230">
        <v>50149800</v>
      </c>
      <c r="BY28" s="230">
        <v>-184275</v>
      </c>
      <c r="BZ28" s="229">
        <v>-3.7000000000000002E-3</v>
      </c>
      <c r="CA28" s="230">
        <v>43573950</v>
      </c>
      <c r="CB28" s="230">
        <v>45100800</v>
      </c>
      <c r="CC28" s="230">
        <v>-1526850</v>
      </c>
      <c r="CD28" s="229">
        <v>-3.39E-2</v>
      </c>
      <c r="CE28" s="230">
        <v>6291675</v>
      </c>
      <c r="CF28" s="230">
        <v>4949775</v>
      </c>
      <c r="CG28" s="230">
        <v>1341900</v>
      </c>
      <c r="CH28" s="229">
        <v>0.27110000000000001</v>
      </c>
      <c r="CI28" s="230">
        <v>99900</v>
      </c>
      <c r="CJ28" s="230">
        <v>99225</v>
      </c>
      <c r="CK28" s="228">
        <v>675</v>
      </c>
      <c r="CL28" s="229">
        <v>6.7999999999999996E-3</v>
      </c>
      <c r="CM28" s="230">
        <v>5775300</v>
      </c>
      <c r="CN28" s="230">
        <v>6699375</v>
      </c>
      <c r="CO28" s="230">
        <v>-924075</v>
      </c>
      <c r="CP28" s="229">
        <v>-0.13789999999999999</v>
      </c>
      <c r="CQ28" s="230">
        <v>5556600</v>
      </c>
      <c r="CR28" s="230">
        <v>5481000</v>
      </c>
      <c r="CS28" s="230">
        <v>75600</v>
      </c>
      <c r="CT28" s="229">
        <v>1.38E-2</v>
      </c>
      <c r="CU28" s="230">
        <v>61297425</v>
      </c>
      <c r="CV28" s="230">
        <v>62330175</v>
      </c>
      <c r="CW28" s="230">
        <v>-1032750</v>
      </c>
      <c r="CX28" s="229">
        <v>-1.66E-2</v>
      </c>
      <c r="CY28" s="228">
        <v>27.63</v>
      </c>
      <c r="CZ28" s="228">
        <v>29.39</v>
      </c>
      <c r="DA28" s="228">
        <v>-1.76</v>
      </c>
      <c r="DB28" s="228">
        <v>-1.76</v>
      </c>
      <c r="DC28" s="228">
        <v>32.08</v>
      </c>
      <c r="DD28" s="228">
        <v>32.06</v>
      </c>
      <c r="DE28" s="228">
        <v>-4.45</v>
      </c>
      <c r="DF28" s="228">
        <v>0.02</v>
      </c>
      <c r="DG28" s="228">
        <v>26.39</v>
      </c>
      <c r="DH28" s="228">
        <v>28.55</v>
      </c>
      <c r="DI28" s="228">
        <v>-2.16</v>
      </c>
      <c r="DJ28" s="228">
        <v>-2.16</v>
      </c>
      <c r="DK28" s="228">
        <v>30.12</v>
      </c>
      <c r="DL28" s="228">
        <v>31.16</v>
      </c>
      <c r="DM28" s="228">
        <v>-1.04</v>
      </c>
      <c r="DN28" s="228">
        <v>-1.04</v>
      </c>
      <c r="DO28" s="228">
        <v>0.96</v>
      </c>
      <c r="DP28" s="228">
        <v>0.82</v>
      </c>
      <c r="DQ28" s="228">
        <v>0.14000000000000001</v>
      </c>
      <c r="DR28" s="229">
        <v>0.17069999999999999</v>
      </c>
      <c r="DS28" s="231">
        <v>1300</v>
      </c>
      <c r="DT28" s="231">
        <v>1100</v>
      </c>
      <c r="DU28" s="228">
        <v>0.5</v>
      </c>
      <c r="DV28" s="228">
        <v>0.47</v>
      </c>
      <c r="DW28" s="228">
        <v>0.03</v>
      </c>
      <c r="DX28" s="229">
        <v>6.3799999999999996E-2</v>
      </c>
      <c r="DY28" s="229">
        <v>0.12790000000000001</v>
      </c>
      <c r="DZ28" s="230">
        <v>5049000</v>
      </c>
      <c r="EA28" s="229">
        <v>6.0000000000000001E-3</v>
      </c>
      <c r="EB28" s="229">
        <v>0.12790000000000001</v>
      </c>
      <c r="EC28" s="228">
        <v>10.44</v>
      </c>
      <c r="ED28" s="229">
        <v>8.5000000000000006E-3</v>
      </c>
      <c r="EE28" s="230">
        <v>890179</v>
      </c>
      <c r="EF28" s="230">
        <v>1535729</v>
      </c>
      <c r="EG28" s="229">
        <v>-0.4204</v>
      </c>
      <c r="EH28" s="229">
        <v>0.45850000000000002</v>
      </c>
      <c r="EI28" s="231">
        <v>136108.03</v>
      </c>
      <c r="EJ28" s="231">
        <v>64051.040000000001</v>
      </c>
      <c r="EK28" s="231">
        <v>66649.919999999998</v>
      </c>
      <c r="EL28" s="231">
        <v>4211</v>
      </c>
      <c r="EM28" s="231">
        <v>266808.99</v>
      </c>
      <c r="EN28" s="231">
        <v>203111.97</v>
      </c>
      <c r="EO28" s="231">
        <v>63697.02</v>
      </c>
      <c r="EP28" s="229">
        <v>0.31359999999999999</v>
      </c>
      <c r="EQ28" s="231">
        <v>71412</v>
      </c>
      <c r="ER28" s="231">
        <v>62507</v>
      </c>
      <c r="ES28" s="231">
        <v>620152</v>
      </c>
      <c r="ET28" s="231">
        <v>133242960</v>
      </c>
      <c r="EU28" s="231">
        <v>754071</v>
      </c>
      <c r="EV28" s="231">
        <v>754329</v>
      </c>
      <c r="EW28" s="228">
        <v>-258</v>
      </c>
      <c r="EX28" s="229">
        <v>-2.9999999999999997E-4</v>
      </c>
      <c r="EY28" s="229">
        <v>0.46</v>
      </c>
    </row>
    <row r="29" spans="1:155" ht="17.25" thickBot="1" x14ac:dyDescent="0.3">
      <c r="A29" s="226">
        <v>46129</v>
      </c>
      <c r="B29" s="227" t="s">
        <v>172</v>
      </c>
      <c r="C29" s="227" t="s">
        <v>246</v>
      </c>
      <c r="D29" s="228">
        <v>383.6</v>
      </c>
      <c r="E29" s="228">
        <v>379.1</v>
      </c>
      <c r="F29" s="228">
        <v>4.5</v>
      </c>
      <c r="G29" s="229">
        <v>1.1900000000000001E-2</v>
      </c>
      <c r="H29" s="228">
        <v>383.6</v>
      </c>
      <c r="I29" s="228">
        <v>379.15</v>
      </c>
      <c r="J29" s="228">
        <v>4.45</v>
      </c>
      <c r="K29" s="229">
        <v>1.17E-2</v>
      </c>
      <c r="L29" s="228">
        <v>383.6</v>
      </c>
      <c r="M29" s="228">
        <v>379.1</v>
      </c>
      <c r="N29" s="228">
        <v>4.5</v>
      </c>
      <c r="O29" s="229">
        <v>1.1900000000000001E-2</v>
      </c>
      <c r="P29" s="228">
        <v>385.35</v>
      </c>
      <c r="Q29" s="228">
        <v>381.5</v>
      </c>
      <c r="R29" s="228">
        <v>3.85</v>
      </c>
      <c r="S29" s="229">
        <v>1.01E-2</v>
      </c>
      <c r="T29" s="228">
        <v>388.45</v>
      </c>
      <c r="U29" s="228">
        <v>383.45</v>
      </c>
      <c r="V29" s="228">
        <v>5</v>
      </c>
      <c r="W29" s="229">
        <v>1.2999999999999999E-2</v>
      </c>
      <c r="X29" s="228">
        <v>0</v>
      </c>
      <c r="Y29" s="228">
        <v>-0.05</v>
      </c>
      <c r="Z29" s="228">
        <v>0.05</v>
      </c>
      <c r="AA29" s="229">
        <v>0</v>
      </c>
      <c r="AB29" s="228">
        <v>0</v>
      </c>
      <c r="AC29" s="228">
        <v>-0.05</v>
      </c>
      <c r="AD29" s="228">
        <v>0.05</v>
      </c>
      <c r="AE29" s="229">
        <v>0</v>
      </c>
      <c r="AF29" s="228">
        <v>1.75</v>
      </c>
      <c r="AG29" s="228">
        <v>2.35</v>
      </c>
      <c r="AH29" s="228">
        <v>-0.6</v>
      </c>
      <c r="AI29" s="229">
        <v>4.5999999999999999E-3</v>
      </c>
      <c r="AJ29" s="228">
        <v>4.8499999999999996</v>
      </c>
      <c r="AK29" s="228">
        <v>4.3</v>
      </c>
      <c r="AL29" s="228">
        <v>0.55000000000000004</v>
      </c>
      <c r="AM29" s="229">
        <v>1.26E-2</v>
      </c>
      <c r="AN29" s="228">
        <v>383.4</v>
      </c>
      <c r="AO29" s="228">
        <v>385.24</v>
      </c>
      <c r="AP29" s="228">
        <v>0</v>
      </c>
      <c r="AQ29" s="230">
        <v>11951</v>
      </c>
      <c r="AR29" s="230">
        <v>11771</v>
      </c>
      <c r="AS29" s="228">
        <v>180</v>
      </c>
      <c r="AT29" s="229">
        <v>1.5299999999999999E-2</v>
      </c>
      <c r="AU29" s="230">
        <v>8796</v>
      </c>
      <c r="AV29" s="230">
        <v>8965</v>
      </c>
      <c r="AW29" s="228">
        <v>-169</v>
      </c>
      <c r="AX29" s="229">
        <v>-1.89E-2</v>
      </c>
      <c r="AY29" s="230">
        <v>1086</v>
      </c>
      <c r="AZ29" s="230">
        <v>1169</v>
      </c>
      <c r="BA29" s="228">
        <v>-83</v>
      </c>
      <c r="BB29" s="229">
        <v>-7.0999999999999994E-2</v>
      </c>
      <c r="BC29" s="230">
        <v>2069</v>
      </c>
      <c r="BD29" s="230">
        <v>1637</v>
      </c>
      <c r="BE29" s="228">
        <v>432</v>
      </c>
      <c r="BF29" s="229">
        <v>0.26390000000000002</v>
      </c>
      <c r="BG29" s="230">
        <v>14020</v>
      </c>
      <c r="BH29" s="230">
        <v>18329</v>
      </c>
      <c r="BI29" s="230">
        <v>-4309</v>
      </c>
      <c r="BJ29" s="229">
        <v>-0.2351</v>
      </c>
      <c r="BK29" s="230">
        <v>8519</v>
      </c>
      <c r="BL29" s="230">
        <v>9737</v>
      </c>
      <c r="BM29" s="230">
        <v>-1218</v>
      </c>
      <c r="BN29" s="229">
        <v>-0.12509999999999999</v>
      </c>
      <c r="BO29" s="230">
        <v>34490</v>
      </c>
      <c r="BP29" s="230">
        <v>39837</v>
      </c>
      <c r="BQ29" s="230">
        <v>-5347</v>
      </c>
      <c r="BR29" s="229">
        <v>-0.13420000000000001</v>
      </c>
      <c r="BS29" s="230">
        <v>11976142</v>
      </c>
      <c r="BT29" s="230">
        <v>13945459</v>
      </c>
      <c r="BU29" s="230">
        <v>-1969317</v>
      </c>
      <c r="BV29" s="229">
        <v>-0.14119999999999999</v>
      </c>
      <c r="BW29" s="230">
        <v>217516000</v>
      </c>
      <c r="BX29" s="230">
        <v>221414000</v>
      </c>
      <c r="BY29" s="230">
        <v>-3898000</v>
      </c>
      <c r="BZ29" s="229">
        <v>-1.7600000000000001E-2</v>
      </c>
      <c r="CA29" s="230">
        <v>171224000</v>
      </c>
      <c r="CB29" s="230">
        <v>180262000</v>
      </c>
      <c r="CC29" s="230">
        <v>-9038000</v>
      </c>
      <c r="CD29" s="229">
        <v>-5.0099999999999999E-2</v>
      </c>
      <c r="CE29" s="230">
        <v>33820000</v>
      </c>
      <c r="CF29" s="230">
        <v>32714000</v>
      </c>
      <c r="CG29" s="230">
        <v>1106000</v>
      </c>
      <c r="CH29" s="229">
        <v>3.3799999999999997E-2</v>
      </c>
      <c r="CI29" s="230">
        <v>12472000</v>
      </c>
      <c r="CJ29" s="230">
        <v>8438000</v>
      </c>
      <c r="CK29" s="230">
        <v>4034000</v>
      </c>
      <c r="CL29" s="229">
        <v>0.47810000000000002</v>
      </c>
      <c r="CM29" s="230">
        <v>30824000</v>
      </c>
      <c r="CN29" s="230">
        <v>31950000</v>
      </c>
      <c r="CO29" s="230">
        <v>-1126000</v>
      </c>
      <c r="CP29" s="229">
        <v>-3.5200000000000002E-2</v>
      </c>
      <c r="CQ29" s="230">
        <v>27720000</v>
      </c>
      <c r="CR29" s="230">
        <v>26800000</v>
      </c>
      <c r="CS29" s="230">
        <v>920000</v>
      </c>
      <c r="CT29" s="229">
        <v>3.4299999999999997E-2</v>
      </c>
      <c r="CU29" s="230">
        <v>276060000</v>
      </c>
      <c r="CV29" s="230">
        <v>280164000</v>
      </c>
      <c r="CW29" s="230">
        <v>-4104000</v>
      </c>
      <c r="CX29" s="229">
        <v>-1.46E-2</v>
      </c>
      <c r="CY29" s="228">
        <v>27.3</v>
      </c>
      <c r="CZ29" s="228">
        <v>27.95</v>
      </c>
      <c r="DA29" s="228">
        <v>-0.65</v>
      </c>
      <c r="DB29" s="228">
        <v>-0.65</v>
      </c>
      <c r="DC29" s="228">
        <v>27.35</v>
      </c>
      <c r="DD29" s="228">
        <v>27.38</v>
      </c>
      <c r="DE29" s="228">
        <v>-0.05</v>
      </c>
      <c r="DF29" s="228">
        <v>-0.03</v>
      </c>
      <c r="DG29" s="228">
        <v>26.74</v>
      </c>
      <c r="DH29" s="228">
        <v>28.23</v>
      </c>
      <c r="DI29" s="228">
        <v>-1.49</v>
      </c>
      <c r="DJ29" s="228">
        <v>-1.49</v>
      </c>
      <c r="DK29" s="228">
        <v>28.23</v>
      </c>
      <c r="DL29" s="228">
        <v>27.41</v>
      </c>
      <c r="DM29" s="228">
        <v>0.82</v>
      </c>
      <c r="DN29" s="228">
        <v>0.82</v>
      </c>
      <c r="DO29" s="228">
        <v>0.9</v>
      </c>
      <c r="DP29" s="228">
        <v>0.84</v>
      </c>
      <c r="DQ29" s="228">
        <v>0.06</v>
      </c>
      <c r="DR29" s="229">
        <v>7.1400000000000005E-2</v>
      </c>
      <c r="DS29" s="228">
        <v>370</v>
      </c>
      <c r="DT29" s="228">
        <v>335</v>
      </c>
      <c r="DU29" s="228">
        <v>0.61</v>
      </c>
      <c r="DV29" s="228">
        <v>0.53</v>
      </c>
      <c r="DW29" s="228">
        <v>0.08</v>
      </c>
      <c r="DX29" s="229">
        <v>0.15090000000000001</v>
      </c>
      <c r="DY29" s="229">
        <v>0.21279999999999999</v>
      </c>
      <c r="DZ29" s="230">
        <v>41152000</v>
      </c>
      <c r="EA29" s="229">
        <v>4.5999999999999999E-3</v>
      </c>
      <c r="EB29" s="229">
        <v>0.21279999999999999</v>
      </c>
      <c r="EC29" s="228">
        <v>1.84</v>
      </c>
      <c r="ED29" s="229">
        <v>4.7999999999999996E-3</v>
      </c>
      <c r="EE29" s="230">
        <v>8135992</v>
      </c>
      <c r="EF29" s="230">
        <v>7092092</v>
      </c>
      <c r="EG29" s="229">
        <v>0.1472</v>
      </c>
      <c r="EH29" s="229">
        <v>0.67930000000000001</v>
      </c>
      <c r="EI29" s="231">
        <v>110916.57</v>
      </c>
      <c r="EJ29" s="231">
        <v>64626.05</v>
      </c>
      <c r="EK29" s="231">
        <v>91875.83</v>
      </c>
      <c r="EL29" s="231">
        <v>12030</v>
      </c>
      <c r="EM29" s="231">
        <v>267418.45</v>
      </c>
      <c r="EN29" s="231">
        <v>310239.40999999997</v>
      </c>
      <c r="EO29" s="231">
        <v>-42820.959999999999</v>
      </c>
      <c r="EP29" s="229">
        <v>-0.13800000000000001</v>
      </c>
      <c r="EQ29" s="231">
        <v>119704</v>
      </c>
      <c r="ER29" s="231">
        <v>99391</v>
      </c>
      <c r="ES29" s="231">
        <v>835588</v>
      </c>
      <c r="ET29" s="231">
        <v>882793124</v>
      </c>
      <c r="EU29" s="231">
        <v>1054684</v>
      </c>
      <c r="EV29" s="231">
        <v>1060201</v>
      </c>
      <c r="EW29" s="231">
        <v>-5517</v>
      </c>
      <c r="EX29" s="229">
        <v>-5.1999999999999998E-3</v>
      </c>
      <c r="EY29" s="229">
        <v>0.31269999999999998</v>
      </c>
    </row>
    <row r="30" spans="1:155" ht="17.25" thickBot="1" x14ac:dyDescent="0.3">
      <c r="A30" s="226">
        <v>46129</v>
      </c>
      <c r="B30" s="227" t="s">
        <v>184</v>
      </c>
      <c r="C30" s="227" t="s">
        <v>249</v>
      </c>
      <c r="D30" s="231">
        <v>4106.8999999999996</v>
      </c>
      <c r="E30" s="231">
        <v>4118</v>
      </c>
      <c r="F30" s="228">
        <v>-11.1</v>
      </c>
      <c r="G30" s="229">
        <v>-2.7000000000000001E-3</v>
      </c>
      <c r="H30" s="231">
        <v>4096.1000000000004</v>
      </c>
      <c r="I30" s="231">
        <v>4119.8</v>
      </c>
      <c r="J30" s="228">
        <v>-23.7</v>
      </c>
      <c r="K30" s="229">
        <v>-5.7999999999999996E-3</v>
      </c>
      <c r="L30" s="231">
        <v>4106.8999999999996</v>
      </c>
      <c r="M30" s="231">
        <v>4118</v>
      </c>
      <c r="N30" s="228">
        <v>-11.1</v>
      </c>
      <c r="O30" s="229">
        <v>-2.7000000000000001E-3</v>
      </c>
      <c r="P30" s="231">
        <v>4128.7</v>
      </c>
      <c r="Q30" s="231">
        <v>4140.7</v>
      </c>
      <c r="R30" s="228">
        <v>-12</v>
      </c>
      <c r="S30" s="229">
        <v>-2.8999999999999998E-3</v>
      </c>
      <c r="T30" s="231">
        <v>4124.8999999999996</v>
      </c>
      <c r="U30" s="231">
        <v>4133.1000000000004</v>
      </c>
      <c r="V30" s="228">
        <v>-8.1999999999999993</v>
      </c>
      <c r="W30" s="229">
        <v>-2E-3</v>
      </c>
      <c r="X30" s="228">
        <v>10.8</v>
      </c>
      <c r="Y30" s="228">
        <v>-1.8</v>
      </c>
      <c r="Z30" s="228">
        <v>12.6</v>
      </c>
      <c r="AA30" s="229">
        <v>2.5999999999999999E-3</v>
      </c>
      <c r="AB30" s="228">
        <v>10.8</v>
      </c>
      <c r="AC30" s="228">
        <v>-1.8</v>
      </c>
      <c r="AD30" s="228">
        <v>12.6</v>
      </c>
      <c r="AE30" s="229">
        <v>2.5999999999999999E-3</v>
      </c>
      <c r="AF30" s="228">
        <v>32.6</v>
      </c>
      <c r="AG30" s="228">
        <v>20.9</v>
      </c>
      <c r="AH30" s="228">
        <v>11.7</v>
      </c>
      <c r="AI30" s="229">
        <v>8.0000000000000002E-3</v>
      </c>
      <c r="AJ30" s="228">
        <v>28.8</v>
      </c>
      <c r="AK30" s="228">
        <v>13.3</v>
      </c>
      <c r="AL30" s="228">
        <v>15.5</v>
      </c>
      <c r="AM30" s="229">
        <v>7.0000000000000001E-3</v>
      </c>
      <c r="AN30" s="231">
        <v>4110.46</v>
      </c>
      <c r="AO30" s="231">
        <v>4129.63</v>
      </c>
      <c r="AP30" s="228">
        <v>0</v>
      </c>
      <c r="AQ30" s="230">
        <v>11168</v>
      </c>
      <c r="AR30" s="230">
        <v>16131</v>
      </c>
      <c r="AS30" s="230">
        <v>-4963</v>
      </c>
      <c r="AT30" s="229">
        <v>-0.30769999999999997</v>
      </c>
      <c r="AU30" s="230">
        <v>8408</v>
      </c>
      <c r="AV30" s="230">
        <v>14310</v>
      </c>
      <c r="AW30" s="230">
        <v>-5902</v>
      </c>
      <c r="AX30" s="229">
        <v>-0.41239999999999999</v>
      </c>
      <c r="AY30" s="230">
        <v>2614</v>
      </c>
      <c r="AZ30" s="230">
        <v>1516</v>
      </c>
      <c r="BA30" s="230">
        <v>1098</v>
      </c>
      <c r="BB30" s="229">
        <v>0.72430000000000005</v>
      </c>
      <c r="BC30" s="228">
        <v>146</v>
      </c>
      <c r="BD30" s="228">
        <v>305</v>
      </c>
      <c r="BE30" s="228">
        <v>-159</v>
      </c>
      <c r="BF30" s="229">
        <v>-0.52129999999999999</v>
      </c>
      <c r="BG30" s="230">
        <v>35295</v>
      </c>
      <c r="BH30" s="230">
        <v>61963</v>
      </c>
      <c r="BI30" s="230">
        <v>-26668</v>
      </c>
      <c r="BJ30" s="229">
        <v>-0.4304</v>
      </c>
      <c r="BK30" s="230">
        <v>31731</v>
      </c>
      <c r="BL30" s="230">
        <v>36264</v>
      </c>
      <c r="BM30" s="230">
        <v>-4533</v>
      </c>
      <c r="BN30" s="229">
        <v>-0.125</v>
      </c>
      <c r="BO30" s="230">
        <v>78194</v>
      </c>
      <c r="BP30" s="230">
        <v>114358</v>
      </c>
      <c r="BQ30" s="230">
        <v>-36164</v>
      </c>
      <c r="BR30" s="229">
        <v>-0.31619999999999998</v>
      </c>
      <c r="BS30" s="230">
        <v>2940508</v>
      </c>
      <c r="BT30" s="230">
        <v>5526361</v>
      </c>
      <c r="BU30" s="230">
        <v>-2585853</v>
      </c>
      <c r="BV30" s="229">
        <v>-0.46789999999999998</v>
      </c>
      <c r="BW30" s="230">
        <v>14843850</v>
      </c>
      <c r="BX30" s="230">
        <v>14944300</v>
      </c>
      <c r="BY30" s="230">
        <v>-100450</v>
      </c>
      <c r="BZ30" s="229">
        <v>-6.7000000000000002E-3</v>
      </c>
      <c r="CA30" s="230">
        <v>12165825</v>
      </c>
      <c r="CB30" s="230">
        <v>12492900</v>
      </c>
      <c r="CC30" s="230">
        <v>-327075</v>
      </c>
      <c r="CD30" s="229">
        <v>-2.6200000000000001E-2</v>
      </c>
      <c r="CE30" s="230">
        <v>2468900</v>
      </c>
      <c r="CF30" s="230">
        <v>2244025</v>
      </c>
      <c r="CG30" s="230">
        <v>224875</v>
      </c>
      <c r="CH30" s="229">
        <v>0.1002</v>
      </c>
      <c r="CI30" s="230">
        <v>209125</v>
      </c>
      <c r="CJ30" s="230">
        <v>207375</v>
      </c>
      <c r="CK30" s="230">
        <v>1750</v>
      </c>
      <c r="CL30" s="229">
        <v>8.3999999999999995E-3</v>
      </c>
      <c r="CM30" s="230">
        <v>9248225</v>
      </c>
      <c r="CN30" s="230">
        <v>9193800</v>
      </c>
      <c r="CO30" s="230">
        <v>54425</v>
      </c>
      <c r="CP30" s="229">
        <v>5.8999999999999999E-3</v>
      </c>
      <c r="CQ30" s="230">
        <v>8221150</v>
      </c>
      <c r="CR30" s="230">
        <v>8005550</v>
      </c>
      <c r="CS30" s="230">
        <v>215600</v>
      </c>
      <c r="CT30" s="229">
        <v>2.69E-2</v>
      </c>
      <c r="CU30" s="230">
        <v>32313225</v>
      </c>
      <c r="CV30" s="230">
        <v>32143650</v>
      </c>
      <c r="CW30" s="230">
        <v>169575</v>
      </c>
      <c r="CX30" s="229">
        <v>5.3E-3</v>
      </c>
      <c r="CY30" s="228">
        <v>29.77</v>
      </c>
      <c r="CZ30" s="228">
        <v>29.28</v>
      </c>
      <c r="DA30" s="228">
        <v>0.49</v>
      </c>
      <c r="DB30" s="228">
        <v>0.49</v>
      </c>
      <c r="DC30" s="228">
        <v>34.020000000000003</v>
      </c>
      <c r="DD30" s="228">
        <v>34.090000000000003</v>
      </c>
      <c r="DE30" s="228">
        <v>-4.25</v>
      </c>
      <c r="DF30" s="228">
        <v>-7.0000000000000007E-2</v>
      </c>
      <c r="DG30" s="228">
        <v>27.83</v>
      </c>
      <c r="DH30" s="228">
        <v>27.45</v>
      </c>
      <c r="DI30" s="228">
        <v>0.38</v>
      </c>
      <c r="DJ30" s="228">
        <v>0.38</v>
      </c>
      <c r="DK30" s="228">
        <v>31.92</v>
      </c>
      <c r="DL30" s="228">
        <v>32.409999999999997</v>
      </c>
      <c r="DM30" s="228">
        <v>-0.49</v>
      </c>
      <c r="DN30" s="228">
        <v>-0.49</v>
      </c>
      <c r="DO30" s="228">
        <v>0.89</v>
      </c>
      <c r="DP30" s="228">
        <v>0.87</v>
      </c>
      <c r="DQ30" s="228">
        <v>0.02</v>
      </c>
      <c r="DR30" s="229">
        <v>2.3E-2</v>
      </c>
      <c r="DS30" s="231">
        <v>4000</v>
      </c>
      <c r="DT30" s="231">
        <v>4000</v>
      </c>
      <c r="DU30" s="228">
        <v>0.9</v>
      </c>
      <c r="DV30" s="228">
        <v>0.59</v>
      </c>
      <c r="DW30" s="228">
        <v>0.31</v>
      </c>
      <c r="DX30" s="229">
        <v>0.52539999999999998</v>
      </c>
      <c r="DY30" s="229">
        <v>0.1804</v>
      </c>
      <c r="DZ30" s="230">
        <v>2451400</v>
      </c>
      <c r="EA30" s="229">
        <v>5.3E-3</v>
      </c>
      <c r="EB30" s="229">
        <v>0.1804</v>
      </c>
      <c r="EC30" s="228">
        <v>19.170000000000002</v>
      </c>
      <c r="ED30" s="229">
        <v>4.7000000000000002E-3</v>
      </c>
      <c r="EE30" s="230">
        <v>1808575</v>
      </c>
      <c r="EF30" s="230">
        <v>3027847</v>
      </c>
      <c r="EG30" s="229">
        <v>-0.4027</v>
      </c>
      <c r="EH30" s="229">
        <v>0.61509999999999998</v>
      </c>
      <c r="EI30" s="231">
        <v>263022.18</v>
      </c>
      <c r="EJ30" s="231">
        <v>220399.71</v>
      </c>
      <c r="EK30" s="231">
        <v>80426.64</v>
      </c>
      <c r="EL30" s="231">
        <v>16381</v>
      </c>
      <c r="EM30" s="231">
        <v>563848.53</v>
      </c>
      <c r="EN30" s="231">
        <v>832108.38</v>
      </c>
      <c r="EO30" s="231">
        <v>-268259.84999999998</v>
      </c>
      <c r="EP30" s="229">
        <v>-0.32240000000000002</v>
      </c>
      <c r="EQ30" s="231">
        <v>371722</v>
      </c>
      <c r="ER30" s="231">
        <v>311943</v>
      </c>
      <c r="ES30" s="231">
        <v>610198</v>
      </c>
      <c r="ET30" s="231">
        <v>136099497</v>
      </c>
      <c r="EU30" s="231">
        <v>1293863</v>
      </c>
      <c r="EV30" s="231">
        <v>1288517</v>
      </c>
      <c r="EW30" s="231">
        <v>5346</v>
      </c>
      <c r="EX30" s="229">
        <v>4.1000000000000003E-3</v>
      </c>
      <c r="EY30" s="229">
        <v>0.2374</v>
      </c>
    </row>
    <row r="31" spans="1:155" ht="17.25" thickBot="1" x14ac:dyDescent="0.3">
      <c r="A31" s="226">
        <v>46129</v>
      </c>
      <c r="B31" s="227" t="s">
        <v>162</v>
      </c>
      <c r="C31" s="227" t="s">
        <v>251</v>
      </c>
      <c r="D31" s="231">
        <v>3207.2</v>
      </c>
      <c r="E31" s="231">
        <v>3229.3</v>
      </c>
      <c r="F31" s="228">
        <v>-22.1</v>
      </c>
      <c r="G31" s="229">
        <v>-6.7999999999999996E-3</v>
      </c>
      <c r="H31" s="231">
        <v>3200.2</v>
      </c>
      <c r="I31" s="231">
        <v>3222.3</v>
      </c>
      <c r="J31" s="228">
        <v>-22.1</v>
      </c>
      <c r="K31" s="229">
        <v>-6.8999999999999999E-3</v>
      </c>
      <c r="L31" s="231">
        <v>3207.2</v>
      </c>
      <c r="M31" s="231">
        <v>3229.3</v>
      </c>
      <c r="N31" s="228">
        <v>-22.1</v>
      </c>
      <c r="O31" s="229">
        <v>-6.7999999999999996E-3</v>
      </c>
      <c r="P31" s="231">
        <v>3225.7</v>
      </c>
      <c r="Q31" s="231">
        <v>3247.8</v>
      </c>
      <c r="R31" s="228">
        <v>-22.1</v>
      </c>
      <c r="S31" s="229">
        <v>-6.7999999999999996E-3</v>
      </c>
      <c r="T31" s="231">
        <v>3244</v>
      </c>
      <c r="U31" s="231">
        <v>3267.4</v>
      </c>
      <c r="V31" s="228">
        <v>-23.4</v>
      </c>
      <c r="W31" s="229">
        <v>-7.1999999999999998E-3</v>
      </c>
      <c r="X31" s="228">
        <v>7</v>
      </c>
      <c r="Y31" s="228">
        <v>7</v>
      </c>
      <c r="Z31" s="228">
        <v>0</v>
      </c>
      <c r="AA31" s="229">
        <v>2.2000000000000001E-3</v>
      </c>
      <c r="AB31" s="228">
        <v>7</v>
      </c>
      <c r="AC31" s="228">
        <v>7</v>
      </c>
      <c r="AD31" s="228">
        <v>0</v>
      </c>
      <c r="AE31" s="229">
        <v>2.2000000000000001E-3</v>
      </c>
      <c r="AF31" s="228">
        <v>25.5</v>
      </c>
      <c r="AG31" s="228">
        <v>25.5</v>
      </c>
      <c r="AH31" s="228">
        <v>0</v>
      </c>
      <c r="AI31" s="229">
        <v>8.0000000000000002E-3</v>
      </c>
      <c r="AJ31" s="228">
        <v>43.8</v>
      </c>
      <c r="AK31" s="228">
        <v>45.1</v>
      </c>
      <c r="AL31" s="228">
        <v>-1.3</v>
      </c>
      <c r="AM31" s="229">
        <v>1.37E-2</v>
      </c>
      <c r="AN31" s="231">
        <v>3215.18</v>
      </c>
      <c r="AO31" s="231">
        <v>3230.56</v>
      </c>
      <c r="AP31" s="228">
        <v>0</v>
      </c>
      <c r="AQ31" s="230">
        <v>11711</v>
      </c>
      <c r="AR31" s="230">
        <v>15106</v>
      </c>
      <c r="AS31" s="230">
        <v>-3395</v>
      </c>
      <c r="AT31" s="229">
        <v>-0.22470000000000001</v>
      </c>
      <c r="AU31" s="230">
        <v>8654</v>
      </c>
      <c r="AV31" s="230">
        <v>11711</v>
      </c>
      <c r="AW31" s="230">
        <v>-3057</v>
      </c>
      <c r="AX31" s="229">
        <v>-0.26100000000000001</v>
      </c>
      <c r="AY31" s="230">
        <v>1889</v>
      </c>
      <c r="AZ31" s="230">
        <v>1246</v>
      </c>
      <c r="BA31" s="228">
        <v>643</v>
      </c>
      <c r="BB31" s="229">
        <v>0.5161</v>
      </c>
      <c r="BC31" s="230">
        <v>1168</v>
      </c>
      <c r="BD31" s="230">
        <v>2149</v>
      </c>
      <c r="BE31" s="228">
        <v>-981</v>
      </c>
      <c r="BF31" s="229">
        <v>-0.45650000000000002</v>
      </c>
      <c r="BG31" s="230">
        <v>30635</v>
      </c>
      <c r="BH31" s="230">
        <v>28535</v>
      </c>
      <c r="BI31" s="230">
        <v>2100</v>
      </c>
      <c r="BJ31" s="229">
        <v>7.3599999999999999E-2</v>
      </c>
      <c r="BK31" s="230">
        <v>16936</v>
      </c>
      <c r="BL31" s="230">
        <v>17146</v>
      </c>
      <c r="BM31" s="228">
        <v>-210</v>
      </c>
      <c r="BN31" s="229">
        <v>-1.2200000000000001E-2</v>
      </c>
      <c r="BO31" s="230">
        <v>59282</v>
      </c>
      <c r="BP31" s="230">
        <v>60787</v>
      </c>
      <c r="BQ31" s="230">
        <v>-1505</v>
      </c>
      <c r="BR31" s="229">
        <v>-2.4799999999999999E-2</v>
      </c>
      <c r="BS31" s="230">
        <v>2396669</v>
      </c>
      <c r="BT31" s="230">
        <v>3402483</v>
      </c>
      <c r="BU31" s="230">
        <v>-1005814</v>
      </c>
      <c r="BV31" s="229">
        <v>-0.29559999999999997</v>
      </c>
      <c r="BW31" s="230">
        <v>19783200</v>
      </c>
      <c r="BX31" s="230">
        <v>19299000</v>
      </c>
      <c r="BY31" s="230">
        <v>484200</v>
      </c>
      <c r="BZ31" s="229">
        <v>2.5100000000000001E-2</v>
      </c>
      <c r="CA31" s="230">
        <v>15588600</v>
      </c>
      <c r="CB31" s="230">
        <v>15551200</v>
      </c>
      <c r="CC31" s="230">
        <v>37400</v>
      </c>
      <c r="CD31" s="229">
        <v>2.3999999999999998E-3</v>
      </c>
      <c r="CE31" s="230">
        <v>3168800</v>
      </c>
      <c r="CF31" s="230">
        <v>2931400</v>
      </c>
      <c r="CG31" s="230">
        <v>237400</v>
      </c>
      <c r="CH31" s="229">
        <v>8.1000000000000003E-2</v>
      </c>
      <c r="CI31" s="230">
        <v>1025800</v>
      </c>
      <c r="CJ31" s="230">
        <v>816400</v>
      </c>
      <c r="CK31" s="230">
        <v>209400</v>
      </c>
      <c r="CL31" s="229">
        <v>0.25650000000000001</v>
      </c>
      <c r="CM31" s="230">
        <v>5522800</v>
      </c>
      <c r="CN31" s="230">
        <v>5137800</v>
      </c>
      <c r="CO31" s="230">
        <v>385000</v>
      </c>
      <c r="CP31" s="229">
        <v>7.4899999999999994E-2</v>
      </c>
      <c r="CQ31" s="230">
        <v>3581000</v>
      </c>
      <c r="CR31" s="230">
        <v>3551200</v>
      </c>
      <c r="CS31" s="230">
        <v>29800</v>
      </c>
      <c r="CT31" s="229">
        <v>8.3999999999999995E-3</v>
      </c>
      <c r="CU31" s="230">
        <v>28887000</v>
      </c>
      <c r="CV31" s="230">
        <v>27988000</v>
      </c>
      <c r="CW31" s="230">
        <v>899000</v>
      </c>
      <c r="CX31" s="229">
        <v>3.2099999999999997E-2</v>
      </c>
      <c r="CY31" s="228">
        <v>32.299999999999997</v>
      </c>
      <c r="CZ31" s="228">
        <v>32.94</v>
      </c>
      <c r="DA31" s="228">
        <v>-0.64</v>
      </c>
      <c r="DB31" s="228">
        <v>-0.64</v>
      </c>
      <c r="DC31" s="228">
        <v>35.64</v>
      </c>
      <c r="DD31" s="228">
        <v>35.72</v>
      </c>
      <c r="DE31" s="228">
        <v>-3.34</v>
      </c>
      <c r="DF31" s="228">
        <v>-0.08</v>
      </c>
      <c r="DG31" s="228">
        <v>31.76</v>
      </c>
      <c r="DH31" s="228">
        <v>32.25</v>
      </c>
      <c r="DI31" s="228">
        <v>-0.49</v>
      </c>
      <c r="DJ31" s="228">
        <v>-0.49</v>
      </c>
      <c r="DK31" s="228">
        <v>33.28</v>
      </c>
      <c r="DL31" s="228">
        <v>34.08</v>
      </c>
      <c r="DM31" s="228">
        <v>-0.8</v>
      </c>
      <c r="DN31" s="228">
        <v>-0.8</v>
      </c>
      <c r="DO31" s="228">
        <v>0.65</v>
      </c>
      <c r="DP31" s="228">
        <v>0.69</v>
      </c>
      <c r="DQ31" s="228">
        <v>-0.04</v>
      </c>
      <c r="DR31" s="229">
        <v>-5.8000000000000003E-2</v>
      </c>
      <c r="DS31" s="231">
        <v>3300</v>
      </c>
      <c r="DT31" s="231">
        <v>3100</v>
      </c>
      <c r="DU31" s="228">
        <v>0.55000000000000004</v>
      </c>
      <c r="DV31" s="228">
        <v>0.6</v>
      </c>
      <c r="DW31" s="228">
        <v>-0.05</v>
      </c>
      <c r="DX31" s="229">
        <v>-8.3299999999999999E-2</v>
      </c>
      <c r="DY31" s="229">
        <v>0.21199999999999999</v>
      </c>
      <c r="DZ31" s="230">
        <v>3747800</v>
      </c>
      <c r="EA31" s="229">
        <v>5.7999999999999996E-3</v>
      </c>
      <c r="EB31" s="229">
        <v>0.21199999999999999</v>
      </c>
      <c r="EC31" s="228">
        <v>15.38</v>
      </c>
      <c r="ED31" s="229">
        <v>4.7999999999999996E-3</v>
      </c>
      <c r="EE31" s="230">
        <v>1381871</v>
      </c>
      <c r="EF31" s="230">
        <v>1689585</v>
      </c>
      <c r="EG31" s="229">
        <v>-0.18210000000000001</v>
      </c>
      <c r="EH31" s="229">
        <v>0.5766</v>
      </c>
      <c r="EI31" s="231">
        <v>204686.14</v>
      </c>
      <c r="EJ31" s="231">
        <v>107838.16</v>
      </c>
      <c r="EK31" s="231">
        <v>75432.86</v>
      </c>
      <c r="EL31" s="231">
        <v>12669</v>
      </c>
      <c r="EM31" s="231">
        <v>387957.16</v>
      </c>
      <c r="EN31" s="231">
        <v>400456.95</v>
      </c>
      <c r="EO31" s="231">
        <v>-12499.79</v>
      </c>
      <c r="EP31" s="229">
        <v>-3.1199999999999999E-2</v>
      </c>
      <c r="EQ31" s="231">
        <v>181460</v>
      </c>
      <c r="ER31" s="231">
        <v>111211</v>
      </c>
      <c r="ES31" s="231">
        <v>635451</v>
      </c>
      <c r="ET31" s="231">
        <v>120808308</v>
      </c>
      <c r="EU31" s="231">
        <v>928121</v>
      </c>
      <c r="EV31" s="231">
        <v>903112</v>
      </c>
      <c r="EW31" s="231">
        <v>25009</v>
      </c>
      <c r="EX31" s="229">
        <v>2.7699999999999999E-2</v>
      </c>
      <c r="EY31" s="229">
        <v>0.23910000000000001</v>
      </c>
    </row>
    <row r="32" spans="1:155" ht="17.25" thickBot="1" x14ac:dyDescent="0.3">
      <c r="A32" s="226">
        <v>46129</v>
      </c>
      <c r="B32" s="227" t="s">
        <v>162</v>
      </c>
      <c r="C32" s="227" t="s">
        <v>255</v>
      </c>
      <c r="D32" s="231">
        <v>13490</v>
      </c>
      <c r="E32" s="231">
        <v>13352</v>
      </c>
      <c r="F32" s="228">
        <v>138</v>
      </c>
      <c r="G32" s="229">
        <v>1.03E-2</v>
      </c>
      <c r="H32" s="231">
        <v>13453</v>
      </c>
      <c r="I32" s="231">
        <v>13335</v>
      </c>
      <c r="J32" s="228">
        <v>118</v>
      </c>
      <c r="K32" s="229">
        <v>8.8000000000000005E-3</v>
      </c>
      <c r="L32" s="231">
        <v>13490</v>
      </c>
      <c r="M32" s="231">
        <v>13352</v>
      </c>
      <c r="N32" s="228">
        <v>138</v>
      </c>
      <c r="O32" s="229">
        <v>1.03E-2</v>
      </c>
      <c r="P32" s="231">
        <v>13560</v>
      </c>
      <c r="Q32" s="231">
        <v>13437</v>
      </c>
      <c r="R32" s="228">
        <v>123</v>
      </c>
      <c r="S32" s="229">
        <v>9.1999999999999998E-3</v>
      </c>
      <c r="T32" s="231">
        <v>13656</v>
      </c>
      <c r="U32" s="231">
        <v>13507</v>
      </c>
      <c r="V32" s="228">
        <v>149</v>
      </c>
      <c r="W32" s="229">
        <v>1.0999999999999999E-2</v>
      </c>
      <c r="X32" s="228">
        <v>37</v>
      </c>
      <c r="Y32" s="228">
        <v>17</v>
      </c>
      <c r="Z32" s="228">
        <v>20</v>
      </c>
      <c r="AA32" s="229">
        <v>2.8E-3</v>
      </c>
      <c r="AB32" s="228">
        <v>37</v>
      </c>
      <c r="AC32" s="228">
        <v>17</v>
      </c>
      <c r="AD32" s="228">
        <v>20</v>
      </c>
      <c r="AE32" s="229">
        <v>2.8E-3</v>
      </c>
      <c r="AF32" s="228">
        <v>107</v>
      </c>
      <c r="AG32" s="228">
        <v>102</v>
      </c>
      <c r="AH32" s="228">
        <v>5</v>
      </c>
      <c r="AI32" s="229">
        <v>8.0000000000000002E-3</v>
      </c>
      <c r="AJ32" s="228">
        <v>203</v>
      </c>
      <c r="AK32" s="228">
        <v>172</v>
      </c>
      <c r="AL32" s="228">
        <v>31</v>
      </c>
      <c r="AM32" s="229">
        <v>1.5100000000000001E-2</v>
      </c>
      <c r="AN32" s="231">
        <v>13550.79</v>
      </c>
      <c r="AO32" s="231">
        <v>13613.26</v>
      </c>
      <c r="AP32" s="228">
        <v>0</v>
      </c>
      <c r="AQ32" s="230">
        <v>12341</v>
      </c>
      <c r="AR32" s="230">
        <v>9686</v>
      </c>
      <c r="AS32" s="230">
        <v>2655</v>
      </c>
      <c r="AT32" s="229">
        <v>0.27410000000000001</v>
      </c>
      <c r="AU32" s="230">
        <v>10419</v>
      </c>
      <c r="AV32" s="230">
        <v>7994</v>
      </c>
      <c r="AW32" s="230">
        <v>2425</v>
      </c>
      <c r="AX32" s="229">
        <v>0.3034</v>
      </c>
      <c r="AY32" s="230">
        <v>1831</v>
      </c>
      <c r="AZ32" s="228">
        <v>620</v>
      </c>
      <c r="BA32" s="230">
        <v>1211</v>
      </c>
      <c r="BB32" s="229">
        <v>1.9532</v>
      </c>
      <c r="BC32" s="228">
        <v>91</v>
      </c>
      <c r="BD32" s="230">
        <v>1072</v>
      </c>
      <c r="BE32" s="228">
        <v>-981</v>
      </c>
      <c r="BF32" s="229">
        <v>-0.91510000000000002</v>
      </c>
      <c r="BG32" s="230">
        <v>124580</v>
      </c>
      <c r="BH32" s="230">
        <v>41685</v>
      </c>
      <c r="BI32" s="230">
        <v>82895</v>
      </c>
      <c r="BJ32" s="229">
        <v>1.9885999999999999</v>
      </c>
      <c r="BK32" s="230">
        <v>51867</v>
      </c>
      <c r="BL32" s="230">
        <v>19537</v>
      </c>
      <c r="BM32" s="230">
        <v>32330</v>
      </c>
      <c r="BN32" s="229">
        <v>1.6548</v>
      </c>
      <c r="BO32" s="230">
        <v>188788</v>
      </c>
      <c r="BP32" s="230">
        <v>70908</v>
      </c>
      <c r="BQ32" s="230">
        <v>117880</v>
      </c>
      <c r="BR32" s="229">
        <v>1.6624000000000001</v>
      </c>
      <c r="BS32" s="230">
        <v>616185</v>
      </c>
      <c r="BT32" s="230">
        <v>575303</v>
      </c>
      <c r="BU32" s="230">
        <v>40882</v>
      </c>
      <c r="BV32" s="229">
        <v>7.1099999999999997E-2</v>
      </c>
      <c r="BW32" s="230">
        <v>3493650</v>
      </c>
      <c r="BX32" s="230">
        <v>3473950</v>
      </c>
      <c r="BY32" s="230">
        <v>19700</v>
      </c>
      <c r="BZ32" s="229">
        <v>5.7000000000000002E-3</v>
      </c>
      <c r="CA32" s="230">
        <v>2962650</v>
      </c>
      <c r="CB32" s="230">
        <v>2977600</v>
      </c>
      <c r="CC32" s="230">
        <v>-14950</v>
      </c>
      <c r="CD32" s="229">
        <v>-5.0000000000000001E-3</v>
      </c>
      <c r="CE32" s="230">
        <v>438450</v>
      </c>
      <c r="CF32" s="230">
        <v>403450</v>
      </c>
      <c r="CG32" s="230">
        <v>35000</v>
      </c>
      <c r="CH32" s="229">
        <v>8.6800000000000002E-2</v>
      </c>
      <c r="CI32" s="230">
        <v>92550</v>
      </c>
      <c r="CJ32" s="230">
        <v>92900</v>
      </c>
      <c r="CK32" s="228">
        <v>-350</v>
      </c>
      <c r="CL32" s="229">
        <v>-3.8E-3</v>
      </c>
      <c r="CM32" s="230">
        <v>2103200</v>
      </c>
      <c r="CN32" s="230">
        <v>2084350</v>
      </c>
      <c r="CO32" s="230">
        <v>18850</v>
      </c>
      <c r="CP32" s="229">
        <v>8.9999999999999993E-3</v>
      </c>
      <c r="CQ32" s="230">
        <v>1245750</v>
      </c>
      <c r="CR32" s="230">
        <v>1171200</v>
      </c>
      <c r="CS32" s="230">
        <v>74550</v>
      </c>
      <c r="CT32" s="229">
        <v>6.3700000000000007E-2</v>
      </c>
      <c r="CU32" s="230">
        <v>6842600</v>
      </c>
      <c r="CV32" s="230">
        <v>6729500</v>
      </c>
      <c r="CW32" s="230">
        <v>113100</v>
      </c>
      <c r="CX32" s="229">
        <v>1.6799999999999999E-2</v>
      </c>
      <c r="CY32" s="228">
        <v>30.49</v>
      </c>
      <c r="CZ32" s="228">
        <v>31.26</v>
      </c>
      <c r="DA32" s="228">
        <v>-0.77</v>
      </c>
      <c r="DB32" s="228">
        <v>-0.77</v>
      </c>
      <c r="DC32" s="228">
        <v>28.99</v>
      </c>
      <c r="DD32" s="228">
        <v>29.03</v>
      </c>
      <c r="DE32" s="228">
        <v>1.5</v>
      </c>
      <c r="DF32" s="228">
        <v>-0.04</v>
      </c>
      <c r="DG32" s="228">
        <v>29.72</v>
      </c>
      <c r="DH32" s="228">
        <v>30.18</v>
      </c>
      <c r="DI32" s="228">
        <v>-0.46</v>
      </c>
      <c r="DJ32" s="228">
        <v>-0.46</v>
      </c>
      <c r="DK32" s="228">
        <v>32.340000000000003</v>
      </c>
      <c r="DL32" s="228">
        <v>33.57</v>
      </c>
      <c r="DM32" s="228">
        <v>-1.23</v>
      </c>
      <c r="DN32" s="228">
        <v>-1.23</v>
      </c>
      <c r="DO32" s="228">
        <v>0.59</v>
      </c>
      <c r="DP32" s="228">
        <v>0.56000000000000005</v>
      </c>
      <c r="DQ32" s="228">
        <v>0.03</v>
      </c>
      <c r="DR32" s="229">
        <v>5.3600000000000002E-2</v>
      </c>
      <c r="DS32" s="231">
        <v>14000</v>
      </c>
      <c r="DT32" s="231">
        <v>13000</v>
      </c>
      <c r="DU32" s="228">
        <v>0.42</v>
      </c>
      <c r="DV32" s="228">
        <v>0.47</v>
      </c>
      <c r="DW32" s="228">
        <v>-0.05</v>
      </c>
      <c r="DX32" s="229">
        <v>-0.10639999999999999</v>
      </c>
      <c r="DY32" s="229">
        <v>0.152</v>
      </c>
      <c r="DZ32" s="230">
        <v>496350</v>
      </c>
      <c r="EA32" s="229">
        <v>5.1999999999999998E-3</v>
      </c>
      <c r="EB32" s="229">
        <v>0.152</v>
      </c>
      <c r="EC32" s="228">
        <v>62.47</v>
      </c>
      <c r="ED32" s="229">
        <v>4.5999999999999999E-3</v>
      </c>
      <c r="EE32" s="230">
        <v>300764</v>
      </c>
      <c r="EF32" s="230">
        <v>267669</v>
      </c>
      <c r="EG32" s="229">
        <v>0.1236</v>
      </c>
      <c r="EH32" s="229">
        <v>0.48809999999999998</v>
      </c>
      <c r="EI32" s="231">
        <v>879411.7</v>
      </c>
      <c r="EJ32" s="231">
        <v>342267.1</v>
      </c>
      <c r="EK32" s="231">
        <v>83679.710000000006</v>
      </c>
      <c r="EL32" s="231">
        <v>13785</v>
      </c>
      <c r="EM32" s="231">
        <v>1305358.51</v>
      </c>
      <c r="EN32" s="231">
        <v>483991.15</v>
      </c>
      <c r="EO32" s="231">
        <v>821367.36</v>
      </c>
      <c r="EP32" s="229">
        <v>1.6971000000000001</v>
      </c>
      <c r="EQ32" s="231">
        <v>292054</v>
      </c>
      <c r="ER32" s="231">
        <v>157967</v>
      </c>
      <c r="ES32" s="231">
        <v>471754</v>
      </c>
      <c r="ET32" s="231">
        <v>19673414</v>
      </c>
      <c r="EU32" s="231">
        <v>921775</v>
      </c>
      <c r="EV32" s="231">
        <v>901516</v>
      </c>
      <c r="EW32" s="231">
        <v>20259</v>
      </c>
      <c r="EX32" s="229">
        <v>2.2499999999999999E-2</v>
      </c>
      <c r="EY32" s="229">
        <v>0.3478</v>
      </c>
    </row>
    <row r="33" spans="1:155" ht="17.25" thickBot="1" x14ac:dyDescent="0.3">
      <c r="A33" s="226">
        <v>46129</v>
      </c>
      <c r="B33" s="227" t="s">
        <v>170</v>
      </c>
      <c r="C33" s="227" t="s">
        <v>602</v>
      </c>
      <c r="D33" s="231">
        <v>1007.45</v>
      </c>
      <c r="E33" s="228">
        <v>991</v>
      </c>
      <c r="F33" s="228">
        <v>16.45</v>
      </c>
      <c r="G33" s="229">
        <v>1.66E-2</v>
      </c>
      <c r="H33" s="231">
        <v>1007.65</v>
      </c>
      <c r="I33" s="228">
        <v>990.65</v>
      </c>
      <c r="J33" s="228">
        <v>17</v>
      </c>
      <c r="K33" s="229">
        <v>1.72E-2</v>
      </c>
      <c r="L33" s="231">
        <v>1007.45</v>
      </c>
      <c r="M33" s="228">
        <v>991</v>
      </c>
      <c r="N33" s="228">
        <v>16.45</v>
      </c>
      <c r="O33" s="229">
        <v>1.66E-2</v>
      </c>
      <c r="P33" s="231">
        <v>1013.05</v>
      </c>
      <c r="Q33" s="228">
        <v>996.65</v>
      </c>
      <c r="R33" s="228">
        <v>16.399999999999999</v>
      </c>
      <c r="S33" s="229">
        <v>1.6500000000000001E-2</v>
      </c>
      <c r="T33" s="231">
        <v>1020.65</v>
      </c>
      <c r="U33" s="231">
        <v>1001.45</v>
      </c>
      <c r="V33" s="228">
        <v>19.2</v>
      </c>
      <c r="W33" s="229">
        <v>1.9199999999999998E-2</v>
      </c>
      <c r="X33" s="228">
        <v>-0.2</v>
      </c>
      <c r="Y33" s="228">
        <v>0.35</v>
      </c>
      <c r="Z33" s="228">
        <v>-0.55000000000000004</v>
      </c>
      <c r="AA33" s="229">
        <v>-2.0000000000000001E-4</v>
      </c>
      <c r="AB33" s="228">
        <v>-0.2</v>
      </c>
      <c r="AC33" s="228">
        <v>0.35</v>
      </c>
      <c r="AD33" s="228">
        <v>-0.55000000000000004</v>
      </c>
      <c r="AE33" s="229">
        <v>-2.0000000000000001E-4</v>
      </c>
      <c r="AF33" s="228">
        <v>5.4</v>
      </c>
      <c r="AG33" s="228">
        <v>6</v>
      </c>
      <c r="AH33" s="228">
        <v>-0.6</v>
      </c>
      <c r="AI33" s="229">
        <v>5.4000000000000003E-3</v>
      </c>
      <c r="AJ33" s="228">
        <v>13</v>
      </c>
      <c r="AK33" s="228">
        <v>10.8</v>
      </c>
      <c r="AL33" s="228">
        <v>2.2000000000000002</v>
      </c>
      <c r="AM33" s="229">
        <v>1.29E-2</v>
      </c>
      <c r="AN33" s="231">
        <v>1002.76</v>
      </c>
      <c r="AO33" s="231">
        <v>1007.2</v>
      </c>
      <c r="AP33" s="228">
        <v>0</v>
      </c>
      <c r="AQ33" s="230">
        <v>2963</v>
      </c>
      <c r="AR33" s="230">
        <v>6105</v>
      </c>
      <c r="AS33" s="230">
        <v>-3142</v>
      </c>
      <c r="AT33" s="229">
        <v>-0.51470000000000005</v>
      </c>
      <c r="AU33" s="230">
        <v>2659</v>
      </c>
      <c r="AV33" s="230">
        <v>5776</v>
      </c>
      <c r="AW33" s="230">
        <v>-3117</v>
      </c>
      <c r="AX33" s="229">
        <v>-0.53959999999999997</v>
      </c>
      <c r="AY33" s="228">
        <v>288</v>
      </c>
      <c r="AZ33" s="228">
        <v>292</v>
      </c>
      <c r="BA33" s="228">
        <v>-4</v>
      </c>
      <c r="BB33" s="229">
        <v>-1.37E-2</v>
      </c>
      <c r="BC33" s="228">
        <v>16</v>
      </c>
      <c r="BD33" s="228">
        <v>37</v>
      </c>
      <c r="BE33" s="228">
        <v>-21</v>
      </c>
      <c r="BF33" s="229">
        <v>-0.56759999999999999</v>
      </c>
      <c r="BG33" s="230">
        <v>13519</v>
      </c>
      <c r="BH33" s="230">
        <v>19086</v>
      </c>
      <c r="BI33" s="230">
        <v>-5567</v>
      </c>
      <c r="BJ33" s="229">
        <v>-0.29170000000000001</v>
      </c>
      <c r="BK33" s="230">
        <v>4673</v>
      </c>
      <c r="BL33" s="230">
        <v>7370</v>
      </c>
      <c r="BM33" s="230">
        <v>-2697</v>
      </c>
      <c r="BN33" s="229">
        <v>-0.3659</v>
      </c>
      <c r="BO33" s="230">
        <v>21155</v>
      </c>
      <c r="BP33" s="230">
        <v>32561</v>
      </c>
      <c r="BQ33" s="230">
        <v>-11406</v>
      </c>
      <c r="BR33" s="229">
        <v>-0.3503</v>
      </c>
      <c r="BS33" s="230">
        <v>1713809</v>
      </c>
      <c r="BT33" s="230">
        <v>3508037</v>
      </c>
      <c r="BU33" s="230">
        <v>-1794228</v>
      </c>
      <c r="BV33" s="229">
        <v>-0.51149999999999995</v>
      </c>
      <c r="BW33" s="230">
        <v>14541975</v>
      </c>
      <c r="BX33" s="230">
        <v>14942550</v>
      </c>
      <c r="BY33" s="230">
        <v>-400575</v>
      </c>
      <c r="BZ33" s="229">
        <v>-2.6800000000000001E-2</v>
      </c>
      <c r="CA33" s="230">
        <v>13731375</v>
      </c>
      <c r="CB33" s="230">
        <v>14140875</v>
      </c>
      <c r="CC33" s="230">
        <v>-409500</v>
      </c>
      <c r="CD33" s="229">
        <v>-2.9000000000000001E-2</v>
      </c>
      <c r="CE33" s="230">
        <v>704550</v>
      </c>
      <c r="CF33" s="230">
        <v>696150</v>
      </c>
      <c r="CG33" s="230">
        <v>8400</v>
      </c>
      <c r="CH33" s="229">
        <v>1.21E-2</v>
      </c>
      <c r="CI33" s="230">
        <v>106050</v>
      </c>
      <c r="CJ33" s="230">
        <v>105525</v>
      </c>
      <c r="CK33" s="228">
        <v>525</v>
      </c>
      <c r="CL33" s="229">
        <v>5.0000000000000001E-3</v>
      </c>
      <c r="CM33" s="230">
        <v>4379550</v>
      </c>
      <c r="CN33" s="230">
        <v>3563175</v>
      </c>
      <c r="CO33" s="230">
        <v>816375</v>
      </c>
      <c r="CP33" s="229">
        <v>0.2291</v>
      </c>
      <c r="CQ33" s="230">
        <v>2440725</v>
      </c>
      <c r="CR33" s="230">
        <v>2324700</v>
      </c>
      <c r="CS33" s="230">
        <v>116025</v>
      </c>
      <c r="CT33" s="229">
        <v>4.99E-2</v>
      </c>
      <c r="CU33" s="230">
        <v>21362250</v>
      </c>
      <c r="CV33" s="230">
        <v>20830425</v>
      </c>
      <c r="CW33" s="230">
        <v>531825</v>
      </c>
      <c r="CX33" s="229">
        <v>2.5499999999999998E-2</v>
      </c>
      <c r="CY33" s="228">
        <v>28.11</v>
      </c>
      <c r="CZ33" s="228">
        <v>29.17</v>
      </c>
      <c r="DA33" s="228">
        <v>-1.06</v>
      </c>
      <c r="DB33" s="228">
        <v>-1.06</v>
      </c>
      <c r="DC33" s="228">
        <v>36.299999999999997</v>
      </c>
      <c r="DD33" s="228">
        <v>36.32</v>
      </c>
      <c r="DE33" s="228">
        <v>-8.19</v>
      </c>
      <c r="DF33" s="228">
        <v>-0.02</v>
      </c>
      <c r="DG33" s="228">
        <v>27.4</v>
      </c>
      <c r="DH33" s="228">
        <v>28.67</v>
      </c>
      <c r="DI33" s="228">
        <v>-1.27</v>
      </c>
      <c r="DJ33" s="228">
        <v>-1.27</v>
      </c>
      <c r="DK33" s="228">
        <v>30.16</v>
      </c>
      <c r="DL33" s="228">
        <v>30.48</v>
      </c>
      <c r="DM33" s="228">
        <v>-0.32</v>
      </c>
      <c r="DN33" s="228">
        <v>-0.32</v>
      </c>
      <c r="DO33" s="228">
        <v>0.56000000000000005</v>
      </c>
      <c r="DP33" s="228">
        <v>0.65</v>
      </c>
      <c r="DQ33" s="228">
        <v>-0.09</v>
      </c>
      <c r="DR33" s="229">
        <v>-0.13850000000000001</v>
      </c>
      <c r="DS33" s="231">
        <v>1020</v>
      </c>
      <c r="DT33" s="228">
        <v>960</v>
      </c>
      <c r="DU33" s="228">
        <v>0.35</v>
      </c>
      <c r="DV33" s="228">
        <v>0.39</v>
      </c>
      <c r="DW33" s="228">
        <v>-0.04</v>
      </c>
      <c r="DX33" s="229">
        <v>-0.1026</v>
      </c>
      <c r="DY33" s="229">
        <v>5.57E-2</v>
      </c>
      <c r="DZ33" s="230">
        <v>801675</v>
      </c>
      <c r="EA33" s="229">
        <v>5.5999999999999999E-3</v>
      </c>
      <c r="EB33" s="229">
        <v>5.57E-2</v>
      </c>
      <c r="EC33" s="228">
        <v>4.4400000000000004</v>
      </c>
      <c r="ED33" s="229">
        <v>4.4000000000000003E-3</v>
      </c>
      <c r="EE33" s="230">
        <v>992451</v>
      </c>
      <c r="EF33" s="230">
        <v>2183788</v>
      </c>
      <c r="EG33" s="229">
        <v>-0.54549999999999998</v>
      </c>
      <c r="EH33" s="229">
        <v>0.57909999999999995</v>
      </c>
      <c r="EI33" s="231">
        <v>73343.16</v>
      </c>
      <c r="EJ33" s="231">
        <v>24243.33</v>
      </c>
      <c r="EK33" s="231">
        <v>15605.89</v>
      </c>
      <c r="EL33" s="231">
        <v>5587</v>
      </c>
      <c r="EM33" s="231">
        <v>113192.38</v>
      </c>
      <c r="EN33" s="231">
        <v>174029.31</v>
      </c>
      <c r="EO33" s="231">
        <v>-60836.93</v>
      </c>
      <c r="EP33" s="229">
        <v>-0.34960000000000002</v>
      </c>
      <c r="EQ33" s="231">
        <v>44552</v>
      </c>
      <c r="ER33" s="231">
        <v>23464</v>
      </c>
      <c r="ES33" s="231">
        <v>146557</v>
      </c>
      <c r="ET33" s="231">
        <v>111298748</v>
      </c>
      <c r="EU33" s="231">
        <v>214573</v>
      </c>
      <c r="EV33" s="231">
        <v>206578</v>
      </c>
      <c r="EW33" s="231">
        <v>7995</v>
      </c>
      <c r="EX33" s="229">
        <v>3.8699999999999998E-2</v>
      </c>
      <c r="EY33" s="229">
        <v>0.19189999999999999</v>
      </c>
    </row>
    <row r="34" spans="1:155" ht="17.25" thickBot="1" x14ac:dyDescent="0.3">
      <c r="A34" s="226">
        <v>46129</v>
      </c>
      <c r="B34" s="227" t="s">
        <v>168</v>
      </c>
      <c r="C34" s="227" t="s">
        <v>265</v>
      </c>
      <c r="D34" s="231">
        <v>1286</v>
      </c>
      <c r="E34" s="231">
        <v>1257.8</v>
      </c>
      <c r="F34" s="228">
        <v>28.2</v>
      </c>
      <c r="G34" s="229">
        <v>2.24E-2</v>
      </c>
      <c r="H34" s="231">
        <v>1285.5999999999999</v>
      </c>
      <c r="I34" s="231">
        <v>1257.4000000000001</v>
      </c>
      <c r="J34" s="228">
        <v>28.2</v>
      </c>
      <c r="K34" s="229">
        <v>2.24E-2</v>
      </c>
      <c r="L34" s="231">
        <v>1286</v>
      </c>
      <c r="M34" s="231">
        <v>1257.8</v>
      </c>
      <c r="N34" s="228">
        <v>28.2</v>
      </c>
      <c r="O34" s="229">
        <v>2.24E-2</v>
      </c>
      <c r="P34" s="231">
        <v>1293.5</v>
      </c>
      <c r="Q34" s="231">
        <v>1265.4000000000001</v>
      </c>
      <c r="R34" s="228">
        <v>28.1</v>
      </c>
      <c r="S34" s="229">
        <v>2.2200000000000001E-2</v>
      </c>
      <c r="T34" s="231">
        <v>1301.0999999999999</v>
      </c>
      <c r="U34" s="231">
        <v>1273</v>
      </c>
      <c r="V34" s="228">
        <v>28.1</v>
      </c>
      <c r="W34" s="229">
        <v>2.2100000000000002E-2</v>
      </c>
      <c r="X34" s="228">
        <v>0.4</v>
      </c>
      <c r="Y34" s="228">
        <v>0.4</v>
      </c>
      <c r="Z34" s="228">
        <v>0</v>
      </c>
      <c r="AA34" s="229">
        <v>2.9999999999999997E-4</v>
      </c>
      <c r="AB34" s="228">
        <v>0.4</v>
      </c>
      <c r="AC34" s="228">
        <v>0.4</v>
      </c>
      <c r="AD34" s="228">
        <v>0</v>
      </c>
      <c r="AE34" s="229">
        <v>2.9999999999999997E-4</v>
      </c>
      <c r="AF34" s="228">
        <v>7.9</v>
      </c>
      <c r="AG34" s="228">
        <v>8</v>
      </c>
      <c r="AH34" s="228">
        <v>-0.1</v>
      </c>
      <c r="AI34" s="229">
        <v>6.1000000000000004E-3</v>
      </c>
      <c r="AJ34" s="228">
        <v>15.5</v>
      </c>
      <c r="AK34" s="228">
        <v>15.6</v>
      </c>
      <c r="AL34" s="228">
        <v>-0.1</v>
      </c>
      <c r="AM34" s="229">
        <v>1.21E-2</v>
      </c>
      <c r="AN34" s="231">
        <v>1280.6600000000001</v>
      </c>
      <c r="AO34" s="231">
        <v>1286.4000000000001</v>
      </c>
      <c r="AP34" s="228">
        <v>0</v>
      </c>
      <c r="AQ34" s="230">
        <v>4031</v>
      </c>
      <c r="AR34" s="230">
        <v>6502</v>
      </c>
      <c r="AS34" s="230">
        <v>-2471</v>
      </c>
      <c r="AT34" s="229">
        <v>-0.38</v>
      </c>
      <c r="AU34" s="230">
        <v>3689</v>
      </c>
      <c r="AV34" s="230">
        <v>4919</v>
      </c>
      <c r="AW34" s="230">
        <v>-1230</v>
      </c>
      <c r="AX34" s="229">
        <v>-0.25009999999999999</v>
      </c>
      <c r="AY34" s="228">
        <v>328</v>
      </c>
      <c r="AZ34" s="228">
        <v>275</v>
      </c>
      <c r="BA34" s="228">
        <v>53</v>
      </c>
      <c r="BB34" s="229">
        <v>0.19270000000000001</v>
      </c>
      <c r="BC34" s="228">
        <v>14</v>
      </c>
      <c r="BD34" s="230">
        <v>1308</v>
      </c>
      <c r="BE34" s="230">
        <v>-1294</v>
      </c>
      <c r="BF34" s="229">
        <v>-0.98929999999999996</v>
      </c>
      <c r="BG34" s="230">
        <v>19929</v>
      </c>
      <c r="BH34" s="230">
        <v>9398</v>
      </c>
      <c r="BI34" s="230">
        <v>10531</v>
      </c>
      <c r="BJ34" s="229">
        <v>1.1206</v>
      </c>
      <c r="BK34" s="230">
        <v>5198</v>
      </c>
      <c r="BL34" s="230">
        <v>3782</v>
      </c>
      <c r="BM34" s="230">
        <v>1416</v>
      </c>
      <c r="BN34" s="229">
        <v>0.37440000000000001</v>
      </c>
      <c r="BO34" s="230">
        <v>29158</v>
      </c>
      <c r="BP34" s="230">
        <v>19682</v>
      </c>
      <c r="BQ34" s="230">
        <v>9476</v>
      </c>
      <c r="BR34" s="229">
        <v>0.48149999999999998</v>
      </c>
      <c r="BS34" s="230">
        <v>2070753</v>
      </c>
      <c r="BT34" s="230">
        <v>1230572</v>
      </c>
      <c r="BU34" s="230">
        <v>840181</v>
      </c>
      <c r="BV34" s="229">
        <v>0.68279999999999996</v>
      </c>
      <c r="BW34" s="230">
        <v>18938000</v>
      </c>
      <c r="BX34" s="230">
        <v>19189000</v>
      </c>
      <c r="BY34" s="230">
        <v>-251000</v>
      </c>
      <c r="BZ34" s="229">
        <v>-1.3100000000000001E-2</v>
      </c>
      <c r="CA34" s="230">
        <v>17624000</v>
      </c>
      <c r="CB34" s="230">
        <v>17897500</v>
      </c>
      <c r="CC34" s="230">
        <v>-273500</v>
      </c>
      <c r="CD34" s="229">
        <v>-1.5299999999999999E-2</v>
      </c>
      <c r="CE34" s="230">
        <v>578000</v>
      </c>
      <c r="CF34" s="230">
        <v>558500</v>
      </c>
      <c r="CG34" s="230">
        <v>19500</v>
      </c>
      <c r="CH34" s="229">
        <v>3.49E-2</v>
      </c>
      <c r="CI34" s="230">
        <v>736000</v>
      </c>
      <c r="CJ34" s="230">
        <v>733000</v>
      </c>
      <c r="CK34" s="230">
        <v>3000</v>
      </c>
      <c r="CL34" s="229">
        <v>4.1000000000000003E-3</v>
      </c>
      <c r="CM34" s="230">
        <v>4183500</v>
      </c>
      <c r="CN34" s="230">
        <v>2885500</v>
      </c>
      <c r="CO34" s="230">
        <v>1298000</v>
      </c>
      <c r="CP34" s="229">
        <v>0.44979999999999998</v>
      </c>
      <c r="CQ34" s="230">
        <v>2351000</v>
      </c>
      <c r="CR34" s="230">
        <v>2025000</v>
      </c>
      <c r="CS34" s="230">
        <v>326000</v>
      </c>
      <c r="CT34" s="229">
        <v>0.161</v>
      </c>
      <c r="CU34" s="230">
        <v>25472500</v>
      </c>
      <c r="CV34" s="230">
        <v>24099500</v>
      </c>
      <c r="CW34" s="230">
        <v>1373000</v>
      </c>
      <c r="CX34" s="229">
        <v>5.7000000000000002E-2</v>
      </c>
      <c r="CY34" s="228">
        <v>28.7</v>
      </c>
      <c r="CZ34" s="228">
        <v>30.66</v>
      </c>
      <c r="DA34" s="228">
        <v>-1.96</v>
      </c>
      <c r="DB34" s="228">
        <v>-1.96</v>
      </c>
      <c r="DC34" s="228">
        <v>23.57</v>
      </c>
      <c r="DD34" s="228">
        <v>23.44</v>
      </c>
      <c r="DE34" s="228">
        <v>5.13</v>
      </c>
      <c r="DF34" s="228">
        <v>0.13</v>
      </c>
      <c r="DG34" s="228">
        <v>28.27</v>
      </c>
      <c r="DH34" s="228">
        <v>30.33</v>
      </c>
      <c r="DI34" s="228">
        <v>-2.06</v>
      </c>
      <c r="DJ34" s="228">
        <v>-2.06</v>
      </c>
      <c r="DK34" s="228">
        <v>30.36</v>
      </c>
      <c r="DL34" s="228">
        <v>31.48</v>
      </c>
      <c r="DM34" s="228">
        <v>-1.1200000000000001</v>
      </c>
      <c r="DN34" s="228">
        <v>-1.1200000000000001</v>
      </c>
      <c r="DO34" s="228">
        <v>0.56000000000000005</v>
      </c>
      <c r="DP34" s="228">
        <v>0.7</v>
      </c>
      <c r="DQ34" s="228">
        <v>-0.14000000000000001</v>
      </c>
      <c r="DR34" s="229">
        <v>-0.2</v>
      </c>
      <c r="DS34" s="231">
        <v>1300</v>
      </c>
      <c r="DT34" s="231">
        <v>1200</v>
      </c>
      <c r="DU34" s="228">
        <v>0.26</v>
      </c>
      <c r="DV34" s="228">
        <v>0.4</v>
      </c>
      <c r="DW34" s="228">
        <v>-0.14000000000000001</v>
      </c>
      <c r="DX34" s="229">
        <v>-0.35</v>
      </c>
      <c r="DY34" s="229">
        <v>6.9400000000000003E-2</v>
      </c>
      <c r="DZ34" s="230">
        <v>1291500</v>
      </c>
      <c r="EA34" s="229">
        <v>5.7999999999999996E-3</v>
      </c>
      <c r="EB34" s="229">
        <v>6.9400000000000003E-2</v>
      </c>
      <c r="EC34" s="228">
        <v>5.74</v>
      </c>
      <c r="ED34" s="229">
        <v>4.4999999999999997E-3</v>
      </c>
      <c r="EE34" s="230">
        <v>1138206</v>
      </c>
      <c r="EF34" s="230">
        <v>686841</v>
      </c>
      <c r="EG34" s="229">
        <v>0.65720000000000001</v>
      </c>
      <c r="EH34" s="229">
        <v>0.54969999999999997</v>
      </c>
      <c r="EI34" s="231">
        <v>132927.78</v>
      </c>
      <c r="EJ34" s="231">
        <v>32551.96</v>
      </c>
      <c r="EK34" s="231">
        <v>25822.39</v>
      </c>
      <c r="EL34" s="231">
        <v>4409</v>
      </c>
      <c r="EM34" s="231">
        <v>191302.13</v>
      </c>
      <c r="EN34" s="231">
        <v>125101.23</v>
      </c>
      <c r="EO34" s="231">
        <v>66200.899999999994</v>
      </c>
      <c r="EP34" s="229">
        <v>0.5292</v>
      </c>
      <c r="EQ34" s="231">
        <v>53638</v>
      </c>
      <c r="ER34" s="231">
        <v>28317</v>
      </c>
      <c r="ES34" s="231">
        <v>243697</v>
      </c>
      <c r="ET34" s="231">
        <v>71801274</v>
      </c>
      <c r="EU34" s="231">
        <v>325652</v>
      </c>
      <c r="EV34" s="231">
        <v>302068</v>
      </c>
      <c r="EW34" s="231">
        <v>23584</v>
      </c>
      <c r="EX34" s="229">
        <v>7.8100000000000003E-2</v>
      </c>
      <c r="EY34" s="229">
        <v>0.3548</v>
      </c>
    </row>
    <row r="35" spans="1:155" ht="17.25" thickBot="1" x14ac:dyDescent="0.3">
      <c r="A35" s="226">
        <v>46129</v>
      </c>
      <c r="B35" s="227" t="s">
        <v>161</v>
      </c>
      <c r="C35" s="227" t="s">
        <v>268</v>
      </c>
      <c r="D35" s="228">
        <v>395.2</v>
      </c>
      <c r="E35" s="228">
        <v>391.95</v>
      </c>
      <c r="F35" s="228">
        <v>3.25</v>
      </c>
      <c r="G35" s="229">
        <v>8.3000000000000001E-3</v>
      </c>
      <c r="H35" s="228">
        <v>393.6</v>
      </c>
      <c r="I35" s="228">
        <v>390.8</v>
      </c>
      <c r="J35" s="228">
        <v>2.8</v>
      </c>
      <c r="K35" s="229">
        <v>7.1999999999999998E-3</v>
      </c>
      <c r="L35" s="228">
        <v>395.2</v>
      </c>
      <c r="M35" s="228">
        <v>391.95</v>
      </c>
      <c r="N35" s="228">
        <v>3.25</v>
      </c>
      <c r="O35" s="229">
        <v>8.3000000000000001E-3</v>
      </c>
      <c r="P35" s="228">
        <v>397.1</v>
      </c>
      <c r="Q35" s="228">
        <v>394.25</v>
      </c>
      <c r="R35" s="228">
        <v>2.85</v>
      </c>
      <c r="S35" s="229">
        <v>7.1999999999999998E-3</v>
      </c>
      <c r="T35" s="228">
        <v>399.1</v>
      </c>
      <c r="U35" s="228">
        <v>396.6</v>
      </c>
      <c r="V35" s="228">
        <v>2.5</v>
      </c>
      <c r="W35" s="229">
        <v>6.3E-3</v>
      </c>
      <c r="X35" s="228">
        <v>1.6</v>
      </c>
      <c r="Y35" s="228">
        <v>1.1499999999999999</v>
      </c>
      <c r="Z35" s="228">
        <v>0.45</v>
      </c>
      <c r="AA35" s="229">
        <v>4.1000000000000003E-3</v>
      </c>
      <c r="AB35" s="228">
        <v>1.6</v>
      </c>
      <c r="AC35" s="228">
        <v>1.1499999999999999</v>
      </c>
      <c r="AD35" s="228">
        <v>0.45</v>
      </c>
      <c r="AE35" s="229">
        <v>4.1000000000000003E-3</v>
      </c>
      <c r="AF35" s="228">
        <v>3.5</v>
      </c>
      <c r="AG35" s="228">
        <v>3.45</v>
      </c>
      <c r="AH35" s="228">
        <v>0.05</v>
      </c>
      <c r="AI35" s="229">
        <v>8.8999999999999999E-3</v>
      </c>
      <c r="AJ35" s="228">
        <v>5.5</v>
      </c>
      <c r="AK35" s="228">
        <v>5.8</v>
      </c>
      <c r="AL35" s="228">
        <v>-0.3</v>
      </c>
      <c r="AM35" s="229">
        <v>1.4E-2</v>
      </c>
      <c r="AN35" s="228">
        <v>393.65</v>
      </c>
      <c r="AO35" s="228">
        <v>394.88</v>
      </c>
      <c r="AP35" s="228">
        <v>0</v>
      </c>
      <c r="AQ35" s="230">
        <v>13709</v>
      </c>
      <c r="AR35" s="230">
        <v>8496</v>
      </c>
      <c r="AS35" s="230">
        <v>5213</v>
      </c>
      <c r="AT35" s="229">
        <v>0.61360000000000003</v>
      </c>
      <c r="AU35" s="230">
        <v>11182</v>
      </c>
      <c r="AV35" s="230">
        <v>6822</v>
      </c>
      <c r="AW35" s="230">
        <v>4360</v>
      </c>
      <c r="AX35" s="229">
        <v>0.6391</v>
      </c>
      <c r="AY35" s="230">
        <v>2448</v>
      </c>
      <c r="AZ35" s="228">
        <v>610</v>
      </c>
      <c r="BA35" s="230">
        <v>1838</v>
      </c>
      <c r="BB35" s="229">
        <v>3.0131000000000001</v>
      </c>
      <c r="BC35" s="228">
        <v>79</v>
      </c>
      <c r="BD35" s="230">
        <v>1064</v>
      </c>
      <c r="BE35" s="228">
        <v>-985</v>
      </c>
      <c r="BF35" s="229">
        <v>-0.92579999999999996</v>
      </c>
      <c r="BG35" s="230">
        <v>56654</v>
      </c>
      <c r="BH35" s="230">
        <v>49402</v>
      </c>
      <c r="BI35" s="230">
        <v>7252</v>
      </c>
      <c r="BJ35" s="229">
        <v>0.14680000000000001</v>
      </c>
      <c r="BK35" s="230">
        <v>26803</v>
      </c>
      <c r="BL35" s="230">
        <v>21770</v>
      </c>
      <c r="BM35" s="230">
        <v>5033</v>
      </c>
      <c r="BN35" s="229">
        <v>0.23119999999999999</v>
      </c>
      <c r="BO35" s="230">
        <v>97166</v>
      </c>
      <c r="BP35" s="230">
        <v>79668</v>
      </c>
      <c r="BQ35" s="230">
        <v>17498</v>
      </c>
      <c r="BR35" s="229">
        <v>0.21959999999999999</v>
      </c>
      <c r="BS35" s="230">
        <v>15936041</v>
      </c>
      <c r="BT35" s="230">
        <v>10966414</v>
      </c>
      <c r="BU35" s="230">
        <v>4969627</v>
      </c>
      <c r="BV35" s="229">
        <v>0.45319999999999999</v>
      </c>
      <c r="BW35" s="230">
        <v>98035500</v>
      </c>
      <c r="BX35" s="230">
        <v>91377000</v>
      </c>
      <c r="BY35" s="230">
        <v>6658500</v>
      </c>
      <c r="BZ35" s="229">
        <v>7.2900000000000006E-2</v>
      </c>
      <c r="CA35" s="230">
        <v>82618500</v>
      </c>
      <c r="CB35" s="230">
        <v>78525000</v>
      </c>
      <c r="CC35" s="230">
        <v>4093500</v>
      </c>
      <c r="CD35" s="229">
        <v>5.21E-2</v>
      </c>
      <c r="CE35" s="230">
        <v>12052500</v>
      </c>
      <c r="CF35" s="230">
        <v>9495000</v>
      </c>
      <c r="CG35" s="230">
        <v>2557500</v>
      </c>
      <c r="CH35" s="229">
        <v>0.26939999999999997</v>
      </c>
      <c r="CI35" s="230">
        <v>3364500</v>
      </c>
      <c r="CJ35" s="230">
        <v>3357000</v>
      </c>
      <c r="CK35" s="230">
        <v>7500</v>
      </c>
      <c r="CL35" s="229">
        <v>2.2000000000000001E-3</v>
      </c>
      <c r="CM35" s="230">
        <v>59341500</v>
      </c>
      <c r="CN35" s="230">
        <v>51408000</v>
      </c>
      <c r="CO35" s="230">
        <v>7933500</v>
      </c>
      <c r="CP35" s="229">
        <v>0.15429999999999999</v>
      </c>
      <c r="CQ35" s="230">
        <v>31327500</v>
      </c>
      <c r="CR35" s="230">
        <v>28999500</v>
      </c>
      <c r="CS35" s="230">
        <v>2328000</v>
      </c>
      <c r="CT35" s="229">
        <v>8.0299999999999996E-2</v>
      </c>
      <c r="CU35" s="230">
        <v>188704500</v>
      </c>
      <c r="CV35" s="230">
        <v>171784500</v>
      </c>
      <c r="CW35" s="230">
        <v>16920000</v>
      </c>
      <c r="CX35" s="229">
        <v>9.8500000000000004E-2</v>
      </c>
      <c r="CY35" s="228">
        <v>19.97</v>
      </c>
      <c r="CZ35" s="228">
        <v>21.65</v>
      </c>
      <c r="DA35" s="228">
        <v>-1.68</v>
      </c>
      <c r="DB35" s="228">
        <v>-1.68</v>
      </c>
      <c r="DC35" s="228">
        <v>27.42</v>
      </c>
      <c r="DD35" s="228">
        <v>27.47</v>
      </c>
      <c r="DE35" s="228">
        <v>-7.45</v>
      </c>
      <c r="DF35" s="228">
        <v>-0.05</v>
      </c>
      <c r="DG35" s="228">
        <v>19.21</v>
      </c>
      <c r="DH35" s="228">
        <v>21.05</v>
      </c>
      <c r="DI35" s="228">
        <v>-1.84</v>
      </c>
      <c r="DJ35" s="228">
        <v>-1.84</v>
      </c>
      <c r="DK35" s="228">
        <v>21.58</v>
      </c>
      <c r="DL35" s="228">
        <v>23</v>
      </c>
      <c r="DM35" s="228">
        <v>-1.42</v>
      </c>
      <c r="DN35" s="228">
        <v>-1.42</v>
      </c>
      <c r="DO35" s="228">
        <v>0.53</v>
      </c>
      <c r="DP35" s="228">
        <v>0.56000000000000005</v>
      </c>
      <c r="DQ35" s="228">
        <v>-0.03</v>
      </c>
      <c r="DR35" s="229">
        <v>-5.3600000000000002E-2</v>
      </c>
      <c r="DS35" s="228">
        <v>395</v>
      </c>
      <c r="DT35" s="228">
        <v>380</v>
      </c>
      <c r="DU35" s="228">
        <v>0.47</v>
      </c>
      <c r="DV35" s="228">
        <v>0.44</v>
      </c>
      <c r="DW35" s="228">
        <v>0.03</v>
      </c>
      <c r="DX35" s="229">
        <v>6.8199999999999997E-2</v>
      </c>
      <c r="DY35" s="229">
        <v>0.1573</v>
      </c>
      <c r="DZ35" s="230">
        <v>12852000</v>
      </c>
      <c r="EA35" s="229">
        <v>4.7999999999999996E-3</v>
      </c>
      <c r="EB35" s="229">
        <v>0.1573</v>
      </c>
      <c r="EC35" s="228">
        <v>1.23</v>
      </c>
      <c r="ED35" s="229">
        <v>3.0999999999999999E-3</v>
      </c>
      <c r="EE35" s="230">
        <v>10153267</v>
      </c>
      <c r="EF35" s="230">
        <v>5164136</v>
      </c>
      <c r="EG35" s="229">
        <v>0.96609999999999996</v>
      </c>
      <c r="EH35" s="229">
        <v>0.6371</v>
      </c>
      <c r="EI35" s="231">
        <v>342268.47</v>
      </c>
      <c r="EJ35" s="231">
        <v>156749.38</v>
      </c>
      <c r="EK35" s="231">
        <v>80998.289999999994</v>
      </c>
      <c r="EL35" s="231">
        <v>9162</v>
      </c>
      <c r="EM35" s="231">
        <v>580016.14</v>
      </c>
      <c r="EN35" s="231">
        <v>476757.79</v>
      </c>
      <c r="EO35" s="231">
        <v>103258.35</v>
      </c>
      <c r="EP35" s="229">
        <v>0.21659999999999999</v>
      </c>
      <c r="EQ35" s="231">
        <v>231581</v>
      </c>
      <c r="ER35" s="231">
        <v>116822</v>
      </c>
      <c r="ES35" s="231">
        <v>387797</v>
      </c>
      <c r="ET35" s="231">
        <v>550512361</v>
      </c>
      <c r="EU35" s="231">
        <v>736199</v>
      </c>
      <c r="EV35" s="231">
        <v>666166</v>
      </c>
      <c r="EW35" s="231">
        <v>70033</v>
      </c>
      <c r="EX35" s="229">
        <v>0.1051</v>
      </c>
      <c r="EY35" s="229">
        <v>0.34279999999999999</v>
      </c>
    </row>
    <row r="36" spans="1:155" ht="17.25" thickBot="1" x14ac:dyDescent="0.3">
      <c r="A36" s="226">
        <v>46129</v>
      </c>
      <c r="B36" s="227" t="s">
        <v>193</v>
      </c>
      <c r="C36" s="227" t="s">
        <v>269</v>
      </c>
      <c r="D36" s="228">
        <v>284.89999999999998</v>
      </c>
      <c r="E36" s="228">
        <v>283.55</v>
      </c>
      <c r="F36" s="228">
        <v>1.35</v>
      </c>
      <c r="G36" s="229">
        <v>4.7999999999999996E-3</v>
      </c>
      <c r="H36" s="228">
        <v>284.05</v>
      </c>
      <c r="I36" s="228">
        <v>282.75</v>
      </c>
      <c r="J36" s="228">
        <v>1.3</v>
      </c>
      <c r="K36" s="229">
        <v>4.5999999999999999E-3</v>
      </c>
      <c r="L36" s="228">
        <v>284.89999999999998</v>
      </c>
      <c r="M36" s="228">
        <v>283.55</v>
      </c>
      <c r="N36" s="228">
        <v>1.35</v>
      </c>
      <c r="O36" s="229">
        <v>4.7999999999999996E-3</v>
      </c>
      <c r="P36" s="228">
        <v>286.35000000000002</v>
      </c>
      <c r="Q36" s="228">
        <v>285.14999999999998</v>
      </c>
      <c r="R36" s="228">
        <v>1.2</v>
      </c>
      <c r="S36" s="229">
        <v>4.1999999999999997E-3</v>
      </c>
      <c r="T36" s="228">
        <v>288.10000000000002</v>
      </c>
      <c r="U36" s="228">
        <v>287</v>
      </c>
      <c r="V36" s="228">
        <v>1.1000000000000001</v>
      </c>
      <c r="W36" s="229">
        <v>3.8E-3</v>
      </c>
      <c r="X36" s="228">
        <v>0.85</v>
      </c>
      <c r="Y36" s="228">
        <v>0.8</v>
      </c>
      <c r="Z36" s="228">
        <v>0.05</v>
      </c>
      <c r="AA36" s="229">
        <v>3.0000000000000001E-3</v>
      </c>
      <c r="AB36" s="228">
        <v>0.85</v>
      </c>
      <c r="AC36" s="228">
        <v>0.8</v>
      </c>
      <c r="AD36" s="228">
        <v>0.05</v>
      </c>
      <c r="AE36" s="229">
        <v>3.0000000000000001E-3</v>
      </c>
      <c r="AF36" s="228">
        <v>2.2999999999999998</v>
      </c>
      <c r="AG36" s="228">
        <v>2.4</v>
      </c>
      <c r="AH36" s="228">
        <v>-0.1</v>
      </c>
      <c r="AI36" s="229">
        <v>8.0999999999999996E-3</v>
      </c>
      <c r="AJ36" s="228">
        <v>4.05</v>
      </c>
      <c r="AK36" s="228">
        <v>4.25</v>
      </c>
      <c r="AL36" s="228">
        <v>-0.2</v>
      </c>
      <c r="AM36" s="229">
        <v>1.43E-2</v>
      </c>
      <c r="AN36" s="228">
        <v>284.91000000000003</v>
      </c>
      <c r="AO36" s="228">
        <v>286.31</v>
      </c>
      <c r="AP36" s="228">
        <v>0</v>
      </c>
      <c r="AQ36" s="230">
        <v>5988</v>
      </c>
      <c r="AR36" s="230">
        <v>6069</v>
      </c>
      <c r="AS36" s="228">
        <v>-81</v>
      </c>
      <c r="AT36" s="229">
        <v>-1.3299999999999999E-2</v>
      </c>
      <c r="AU36" s="230">
        <v>4556</v>
      </c>
      <c r="AV36" s="230">
        <v>4574</v>
      </c>
      <c r="AW36" s="228">
        <v>-18</v>
      </c>
      <c r="AX36" s="229">
        <v>-3.8999999999999998E-3</v>
      </c>
      <c r="AY36" s="228">
        <v>592</v>
      </c>
      <c r="AZ36" s="228">
        <v>424</v>
      </c>
      <c r="BA36" s="228">
        <v>168</v>
      </c>
      <c r="BB36" s="229">
        <v>0.3962</v>
      </c>
      <c r="BC36" s="228">
        <v>840</v>
      </c>
      <c r="BD36" s="230">
        <v>1071</v>
      </c>
      <c r="BE36" s="228">
        <v>-231</v>
      </c>
      <c r="BF36" s="229">
        <v>-0.2157</v>
      </c>
      <c r="BG36" s="230">
        <v>24959</v>
      </c>
      <c r="BH36" s="230">
        <v>29574</v>
      </c>
      <c r="BI36" s="230">
        <v>-4615</v>
      </c>
      <c r="BJ36" s="229">
        <v>-0.156</v>
      </c>
      <c r="BK36" s="230">
        <v>11091</v>
      </c>
      <c r="BL36" s="230">
        <v>13916</v>
      </c>
      <c r="BM36" s="230">
        <v>-2825</v>
      </c>
      <c r="BN36" s="229">
        <v>-0.20300000000000001</v>
      </c>
      <c r="BO36" s="230">
        <v>42038</v>
      </c>
      <c r="BP36" s="230">
        <v>49559</v>
      </c>
      <c r="BQ36" s="230">
        <v>-7521</v>
      </c>
      <c r="BR36" s="229">
        <v>-0.15179999999999999</v>
      </c>
      <c r="BS36" s="230">
        <v>18639168</v>
      </c>
      <c r="BT36" s="230">
        <v>13969518</v>
      </c>
      <c r="BU36" s="230">
        <v>4669650</v>
      </c>
      <c r="BV36" s="229">
        <v>0.33429999999999999</v>
      </c>
      <c r="BW36" s="230">
        <v>96527250</v>
      </c>
      <c r="BX36" s="230">
        <v>96113250</v>
      </c>
      <c r="BY36" s="230">
        <v>414000</v>
      </c>
      <c r="BZ36" s="229">
        <v>4.3E-3</v>
      </c>
      <c r="CA36" s="230">
        <v>86386500</v>
      </c>
      <c r="CB36" s="230">
        <v>88353000</v>
      </c>
      <c r="CC36" s="230">
        <v>-1966500</v>
      </c>
      <c r="CD36" s="229">
        <v>-2.23E-2</v>
      </c>
      <c r="CE36" s="230">
        <v>3244500</v>
      </c>
      <c r="CF36" s="230">
        <v>2659500</v>
      </c>
      <c r="CG36" s="230">
        <v>585000</v>
      </c>
      <c r="CH36" s="229">
        <v>0.22</v>
      </c>
      <c r="CI36" s="230">
        <v>6896250</v>
      </c>
      <c r="CJ36" s="230">
        <v>5100750</v>
      </c>
      <c r="CK36" s="230">
        <v>1795500</v>
      </c>
      <c r="CL36" s="229">
        <v>0.35199999999999998</v>
      </c>
      <c r="CM36" s="230">
        <v>97166250</v>
      </c>
      <c r="CN36" s="230">
        <v>96801750</v>
      </c>
      <c r="CO36" s="230">
        <v>364500</v>
      </c>
      <c r="CP36" s="229">
        <v>3.8E-3</v>
      </c>
      <c r="CQ36" s="230">
        <v>36182250</v>
      </c>
      <c r="CR36" s="230">
        <v>35714250</v>
      </c>
      <c r="CS36" s="230">
        <v>468000</v>
      </c>
      <c r="CT36" s="229">
        <v>1.3100000000000001E-2</v>
      </c>
      <c r="CU36" s="230">
        <v>229875750</v>
      </c>
      <c r="CV36" s="230">
        <v>228629250</v>
      </c>
      <c r="CW36" s="230">
        <v>1246500</v>
      </c>
      <c r="CX36" s="229">
        <v>5.4999999999999997E-3</v>
      </c>
      <c r="CY36" s="228">
        <v>24.42</v>
      </c>
      <c r="CZ36" s="228">
        <v>26.06</v>
      </c>
      <c r="DA36" s="228">
        <v>-1.64</v>
      </c>
      <c r="DB36" s="228">
        <v>-1.64</v>
      </c>
      <c r="DC36" s="228">
        <v>31.73</v>
      </c>
      <c r="DD36" s="228">
        <v>31.81</v>
      </c>
      <c r="DE36" s="228">
        <v>-7.31</v>
      </c>
      <c r="DF36" s="228">
        <v>-0.08</v>
      </c>
      <c r="DG36" s="228">
        <v>23.91</v>
      </c>
      <c r="DH36" s="228">
        <v>25.41</v>
      </c>
      <c r="DI36" s="228">
        <v>-1.5</v>
      </c>
      <c r="DJ36" s="228">
        <v>-1.5</v>
      </c>
      <c r="DK36" s="228">
        <v>25.58</v>
      </c>
      <c r="DL36" s="228">
        <v>27.46</v>
      </c>
      <c r="DM36" s="228">
        <v>-1.88</v>
      </c>
      <c r="DN36" s="228">
        <v>-1.88</v>
      </c>
      <c r="DO36" s="228">
        <v>0.37</v>
      </c>
      <c r="DP36" s="228">
        <v>0.37</v>
      </c>
      <c r="DQ36" s="228">
        <v>0</v>
      </c>
      <c r="DR36" s="229">
        <v>0</v>
      </c>
      <c r="DS36" s="228">
        <v>290</v>
      </c>
      <c r="DT36" s="228">
        <v>270</v>
      </c>
      <c r="DU36" s="228">
        <v>0.44</v>
      </c>
      <c r="DV36" s="228">
        <v>0.47</v>
      </c>
      <c r="DW36" s="228">
        <v>-0.03</v>
      </c>
      <c r="DX36" s="229">
        <v>-6.3799999999999996E-2</v>
      </c>
      <c r="DY36" s="229">
        <v>0.1051</v>
      </c>
      <c r="DZ36" s="230">
        <v>7760250</v>
      </c>
      <c r="EA36" s="229">
        <v>5.1000000000000004E-3</v>
      </c>
      <c r="EB36" s="229">
        <v>0.1051</v>
      </c>
      <c r="EC36" s="228">
        <v>1.4</v>
      </c>
      <c r="ED36" s="229">
        <v>4.8999999999999998E-3</v>
      </c>
      <c r="EE36" s="230">
        <v>12382494</v>
      </c>
      <c r="EF36" s="230">
        <v>6996218</v>
      </c>
      <c r="EG36" s="229">
        <v>0.76990000000000003</v>
      </c>
      <c r="EH36" s="229">
        <v>0.6643</v>
      </c>
      <c r="EI36" s="231">
        <v>165543.31</v>
      </c>
      <c r="EJ36" s="231">
        <v>70562.570000000007</v>
      </c>
      <c r="EK36" s="231">
        <v>38464.559999999998</v>
      </c>
      <c r="EL36" s="231">
        <v>6117</v>
      </c>
      <c r="EM36" s="231">
        <v>274570.44</v>
      </c>
      <c r="EN36" s="231">
        <v>324842.90999999997</v>
      </c>
      <c r="EO36" s="231">
        <v>-50272.47</v>
      </c>
      <c r="EP36" s="229">
        <v>-0.15479999999999999</v>
      </c>
      <c r="EQ36" s="231">
        <v>287315</v>
      </c>
      <c r="ER36" s="231">
        <v>99295</v>
      </c>
      <c r="ES36" s="231">
        <v>275274</v>
      </c>
      <c r="ET36" s="231">
        <v>711370982</v>
      </c>
      <c r="EU36" s="231">
        <v>661884</v>
      </c>
      <c r="EV36" s="231">
        <v>656655</v>
      </c>
      <c r="EW36" s="231">
        <v>5229</v>
      </c>
      <c r="EX36" s="229">
        <v>8.0000000000000002E-3</v>
      </c>
      <c r="EY36" s="229">
        <v>0.3231</v>
      </c>
    </row>
    <row r="37" spans="1:155" ht="17.25" thickBot="1" x14ac:dyDescent="0.3">
      <c r="A37" s="226">
        <v>46129</v>
      </c>
      <c r="B37" s="227" t="s">
        <v>161</v>
      </c>
      <c r="C37" s="227" t="s">
        <v>276</v>
      </c>
      <c r="D37" s="228">
        <v>317.64999999999998</v>
      </c>
      <c r="E37" s="228">
        <v>311.85000000000002</v>
      </c>
      <c r="F37" s="228">
        <v>5.8</v>
      </c>
      <c r="G37" s="229">
        <v>1.8599999999999998E-2</v>
      </c>
      <c r="H37" s="228">
        <v>318.10000000000002</v>
      </c>
      <c r="I37" s="228">
        <v>312.25</v>
      </c>
      <c r="J37" s="228">
        <v>5.85</v>
      </c>
      <c r="K37" s="229">
        <v>1.8700000000000001E-2</v>
      </c>
      <c r="L37" s="228">
        <v>317.64999999999998</v>
      </c>
      <c r="M37" s="228">
        <v>311.85000000000002</v>
      </c>
      <c r="N37" s="228">
        <v>5.8</v>
      </c>
      <c r="O37" s="229">
        <v>1.8599999999999998E-2</v>
      </c>
      <c r="P37" s="228">
        <v>319.55</v>
      </c>
      <c r="Q37" s="228">
        <v>313.8</v>
      </c>
      <c r="R37" s="228">
        <v>5.75</v>
      </c>
      <c r="S37" s="229">
        <v>1.83E-2</v>
      </c>
      <c r="T37" s="228">
        <v>321.25</v>
      </c>
      <c r="U37" s="228">
        <v>315.60000000000002</v>
      </c>
      <c r="V37" s="228">
        <v>5.65</v>
      </c>
      <c r="W37" s="229">
        <v>1.7899999999999999E-2</v>
      </c>
      <c r="X37" s="228">
        <v>-0.45</v>
      </c>
      <c r="Y37" s="228">
        <v>-0.4</v>
      </c>
      <c r="Z37" s="228">
        <v>-0.05</v>
      </c>
      <c r="AA37" s="229">
        <v>-1.4E-3</v>
      </c>
      <c r="AB37" s="228">
        <v>-0.45</v>
      </c>
      <c r="AC37" s="228">
        <v>-0.4</v>
      </c>
      <c r="AD37" s="228">
        <v>-0.05</v>
      </c>
      <c r="AE37" s="229">
        <v>-1.4E-3</v>
      </c>
      <c r="AF37" s="228">
        <v>1.45</v>
      </c>
      <c r="AG37" s="228">
        <v>1.55</v>
      </c>
      <c r="AH37" s="228">
        <v>-0.1</v>
      </c>
      <c r="AI37" s="229">
        <v>4.5999999999999999E-3</v>
      </c>
      <c r="AJ37" s="228">
        <v>3.15</v>
      </c>
      <c r="AK37" s="228">
        <v>3.35</v>
      </c>
      <c r="AL37" s="228">
        <v>-0.2</v>
      </c>
      <c r="AM37" s="229">
        <v>9.9000000000000008E-3</v>
      </c>
      <c r="AN37" s="228">
        <v>315.86</v>
      </c>
      <c r="AO37" s="228">
        <v>317.55</v>
      </c>
      <c r="AP37" s="228">
        <v>0</v>
      </c>
      <c r="AQ37" s="230">
        <v>8527</v>
      </c>
      <c r="AR37" s="230">
        <v>11666</v>
      </c>
      <c r="AS37" s="230">
        <v>-3139</v>
      </c>
      <c r="AT37" s="229">
        <v>-0.26910000000000001</v>
      </c>
      <c r="AU37" s="230">
        <v>7400</v>
      </c>
      <c r="AV37" s="230">
        <v>9710</v>
      </c>
      <c r="AW37" s="230">
        <v>-2310</v>
      </c>
      <c r="AX37" s="229">
        <v>-0.2379</v>
      </c>
      <c r="AY37" s="230">
        <v>1041</v>
      </c>
      <c r="AZ37" s="230">
        <v>1056</v>
      </c>
      <c r="BA37" s="228">
        <v>-15</v>
      </c>
      <c r="BB37" s="229">
        <v>-1.4200000000000001E-2</v>
      </c>
      <c r="BC37" s="228">
        <v>86</v>
      </c>
      <c r="BD37" s="228">
        <v>900</v>
      </c>
      <c r="BE37" s="228">
        <v>-814</v>
      </c>
      <c r="BF37" s="229">
        <v>-0.90439999999999998</v>
      </c>
      <c r="BG37" s="230">
        <v>43577</v>
      </c>
      <c r="BH37" s="230">
        <v>42768</v>
      </c>
      <c r="BI37" s="228">
        <v>809</v>
      </c>
      <c r="BJ37" s="229">
        <v>1.89E-2</v>
      </c>
      <c r="BK37" s="230">
        <v>16466</v>
      </c>
      <c r="BL37" s="230">
        <v>12205</v>
      </c>
      <c r="BM37" s="230">
        <v>4261</v>
      </c>
      <c r="BN37" s="229">
        <v>0.34910000000000002</v>
      </c>
      <c r="BO37" s="230">
        <v>68570</v>
      </c>
      <c r="BP37" s="230">
        <v>66639</v>
      </c>
      <c r="BQ37" s="230">
        <v>1931</v>
      </c>
      <c r="BR37" s="229">
        <v>2.9000000000000001E-2</v>
      </c>
      <c r="BS37" s="230">
        <v>14210473</v>
      </c>
      <c r="BT37" s="230">
        <v>23036162</v>
      </c>
      <c r="BU37" s="230">
        <v>-8825689</v>
      </c>
      <c r="BV37" s="229">
        <v>-0.3831</v>
      </c>
      <c r="BW37" s="230">
        <v>79214800</v>
      </c>
      <c r="BX37" s="230">
        <v>79826600</v>
      </c>
      <c r="BY37" s="230">
        <v>-611800</v>
      </c>
      <c r="BZ37" s="229">
        <v>-7.7000000000000002E-3</v>
      </c>
      <c r="CA37" s="230">
        <v>70529900</v>
      </c>
      <c r="CB37" s="230">
        <v>71506500</v>
      </c>
      <c r="CC37" s="230">
        <v>-976600</v>
      </c>
      <c r="CD37" s="229">
        <v>-1.37E-2</v>
      </c>
      <c r="CE37" s="230">
        <v>6397300</v>
      </c>
      <c r="CF37" s="230">
        <v>6043900</v>
      </c>
      <c r="CG37" s="230">
        <v>353400</v>
      </c>
      <c r="CH37" s="229">
        <v>5.8500000000000003E-2</v>
      </c>
      <c r="CI37" s="230">
        <v>2287600</v>
      </c>
      <c r="CJ37" s="230">
        <v>2276200</v>
      </c>
      <c r="CK37" s="230">
        <v>11400</v>
      </c>
      <c r="CL37" s="229">
        <v>5.0000000000000001E-3</v>
      </c>
      <c r="CM37" s="230">
        <v>37433800</v>
      </c>
      <c r="CN37" s="230">
        <v>39673900</v>
      </c>
      <c r="CO37" s="230">
        <v>-2240100</v>
      </c>
      <c r="CP37" s="229">
        <v>-5.6500000000000002E-2</v>
      </c>
      <c r="CQ37" s="230">
        <v>23620800</v>
      </c>
      <c r="CR37" s="230">
        <v>19826500</v>
      </c>
      <c r="CS37" s="230">
        <v>3794300</v>
      </c>
      <c r="CT37" s="229">
        <v>0.19139999999999999</v>
      </c>
      <c r="CU37" s="230">
        <v>140269400</v>
      </c>
      <c r="CV37" s="230">
        <v>139327000</v>
      </c>
      <c r="CW37" s="230">
        <v>942400</v>
      </c>
      <c r="CX37" s="229">
        <v>6.7999999999999996E-3</v>
      </c>
      <c r="CY37" s="228">
        <v>23.79</v>
      </c>
      <c r="CZ37" s="228">
        <v>27.98</v>
      </c>
      <c r="DA37" s="228">
        <v>-4.1900000000000004</v>
      </c>
      <c r="DB37" s="228">
        <v>-4.1900000000000004</v>
      </c>
      <c r="DC37" s="228">
        <v>29.03</v>
      </c>
      <c r="DD37" s="228">
        <v>29</v>
      </c>
      <c r="DE37" s="228">
        <v>-5.24</v>
      </c>
      <c r="DF37" s="228">
        <v>0.03</v>
      </c>
      <c r="DG37" s="228">
        <v>22.97</v>
      </c>
      <c r="DH37" s="228">
        <v>27.9</v>
      </c>
      <c r="DI37" s="228">
        <v>-4.93</v>
      </c>
      <c r="DJ37" s="228">
        <v>-4.93</v>
      </c>
      <c r="DK37" s="228">
        <v>25.94</v>
      </c>
      <c r="DL37" s="228">
        <v>28.26</v>
      </c>
      <c r="DM37" s="228">
        <v>-2.3199999999999998</v>
      </c>
      <c r="DN37" s="228">
        <v>-2.3199999999999998</v>
      </c>
      <c r="DO37" s="228">
        <v>0.63</v>
      </c>
      <c r="DP37" s="228">
        <v>0.5</v>
      </c>
      <c r="DQ37" s="228">
        <v>0.13</v>
      </c>
      <c r="DR37" s="229">
        <v>0.26</v>
      </c>
      <c r="DS37" s="228">
        <v>315</v>
      </c>
      <c r="DT37" s="228">
        <v>300</v>
      </c>
      <c r="DU37" s="228">
        <v>0.38</v>
      </c>
      <c r="DV37" s="228">
        <v>0.28999999999999998</v>
      </c>
      <c r="DW37" s="228">
        <v>0.09</v>
      </c>
      <c r="DX37" s="229">
        <v>0.31030000000000002</v>
      </c>
      <c r="DY37" s="229">
        <v>0.1096</v>
      </c>
      <c r="DZ37" s="230">
        <v>8320100</v>
      </c>
      <c r="EA37" s="229">
        <v>6.0000000000000001E-3</v>
      </c>
      <c r="EB37" s="229">
        <v>0.1096</v>
      </c>
      <c r="EC37" s="228">
        <v>1.69</v>
      </c>
      <c r="ED37" s="229">
        <v>5.4000000000000003E-3</v>
      </c>
      <c r="EE37" s="230">
        <v>8894487</v>
      </c>
      <c r="EF37" s="230">
        <v>13628627</v>
      </c>
      <c r="EG37" s="229">
        <v>-0.34739999999999999</v>
      </c>
      <c r="EH37" s="229">
        <v>0.62590000000000001</v>
      </c>
      <c r="EI37" s="231">
        <v>268157.73</v>
      </c>
      <c r="EJ37" s="231">
        <v>96923.93</v>
      </c>
      <c r="EK37" s="231">
        <v>51213.11</v>
      </c>
      <c r="EL37" s="231">
        <v>8536</v>
      </c>
      <c r="EM37" s="231">
        <v>416294.77</v>
      </c>
      <c r="EN37" s="231">
        <v>402993.9</v>
      </c>
      <c r="EO37" s="231">
        <v>13300.87</v>
      </c>
      <c r="EP37" s="229">
        <v>3.3000000000000002E-2</v>
      </c>
      <c r="EQ37" s="231">
        <v>118518</v>
      </c>
      <c r="ER37" s="231">
        <v>69637</v>
      </c>
      <c r="ES37" s="231">
        <v>251830</v>
      </c>
      <c r="ET37" s="231">
        <v>660840864</v>
      </c>
      <c r="EU37" s="231">
        <v>439984</v>
      </c>
      <c r="EV37" s="231">
        <v>431891</v>
      </c>
      <c r="EW37" s="231">
        <v>8093</v>
      </c>
      <c r="EX37" s="229">
        <v>1.8700000000000001E-2</v>
      </c>
      <c r="EY37" s="229">
        <v>0.21229999999999999</v>
      </c>
    </row>
    <row r="38" spans="1:155" ht="17.25" thickBot="1" x14ac:dyDescent="0.3">
      <c r="A38" s="226">
        <v>46129</v>
      </c>
      <c r="B38" s="227" t="s">
        <v>193</v>
      </c>
      <c r="C38" s="227" t="s">
        <v>281</v>
      </c>
      <c r="D38" s="231">
        <v>1366.3</v>
      </c>
      <c r="E38" s="231">
        <v>1344.6</v>
      </c>
      <c r="F38" s="228">
        <v>21.7</v>
      </c>
      <c r="G38" s="229">
        <v>1.61E-2</v>
      </c>
      <c r="H38" s="231">
        <v>1365</v>
      </c>
      <c r="I38" s="231">
        <v>1343.3</v>
      </c>
      <c r="J38" s="228">
        <v>21.7</v>
      </c>
      <c r="K38" s="229">
        <v>1.6199999999999999E-2</v>
      </c>
      <c r="L38" s="231">
        <v>1366.3</v>
      </c>
      <c r="M38" s="231">
        <v>1344.6</v>
      </c>
      <c r="N38" s="228">
        <v>21.7</v>
      </c>
      <c r="O38" s="229">
        <v>1.61E-2</v>
      </c>
      <c r="P38" s="231">
        <v>1373.6</v>
      </c>
      <c r="Q38" s="231">
        <v>1352.4</v>
      </c>
      <c r="R38" s="228">
        <v>21.2</v>
      </c>
      <c r="S38" s="229">
        <v>1.5699999999999999E-2</v>
      </c>
      <c r="T38" s="231">
        <v>1383.2</v>
      </c>
      <c r="U38" s="231">
        <v>1359.6</v>
      </c>
      <c r="V38" s="228">
        <v>23.6</v>
      </c>
      <c r="W38" s="229">
        <v>1.7399999999999999E-2</v>
      </c>
      <c r="X38" s="228">
        <v>1.3</v>
      </c>
      <c r="Y38" s="228">
        <v>1.3</v>
      </c>
      <c r="Z38" s="228">
        <v>0</v>
      </c>
      <c r="AA38" s="229">
        <v>1E-3</v>
      </c>
      <c r="AB38" s="228">
        <v>1.3</v>
      </c>
      <c r="AC38" s="228">
        <v>1.3</v>
      </c>
      <c r="AD38" s="228">
        <v>0</v>
      </c>
      <c r="AE38" s="229">
        <v>1E-3</v>
      </c>
      <c r="AF38" s="228">
        <v>8.6</v>
      </c>
      <c r="AG38" s="228">
        <v>9.1</v>
      </c>
      <c r="AH38" s="228">
        <v>-0.5</v>
      </c>
      <c r="AI38" s="229">
        <v>6.3E-3</v>
      </c>
      <c r="AJ38" s="228">
        <v>18.2</v>
      </c>
      <c r="AK38" s="228">
        <v>16.3</v>
      </c>
      <c r="AL38" s="228">
        <v>1.9</v>
      </c>
      <c r="AM38" s="229">
        <v>1.3299999999999999E-2</v>
      </c>
      <c r="AN38" s="231">
        <v>1361.42</v>
      </c>
      <c r="AO38" s="231">
        <v>1368.43</v>
      </c>
      <c r="AP38" s="228">
        <v>0</v>
      </c>
      <c r="AQ38" s="230">
        <v>26697</v>
      </c>
      <c r="AR38" s="230">
        <v>31414</v>
      </c>
      <c r="AS38" s="230">
        <v>-4717</v>
      </c>
      <c r="AT38" s="229">
        <v>-0.1502</v>
      </c>
      <c r="AU38" s="230">
        <v>21506</v>
      </c>
      <c r="AV38" s="230">
        <v>23874</v>
      </c>
      <c r="AW38" s="230">
        <v>-2368</v>
      </c>
      <c r="AX38" s="229">
        <v>-9.9199999999999997E-2</v>
      </c>
      <c r="AY38" s="230">
        <v>3412</v>
      </c>
      <c r="AZ38" s="230">
        <v>3316</v>
      </c>
      <c r="BA38" s="228">
        <v>96</v>
      </c>
      <c r="BB38" s="229">
        <v>2.9000000000000001E-2</v>
      </c>
      <c r="BC38" s="230">
        <v>1779</v>
      </c>
      <c r="BD38" s="230">
        <v>4224</v>
      </c>
      <c r="BE38" s="230">
        <v>-2445</v>
      </c>
      <c r="BF38" s="229">
        <v>-0.57879999999999998</v>
      </c>
      <c r="BG38" s="230">
        <v>206176</v>
      </c>
      <c r="BH38" s="230">
        <v>137667</v>
      </c>
      <c r="BI38" s="230">
        <v>68509</v>
      </c>
      <c r="BJ38" s="229">
        <v>0.49759999999999999</v>
      </c>
      <c r="BK38" s="230">
        <v>99141</v>
      </c>
      <c r="BL38" s="230">
        <v>70694</v>
      </c>
      <c r="BM38" s="230">
        <v>28447</v>
      </c>
      <c r="BN38" s="229">
        <v>0.40239999999999998</v>
      </c>
      <c r="BO38" s="230">
        <v>332014</v>
      </c>
      <c r="BP38" s="230">
        <v>239775</v>
      </c>
      <c r="BQ38" s="230">
        <v>92239</v>
      </c>
      <c r="BR38" s="229">
        <v>0.38469999999999999</v>
      </c>
      <c r="BS38" s="230">
        <v>15236906</v>
      </c>
      <c r="BT38" s="230">
        <v>34114712</v>
      </c>
      <c r="BU38" s="230">
        <v>-18877806</v>
      </c>
      <c r="BV38" s="229">
        <v>-0.5534</v>
      </c>
      <c r="BW38" s="230">
        <v>96256500</v>
      </c>
      <c r="BX38" s="230">
        <v>96258000</v>
      </c>
      <c r="BY38" s="230">
        <v>-1500</v>
      </c>
      <c r="BZ38" s="229">
        <v>0</v>
      </c>
      <c r="CA38" s="230">
        <v>76190500</v>
      </c>
      <c r="CB38" s="230">
        <v>77135000</v>
      </c>
      <c r="CC38" s="230">
        <v>-944500</v>
      </c>
      <c r="CD38" s="229">
        <v>-1.2200000000000001E-2</v>
      </c>
      <c r="CE38" s="230">
        <v>15668500</v>
      </c>
      <c r="CF38" s="230">
        <v>15337500</v>
      </c>
      <c r="CG38" s="230">
        <v>331000</v>
      </c>
      <c r="CH38" s="229">
        <v>2.1600000000000001E-2</v>
      </c>
      <c r="CI38" s="230">
        <v>4397500</v>
      </c>
      <c r="CJ38" s="230">
        <v>3785500</v>
      </c>
      <c r="CK38" s="230">
        <v>612000</v>
      </c>
      <c r="CL38" s="229">
        <v>0.16170000000000001</v>
      </c>
      <c r="CM38" s="230">
        <v>79750000</v>
      </c>
      <c r="CN38" s="230">
        <v>83854500</v>
      </c>
      <c r="CO38" s="230">
        <v>-4104500</v>
      </c>
      <c r="CP38" s="229">
        <v>-4.8899999999999999E-2</v>
      </c>
      <c r="CQ38" s="230">
        <v>38565000</v>
      </c>
      <c r="CR38" s="230">
        <v>37956500</v>
      </c>
      <c r="CS38" s="230">
        <v>608500</v>
      </c>
      <c r="CT38" s="229">
        <v>1.6E-2</v>
      </c>
      <c r="CU38" s="230">
        <v>214571500</v>
      </c>
      <c r="CV38" s="230">
        <v>218069000</v>
      </c>
      <c r="CW38" s="230">
        <v>-3497500</v>
      </c>
      <c r="CX38" s="229">
        <v>-1.6E-2</v>
      </c>
      <c r="CY38" s="228">
        <v>23.58</v>
      </c>
      <c r="CZ38" s="228">
        <v>24.51</v>
      </c>
      <c r="DA38" s="228">
        <v>-0.93</v>
      </c>
      <c r="DB38" s="228">
        <v>-0.93</v>
      </c>
      <c r="DC38" s="228">
        <v>26.47</v>
      </c>
      <c r="DD38" s="228">
        <v>26.45</v>
      </c>
      <c r="DE38" s="228">
        <v>-2.89</v>
      </c>
      <c r="DF38" s="228">
        <v>0.02</v>
      </c>
      <c r="DG38" s="228">
        <v>23.11</v>
      </c>
      <c r="DH38" s="228">
        <v>24.5</v>
      </c>
      <c r="DI38" s="228">
        <v>-1.39</v>
      </c>
      <c r="DJ38" s="228">
        <v>-1.39</v>
      </c>
      <c r="DK38" s="228">
        <v>24.53</v>
      </c>
      <c r="DL38" s="228">
        <v>24.52</v>
      </c>
      <c r="DM38" s="228">
        <v>0.01</v>
      </c>
      <c r="DN38" s="228">
        <v>0.01</v>
      </c>
      <c r="DO38" s="228">
        <v>0.48</v>
      </c>
      <c r="DP38" s="228">
        <v>0.45</v>
      </c>
      <c r="DQ38" s="228">
        <v>0.03</v>
      </c>
      <c r="DR38" s="229">
        <v>6.6699999999999995E-2</v>
      </c>
      <c r="DS38" s="231">
        <v>1400</v>
      </c>
      <c r="DT38" s="231">
        <v>1300</v>
      </c>
      <c r="DU38" s="228">
        <v>0.48</v>
      </c>
      <c r="DV38" s="228">
        <v>0.51</v>
      </c>
      <c r="DW38" s="228">
        <v>-0.03</v>
      </c>
      <c r="DX38" s="229">
        <v>-5.8799999999999998E-2</v>
      </c>
      <c r="DY38" s="229">
        <v>0.20849999999999999</v>
      </c>
      <c r="DZ38" s="230">
        <v>19123000</v>
      </c>
      <c r="EA38" s="229">
        <v>5.3E-3</v>
      </c>
      <c r="EB38" s="229">
        <v>0.20849999999999999</v>
      </c>
      <c r="EC38" s="228">
        <v>7.01</v>
      </c>
      <c r="ED38" s="229">
        <v>5.1000000000000004E-3</v>
      </c>
      <c r="EE38" s="230">
        <v>7056605</v>
      </c>
      <c r="EF38" s="230">
        <v>8808298</v>
      </c>
      <c r="EG38" s="229">
        <v>-0.19889999999999999</v>
      </c>
      <c r="EH38" s="229">
        <v>0.46310000000000001</v>
      </c>
      <c r="EI38" s="231">
        <v>1453529.36</v>
      </c>
      <c r="EJ38" s="231">
        <v>661994.88</v>
      </c>
      <c r="EK38" s="231">
        <v>182014.22</v>
      </c>
      <c r="EL38" s="231">
        <v>27026</v>
      </c>
      <c r="EM38" s="231">
        <v>2297538.46</v>
      </c>
      <c r="EN38" s="231">
        <v>1644124.8</v>
      </c>
      <c r="EO38" s="231">
        <v>653413.66</v>
      </c>
      <c r="EP38" s="229">
        <v>0.39739999999999998</v>
      </c>
      <c r="EQ38" s="231">
        <v>1118835</v>
      </c>
      <c r="ER38" s="231">
        <v>517622</v>
      </c>
      <c r="ES38" s="231">
        <v>1317040</v>
      </c>
      <c r="ET38" s="231">
        <v>664381721</v>
      </c>
      <c r="EU38" s="231">
        <v>2953496</v>
      </c>
      <c r="EV38" s="231">
        <v>2978218</v>
      </c>
      <c r="EW38" s="231">
        <v>-24722</v>
      </c>
      <c r="EX38" s="229">
        <v>-8.3000000000000001E-3</v>
      </c>
      <c r="EY38" s="229">
        <v>0.32300000000000001</v>
      </c>
    </row>
    <row r="39" spans="1:155" ht="17.25" thickBot="1" x14ac:dyDescent="0.3">
      <c r="A39" s="226">
        <v>46129</v>
      </c>
      <c r="B39" s="227" t="s">
        <v>175</v>
      </c>
      <c r="C39" s="227" t="s">
        <v>462</v>
      </c>
      <c r="D39" s="231">
        <v>1970.4</v>
      </c>
      <c r="E39" s="231">
        <v>1975.2</v>
      </c>
      <c r="F39" s="228">
        <v>-4.8</v>
      </c>
      <c r="G39" s="229">
        <v>-2.3999999999999998E-3</v>
      </c>
      <c r="H39" s="231">
        <v>1970.9</v>
      </c>
      <c r="I39" s="231">
        <v>1974.7</v>
      </c>
      <c r="J39" s="228">
        <v>-3.8</v>
      </c>
      <c r="K39" s="229">
        <v>-1.9E-3</v>
      </c>
      <c r="L39" s="231">
        <v>1970.4</v>
      </c>
      <c r="M39" s="231">
        <v>1975.2</v>
      </c>
      <c r="N39" s="228">
        <v>-4.8</v>
      </c>
      <c r="O39" s="229">
        <v>-2.3999999999999998E-3</v>
      </c>
      <c r="P39" s="231">
        <v>1982</v>
      </c>
      <c r="Q39" s="231">
        <v>1987</v>
      </c>
      <c r="R39" s="228">
        <v>-5</v>
      </c>
      <c r="S39" s="229">
        <v>-2.5000000000000001E-3</v>
      </c>
      <c r="T39" s="231">
        <v>1994.2</v>
      </c>
      <c r="U39" s="231">
        <v>1999.5</v>
      </c>
      <c r="V39" s="228">
        <v>-5.3</v>
      </c>
      <c r="W39" s="229">
        <v>-2.7000000000000001E-3</v>
      </c>
      <c r="X39" s="228">
        <v>-0.5</v>
      </c>
      <c r="Y39" s="228">
        <v>0.5</v>
      </c>
      <c r="Z39" s="228">
        <v>-1</v>
      </c>
      <c r="AA39" s="229">
        <v>-2.9999999999999997E-4</v>
      </c>
      <c r="AB39" s="228">
        <v>-0.5</v>
      </c>
      <c r="AC39" s="228">
        <v>0.5</v>
      </c>
      <c r="AD39" s="228">
        <v>-1</v>
      </c>
      <c r="AE39" s="229">
        <v>-2.9999999999999997E-4</v>
      </c>
      <c r="AF39" s="228">
        <v>11.1</v>
      </c>
      <c r="AG39" s="228">
        <v>12.3</v>
      </c>
      <c r="AH39" s="228">
        <v>-1.2</v>
      </c>
      <c r="AI39" s="229">
        <v>5.5999999999999999E-3</v>
      </c>
      <c r="AJ39" s="228">
        <v>23.3</v>
      </c>
      <c r="AK39" s="228">
        <v>24.8</v>
      </c>
      <c r="AL39" s="228">
        <v>-1.5</v>
      </c>
      <c r="AM39" s="229">
        <v>1.18E-2</v>
      </c>
      <c r="AN39" s="231">
        <v>1968.72</v>
      </c>
      <c r="AO39" s="231">
        <v>1979.98</v>
      </c>
      <c r="AP39" s="228">
        <v>0</v>
      </c>
      <c r="AQ39" s="230">
        <v>1777</v>
      </c>
      <c r="AR39" s="230">
        <v>4338</v>
      </c>
      <c r="AS39" s="230">
        <v>-2561</v>
      </c>
      <c r="AT39" s="229">
        <v>-0.59040000000000004</v>
      </c>
      <c r="AU39" s="230">
        <v>1705</v>
      </c>
      <c r="AV39" s="230">
        <v>3245</v>
      </c>
      <c r="AW39" s="230">
        <v>-1540</v>
      </c>
      <c r="AX39" s="229">
        <v>-0.47460000000000002</v>
      </c>
      <c r="AY39" s="228">
        <v>65</v>
      </c>
      <c r="AZ39" s="228">
        <v>90</v>
      </c>
      <c r="BA39" s="228">
        <v>-25</v>
      </c>
      <c r="BB39" s="229">
        <v>-0.27779999999999999</v>
      </c>
      <c r="BC39" s="228">
        <v>7</v>
      </c>
      <c r="BD39" s="230">
        <v>1003</v>
      </c>
      <c r="BE39" s="228">
        <v>-996</v>
      </c>
      <c r="BF39" s="229">
        <v>-0.99299999999999999</v>
      </c>
      <c r="BG39" s="230">
        <v>6902</v>
      </c>
      <c r="BH39" s="230">
        <v>6005</v>
      </c>
      <c r="BI39" s="228">
        <v>897</v>
      </c>
      <c r="BJ39" s="229">
        <v>0.14940000000000001</v>
      </c>
      <c r="BK39" s="230">
        <v>3009</v>
      </c>
      <c r="BL39" s="230">
        <v>3559</v>
      </c>
      <c r="BM39" s="228">
        <v>-550</v>
      </c>
      <c r="BN39" s="229">
        <v>-0.1545</v>
      </c>
      <c r="BO39" s="230">
        <v>11688</v>
      </c>
      <c r="BP39" s="230">
        <v>13902</v>
      </c>
      <c r="BQ39" s="230">
        <v>-2214</v>
      </c>
      <c r="BR39" s="229">
        <v>-0.1593</v>
      </c>
      <c r="BS39" s="230">
        <v>539992</v>
      </c>
      <c r="BT39" s="230">
        <v>658785</v>
      </c>
      <c r="BU39" s="230">
        <v>-118793</v>
      </c>
      <c r="BV39" s="229">
        <v>-0.18029999999999999</v>
      </c>
      <c r="BW39" s="230">
        <v>10581000</v>
      </c>
      <c r="BX39" s="230">
        <v>10638000</v>
      </c>
      <c r="BY39" s="230">
        <v>-57000</v>
      </c>
      <c r="BZ39" s="229">
        <v>-5.4000000000000003E-3</v>
      </c>
      <c r="CA39" s="230">
        <v>9892125</v>
      </c>
      <c r="CB39" s="230">
        <v>9958875</v>
      </c>
      <c r="CC39" s="230">
        <v>-66750</v>
      </c>
      <c r="CD39" s="229">
        <v>-6.7000000000000002E-3</v>
      </c>
      <c r="CE39" s="230">
        <v>270375</v>
      </c>
      <c r="CF39" s="230">
        <v>261000</v>
      </c>
      <c r="CG39" s="230">
        <v>9375</v>
      </c>
      <c r="CH39" s="229">
        <v>3.5900000000000001E-2</v>
      </c>
      <c r="CI39" s="230">
        <v>418500</v>
      </c>
      <c r="CJ39" s="230">
        <v>418125</v>
      </c>
      <c r="CK39" s="228">
        <v>375</v>
      </c>
      <c r="CL39" s="229">
        <v>8.9999999999999998E-4</v>
      </c>
      <c r="CM39" s="230">
        <v>3708375</v>
      </c>
      <c r="CN39" s="230">
        <v>2948250</v>
      </c>
      <c r="CO39" s="230">
        <v>760125</v>
      </c>
      <c r="CP39" s="229">
        <v>0.25779999999999997</v>
      </c>
      <c r="CQ39" s="230">
        <v>2247000</v>
      </c>
      <c r="CR39" s="230">
        <v>2025375</v>
      </c>
      <c r="CS39" s="230">
        <v>221625</v>
      </c>
      <c r="CT39" s="229">
        <v>0.1094</v>
      </c>
      <c r="CU39" s="230">
        <v>16536375</v>
      </c>
      <c r="CV39" s="230">
        <v>15611625</v>
      </c>
      <c r="CW39" s="230">
        <v>924750</v>
      </c>
      <c r="CX39" s="229">
        <v>5.9200000000000003E-2</v>
      </c>
      <c r="CY39" s="228">
        <v>24.35</v>
      </c>
      <c r="CZ39" s="228">
        <v>25.94</v>
      </c>
      <c r="DA39" s="228">
        <v>-1.59</v>
      </c>
      <c r="DB39" s="228">
        <v>-1.59</v>
      </c>
      <c r="DC39" s="228">
        <v>25.92</v>
      </c>
      <c r="DD39" s="228">
        <v>25.98</v>
      </c>
      <c r="DE39" s="228">
        <v>-1.57</v>
      </c>
      <c r="DF39" s="228">
        <v>-0.06</v>
      </c>
      <c r="DG39" s="228">
        <v>23.66</v>
      </c>
      <c r="DH39" s="228">
        <v>25.14</v>
      </c>
      <c r="DI39" s="228">
        <v>-1.48</v>
      </c>
      <c r="DJ39" s="228">
        <v>-1.48</v>
      </c>
      <c r="DK39" s="228">
        <v>25.94</v>
      </c>
      <c r="DL39" s="228">
        <v>27.29</v>
      </c>
      <c r="DM39" s="228">
        <v>-1.35</v>
      </c>
      <c r="DN39" s="228">
        <v>-1.35</v>
      </c>
      <c r="DO39" s="228">
        <v>0.61</v>
      </c>
      <c r="DP39" s="228">
        <v>0.69</v>
      </c>
      <c r="DQ39" s="228">
        <v>-0.08</v>
      </c>
      <c r="DR39" s="229">
        <v>-0.1159</v>
      </c>
      <c r="DS39" s="231">
        <v>2000</v>
      </c>
      <c r="DT39" s="231">
        <v>1960</v>
      </c>
      <c r="DU39" s="228">
        <v>0.44</v>
      </c>
      <c r="DV39" s="228">
        <v>0.59</v>
      </c>
      <c r="DW39" s="228">
        <v>-0.15</v>
      </c>
      <c r="DX39" s="229">
        <v>-0.25419999999999998</v>
      </c>
      <c r="DY39" s="229">
        <v>6.5100000000000005E-2</v>
      </c>
      <c r="DZ39" s="230">
        <v>679125</v>
      </c>
      <c r="EA39" s="229">
        <v>5.8999999999999999E-3</v>
      </c>
      <c r="EB39" s="229">
        <v>6.5100000000000005E-2</v>
      </c>
      <c r="EC39" s="228">
        <v>11.26</v>
      </c>
      <c r="ED39" s="229">
        <v>5.7000000000000002E-3</v>
      </c>
      <c r="EE39" s="230">
        <v>337862</v>
      </c>
      <c r="EF39" s="230">
        <v>348423</v>
      </c>
      <c r="EG39" s="229">
        <v>-3.0300000000000001E-2</v>
      </c>
      <c r="EH39" s="229">
        <v>0.62570000000000003</v>
      </c>
      <c r="EI39" s="231">
        <v>52919.3</v>
      </c>
      <c r="EJ39" s="231">
        <v>22039.41</v>
      </c>
      <c r="EK39" s="231">
        <v>13122.43</v>
      </c>
      <c r="EL39" s="231">
        <v>3299</v>
      </c>
      <c r="EM39" s="231">
        <v>88081.14</v>
      </c>
      <c r="EN39" s="231">
        <v>103192.64</v>
      </c>
      <c r="EO39" s="231">
        <v>-15111.5</v>
      </c>
      <c r="EP39" s="229">
        <v>-0.1464</v>
      </c>
      <c r="EQ39" s="231">
        <v>73528</v>
      </c>
      <c r="ER39" s="231">
        <v>40888</v>
      </c>
      <c r="ES39" s="231">
        <v>208619</v>
      </c>
      <c r="ET39" s="231">
        <v>45527821</v>
      </c>
      <c r="EU39" s="231">
        <v>323035</v>
      </c>
      <c r="EV39" s="231">
        <v>305111</v>
      </c>
      <c r="EW39" s="231">
        <v>17924</v>
      </c>
      <c r="EX39" s="229">
        <v>5.8700000000000002E-2</v>
      </c>
      <c r="EY39" s="229">
        <v>0.36320000000000002</v>
      </c>
    </row>
    <row r="40" spans="1:155" ht="17.25" thickBot="1" x14ac:dyDescent="0.3">
      <c r="A40" s="226">
        <v>46129</v>
      </c>
      <c r="B40" s="227" t="s">
        <v>172</v>
      </c>
      <c r="C40" s="227" t="s">
        <v>283</v>
      </c>
      <c r="D40" s="231">
        <v>1082.8</v>
      </c>
      <c r="E40" s="231">
        <v>1070.1500000000001</v>
      </c>
      <c r="F40" s="228">
        <v>12.65</v>
      </c>
      <c r="G40" s="229">
        <v>1.18E-2</v>
      </c>
      <c r="H40" s="231">
        <v>1080.25</v>
      </c>
      <c r="I40" s="231">
        <v>1067.1500000000001</v>
      </c>
      <c r="J40" s="228">
        <v>13.1</v>
      </c>
      <c r="K40" s="229">
        <v>1.23E-2</v>
      </c>
      <c r="L40" s="231">
        <v>1082.8</v>
      </c>
      <c r="M40" s="231">
        <v>1070.1500000000001</v>
      </c>
      <c r="N40" s="228">
        <v>12.65</v>
      </c>
      <c r="O40" s="229">
        <v>1.18E-2</v>
      </c>
      <c r="P40" s="231">
        <v>1077.0999999999999</v>
      </c>
      <c r="Q40" s="231">
        <v>1064.95</v>
      </c>
      <c r="R40" s="228">
        <v>12.15</v>
      </c>
      <c r="S40" s="229">
        <v>1.14E-2</v>
      </c>
      <c r="T40" s="231">
        <v>1078.7</v>
      </c>
      <c r="U40" s="231">
        <v>1065.75</v>
      </c>
      <c r="V40" s="228">
        <v>12.95</v>
      </c>
      <c r="W40" s="229">
        <v>1.2200000000000001E-2</v>
      </c>
      <c r="X40" s="228">
        <v>2.5499999999999998</v>
      </c>
      <c r="Y40" s="228">
        <v>3</v>
      </c>
      <c r="Z40" s="228">
        <v>-0.45</v>
      </c>
      <c r="AA40" s="229">
        <v>2.3999999999999998E-3</v>
      </c>
      <c r="AB40" s="228">
        <v>2.5499999999999998</v>
      </c>
      <c r="AC40" s="228">
        <v>3</v>
      </c>
      <c r="AD40" s="228">
        <v>-0.45</v>
      </c>
      <c r="AE40" s="229">
        <v>2.3999999999999998E-3</v>
      </c>
      <c r="AF40" s="228">
        <v>-3.15</v>
      </c>
      <c r="AG40" s="228">
        <v>-2.2000000000000002</v>
      </c>
      <c r="AH40" s="228">
        <v>-0.95</v>
      </c>
      <c r="AI40" s="229">
        <v>-2.8999999999999998E-3</v>
      </c>
      <c r="AJ40" s="228">
        <v>-1.55</v>
      </c>
      <c r="AK40" s="228">
        <v>-1.4</v>
      </c>
      <c r="AL40" s="228">
        <v>-0.15</v>
      </c>
      <c r="AM40" s="229">
        <v>-1.4E-3</v>
      </c>
      <c r="AN40" s="231">
        <v>1076.96</v>
      </c>
      <c r="AO40" s="231">
        <v>1069.46</v>
      </c>
      <c r="AP40" s="228">
        <v>0</v>
      </c>
      <c r="AQ40" s="230">
        <v>16159</v>
      </c>
      <c r="AR40" s="230">
        <v>14783</v>
      </c>
      <c r="AS40" s="230">
        <v>1376</v>
      </c>
      <c r="AT40" s="229">
        <v>9.3100000000000002E-2</v>
      </c>
      <c r="AU40" s="230">
        <v>12667</v>
      </c>
      <c r="AV40" s="230">
        <v>11977</v>
      </c>
      <c r="AW40" s="228">
        <v>690</v>
      </c>
      <c r="AX40" s="229">
        <v>5.7599999999999998E-2</v>
      </c>
      <c r="AY40" s="230">
        <v>3190</v>
      </c>
      <c r="AZ40" s="230">
        <v>2433</v>
      </c>
      <c r="BA40" s="228">
        <v>757</v>
      </c>
      <c r="BB40" s="229">
        <v>0.31109999999999999</v>
      </c>
      <c r="BC40" s="228">
        <v>302</v>
      </c>
      <c r="BD40" s="228">
        <v>373</v>
      </c>
      <c r="BE40" s="228">
        <v>-71</v>
      </c>
      <c r="BF40" s="229">
        <v>-0.1903</v>
      </c>
      <c r="BG40" s="230">
        <v>76032</v>
      </c>
      <c r="BH40" s="230">
        <v>60229</v>
      </c>
      <c r="BI40" s="230">
        <v>15803</v>
      </c>
      <c r="BJ40" s="229">
        <v>0.26240000000000002</v>
      </c>
      <c r="BK40" s="230">
        <v>46934</v>
      </c>
      <c r="BL40" s="230">
        <v>39034</v>
      </c>
      <c r="BM40" s="230">
        <v>7900</v>
      </c>
      <c r="BN40" s="229">
        <v>0.2024</v>
      </c>
      <c r="BO40" s="230">
        <v>139125</v>
      </c>
      <c r="BP40" s="230">
        <v>114046</v>
      </c>
      <c r="BQ40" s="230">
        <v>25079</v>
      </c>
      <c r="BR40" s="229">
        <v>0.21990000000000001</v>
      </c>
      <c r="BS40" s="230">
        <v>17533119</v>
      </c>
      <c r="BT40" s="230">
        <v>22608328</v>
      </c>
      <c r="BU40" s="230">
        <v>-5075209</v>
      </c>
      <c r="BV40" s="229">
        <v>-0.22450000000000001</v>
      </c>
      <c r="BW40" s="230">
        <v>80589750</v>
      </c>
      <c r="BX40" s="230">
        <v>79189500</v>
      </c>
      <c r="BY40" s="230">
        <v>1400250</v>
      </c>
      <c r="BZ40" s="229">
        <v>1.77E-2</v>
      </c>
      <c r="CA40" s="230">
        <v>71784750</v>
      </c>
      <c r="CB40" s="230">
        <v>71784750</v>
      </c>
      <c r="CC40" s="228">
        <v>0</v>
      </c>
      <c r="CD40" s="229">
        <v>0</v>
      </c>
      <c r="CE40" s="230">
        <v>7102500</v>
      </c>
      <c r="CF40" s="230">
        <v>5738250</v>
      </c>
      <c r="CG40" s="230">
        <v>1364250</v>
      </c>
      <c r="CH40" s="229">
        <v>0.23769999999999999</v>
      </c>
      <c r="CI40" s="230">
        <v>1702500</v>
      </c>
      <c r="CJ40" s="230">
        <v>1666500</v>
      </c>
      <c r="CK40" s="230">
        <v>36000</v>
      </c>
      <c r="CL40" s="229">
        <v>2.1600000000000001E-2</v>
      </c>
      <c r="CM40" s="230">
        <v>44845500</v>
      </c>
      <c r="CN40" s="230">
        <v>45602250</v>
      </c>
      <c r="CO40" s="230">
        <v>-756750</v>
      </c>
      <c r="CP40" s="229">
        <v>-1.66E-2</v>
      </c>
      <c r="CQ40" s="230">
        <v>36129000</v>
      </c>
      <c r="CR40" s="230">
        <v>33446250</v>
      </c>
      <c r="CS40" s="230">
        <v>2682750</v>
      </c>
      <c r="CT40" s="229">
        <v>8.0199999999999994E-2</v>
      </c>
      <c r="CU40" s="230">
        <v>161564250</v>
      </c>
      <c r="CV40" s="230">
        <v>158238000</v>
      </c>
      <c r="CW40" s="230">
        <v>3326250</v>
      </c>
      <c r="CX40" s="229">
        <v>2.1000000000000001E-2</v>
      </c>
      <c r="CY40" s="228">
        <v>27.52</v>
      </c>
      <c r="CZ40" s="228">
        <v>29.29</v>
      </c>
      <c r="DA40" s="228">
        <v>-1.77</v>
      </c>
      <c r="DB40" s="228">
        <v>-1.77</v>
      </c>
      <c r="DC40" s="228">
        <v>29.18</v>
      </c>
      <c r="DD40" s="228">
        <v>29.21</v>
      </c>
      <c r="DE40" s="228">
        <v>-1.66</v>
      </c>
      <c r="DF40" s="228">
        <v>-0.03</v>
      </c>
      <c r="DG40" s="228">
        <v>26.09</v>
      </c>
      <c r="DH40" s="228">
        <v>28.32</v>
      </c>
      <c r="DI40" s="228">
        <v>-2.23</v>
      </c>
      <c r="DJ40" s="228">
        <v>-2.23</v>
      </c>
      <c r="DK40" s="228">
        <v>29.85</v>
      </c>
      <c r="DL40" s="228">
        <v>30.79</v>
      </c>
      <c r="DM40" s="228">
        <v>-0.94</v>
      </c>
      <c r="DN40" s="228">
        <v>-0.94</v>
      </c>
      <c r="DO40" s="228">
        <v>0.81</v>
      </c>
      <c r="DP40" s="228">
        <v>0.73</v>
      </c>
      <c r="DQ40" s="228">
        <v>0.08</v>
      </c>
      <c r="DR40" s="229">
        <v>0.1096</v>
      </c>
      <c r="DS40" s="231">
        <v>1100</v>
      </c>
      <c r="DT40" s="231">
        <v>1000</v>
      </c>
      <c r="DU40" s="228">
        <v>0.62</v>
      </c>
      <c r="DV40" s="228">
        <v>0.65</v>
      </c>
      <c r="DW40" s="228">
        <v>-0.03</v>
      </c>
      <c r="DX40" s="229">
        <v>-4.6199999999999998E-2</v>
      </c>
      <c r="DY40" s="229">
        <v>0.10929999999999999</v>
      </c>
      <c r="DZ40" s="230">
        <v>7404750</v>
      </c>
      <c r="EA40" s="229">
        <v>-5.3E-3</v>
      </c>
      <c r="EB40" s="229">
        <v>0.10929999999999999</v>
      </c>
      <c r="EC40" s="228">
        <v>-7.5</v>
      </c>
      <c r="ED40" s="229">
        <v>-7.0000000000000001E-3</v>
      </c>
      <c r="EE40" s="230">
        <v>11113948</v>
      </c>
      <c r="EF40" s="230">
        <v>9113745</v>
      </c>
      <c r="EG40" s="229">
        <v>0.2195</v>
      </c>
      <c r="EH40" s="229">
        <v>0.63390000000000002</v>
      </c>
      <c r="EI40" s="231">
        <v>637346.66</v>
      </c>
      <c r="EJ40" s="231">
        <v>369799.07</v>
      </c>
      <c r="EK40" s="231">
        <v>130331.64</v>
      </c>
      <c r="EL40" s="231">
        <v>17102</v>
      </c>
      <c r="EM40" s="231">
        <v>1137477.3700000001</v>
      </c>
      <c r="EN40" s="231">
        <v>931735.29</v>
      </c>
      <c r="EO40" s="231">
        <v>205742.07999999999</v>
      </c>
      <c r="EP40" s="229">
        <v>0.2208</v>
      </c>
      <c r="EQ40" s="231">
        <v>498357</v>
      </c>
      <c r="ER40" s="231">
        <v>368400</v>
      </c>
      <c r="ES40" s="231">
        <v>872151</v>
      </c>
      <c r="ET40" s="231">
        <v>580324288</v>
      </c>
      <c r="EU40" s="231">
        <v>1738909</v>
      </c>
      <c r="EV40" s="231">
        <v>1693627</v>
      </c>
      <c r="EW40" s="231">
        <v>45282</v>
      </c>
      <c r="EX40" s="229">
        <v>2.6700000000000002E-2</v>
      </c>
      <c r="EY40" s="229">
        <v>0.27839999999999998</v>
      </c>
    </row>
    <row r="41" spans="1:155" ht="17.25" thickBot="1" x14ac:dyDescent="0.3">
      <c r="A41" s="226">
        <v>46129</v>
      </c>
      <c r="B41" s="227" t="s">
        <v>175</v>
      </c>
      <c r="C41" s="227" t="s">
        <v>561</v>
      </c>
      <c r="D41" s="231">
        <v>1036.7</v>
      </c>
      <c r="E41" s="231">
        <v>1023.45</v>
      </c>
      <c r="F41" s="228">
        <v>13.25</v>
      </c>
      <c r="G41" s="229">
        <v>1.29E-2</v>
      </c>
      <c r="H41" s="231">
        <v>1036.95</v>
      </c>
      <c r="I41" s="231">
        <v>1022.75</v>
      </c>
      <c r="J41" s="228">
        <v>14.2</v>
      </c>
      <c r="K41" s="229">
        <v>1.3899999999999999E-2</v>
      </c>
      <c r="L41" s="231">
        <v>1036.7</v>
      </c>
      <c r="M41" s="231">
        <v>1023.45</v>
      </c>
      <c r="N41" s="228">
        <v>13.25</v>
      </c>
      <c r="O41" s="229">
        <v>1.29E-2</v>
      </c>
      <c r="P41" s="231">
        <v>1042.4000000000001</v>
      </c>
      <c r="Q41" s="231">
        <v>1029.5999999999999</v>
      </c>
      <c r="R41" s="228">
        <v>12.8</v>
      </c>
      <c r="S41" s="229">
        <v>1.24E-2</v>
      </c>
      <c r="T41" s="231">
        <v>1047.45</v>
      </c>
      <c r="U41" s="231">
        <v>1034.6500000000001</v>
      </c>
      <c r="V41" s="228">
        <v>12.8</v>
      </c>
      <c r="W41" s="229">
        <v>1.24E-2</v>
      </c>
      <c r="X41" s="228">
        <v>-0.25</v>
      </c>
      <c r="Y41" s="228">
        <v>0.7</v>
      </c>
      <c r="Z41" s="228">
        <v>-0.95</v>
      </c>
      <c r="AA41" s="229">
        <v>-2.0000000000000001E-4</v>
      </c>
      <c r="AB41" s="228">
        <v>-0.25</v>
      </c>
      <c r="AC41" s="228">
        <v>0.7</v>
      </c>
      <c r="AD41" s="228">
        <v>-0.95</v>
      </c>
      <c r="AE41" s="229">
        <v>-2.0000000000000001E-4</v>
      </c>
      <c r="AF41" s="228">
        <v>5.45</v>
      </c>
      <c r="AG41" s="228">
        <v>6.85</v>
      </c>
      <c r="AH41" s="228">
        <v>-1.4</v>
      </c>
      <c r="AI41" s="229">
        <v>5.3E-3</v>
      </c>
      <c r="AJ41" s="228">
        <v>10.5</v>
      </c>
      <c r="AK41" s="228">
        <v>11.9</v>
      </c>
      <c r="AL41" s="228">
        <v>-1.4</v>
      </c>
      <c r="AM41" s="229">
        <v>1.01E-2</v>
      </c>
      <c r="AN41" s="231">
        <v>1034.75</v>
      </c>
      <c r="AO41" s="231">
        <v>1039.03</v>
      </c>
      <c r="AP41" s="228">
        <v>0</v>
      </c>
      <c r="AQ41" s="230">
        <v>7009</v>
      </c>
      <c r="AR41" s="230">
        <v>9319</v>
      </c>
      <c r="AS41" s="230">
        <v>-2310</v>
      </c>
      <c r="AT41" s="229">
        <v>-0.24790000000000001</v>
      </c>
      <c r="AU41" s="230">
        <v>5219</v>
      </c>
      <c r="AV41" s="230">
        <v>7621</v>
      </c>
      <c r="AW41" s="230">
        <v>-2402</v>
      </c>
      <c r="AX41" s="229">
        <v>-0.31519999999999998</v>
      </c>
      <c r="AY41" s="228">
        <v>645</v>
      </c>
      <c r="AZ41" s="228">
        <v>638</v>
      </c>
      <c r="BA41" s="228">
        <v>7</v>
      </c>
      <c r="BB41" s="229">
        <v>1.0999999999999999E-2</v>
      </c>
      <c r="BC41" s="230">
        <v>1145</v>
      </c>
      <c r="BD41" s="230">
        <v>1060</v>
      </c>
      <c r="BE41" s="228">
        <v>85</v>
      </c>
      <c r="BF41" s="229">
        <v>8.0199999999999994E-2</v>
      </c>
      <c r="BG41" s="230">
        <v>16096</v>
      </c>
      <c r="BH41" s="230">
        <v>15452</v>
      </c>
      <c r="BI41" s="228">
        <v>644</v>
      </c>
      <c r="BJ41" s="229">
        <v>4.1700000000000001E-2</v>
      </c>
      <c r="BK41" s="230">
        <v>7308</v>
      </c>
      <c r="BL41" s="230">
        <v>8599</v>
      </c>
      <c r="BM41" s="230">
        <v>-1291</v>
      </c>
      <c r="BN41" s="229">
        <v>-0.15010000000000001</v>
      </c>
      <c r="BO41" s="230">
        <v>30413</v>
      </c>
      <c r="BP41" s="230">
        <v>33370</v>
      </c>
      <c r="BQ41" s="230">
        <v>-2957</v>
      </c>
      <c r="BR41" s="229">
        <v>-8.8599999999999998E-2</v>
      </c>
      <c r="BS41" s="230">
        <v>4455463</v>
      </c>
      <c r="BT41" s="230">
        <v>5870395</v>
      </c>
      <c r="BU41" s="230">
        <v>-1414932</v>
      </c>
      <c r="BV41" s="229">
        <v>-0.24099999999999999</v>
      </c>
      <c r="BW41" s="230">
        <v>40702200</v>
      </c>
      <c r="BX41" s="230">
        <v>41409225</v>
      </c>
      <c r="BY41" s="230">
        <v>-707025</v>
      </c>
      <c r="BZ41" s="229">
        <v>-1.7100000000000001E-2</v>
      </c>
      <c r="CA41" s="230">
        <v>35898225</v>
      </c>
      <c r="CB41" s="230">
        <v>37467375</v>
      </c>
      <c r="CC41" s="230">
        <v>-1569150</v>
      </c>
      <c r="CD41" s="229">
        <v>-4.19E-2</v>
      </c>
      <c r="CE41" s="230">
        <v>2737350</v>
      </c>
      <c r="CF41" s="230">
        <v>2778600</v>
      </c>
      <c r="CG41" s="230">
        <v>-41250</v>
      </c>
      <c r="CH41" s="229">
        <v>-1.4800000000000001E-2</v>
      </c>
      <c r="CI41" s="230">
        <v>2066625</v>
      </c>
      <c r="CJ41" s="230">
        <v>1163250</v>
      </c>
      <c r="CK41" s="230">
        <v>903375</v>
      </c>
      <c r="CL41" s="229">
        <v>0.77659999999999996</v>
      </c>
      <c r="CM41" s="230">
        <v>14006850</v>
      </c>
      <c r="CN41" s="230">
        <v>14369850</v>
      </c>
      <c r="CO41" s="230">
        <v>-363000</v>
      </c>
      <c r="CP41" s="229">
        <v>-2.53E-2</v>
      </c>
      <c r="CQ41" s="230">
        <v>10157400</v>
      </c>
      <c r="CR41" s="230">
        <v>10229175</v>
      </c>
      <c r="CS41" s="230">
        <v>-71775</v>
      </c>
      <c r="CT41" s="229">
        <v>-7.0000000000000001E-3</v>
      </c>
      <c r="CU41" s="230">
        <v>64866450</v>
      </c>
      <c r="CV41" s="230">
        <v>66008250</v>
      </c>
      <c r="CW41" s="230">
        <v>-1141800</v>
      </c>
      <c r="CX41" s="229">
        <v>-1.7299999999999999E-2</v>
      </c>
      <c r="CY41" s="228">
        <v>44.04</v>
      </c>
      <c r="CZ41" s="228">
        <v>44.68</v>
      </c>
      <c r="DA41" s="228">
        <v>-0.64</v>
      </c>
      <c r="DB41" s="228">
        <v>-0.64</v>
      </c>
      <c r="DC41" s="228">
        <v>45.11</v>
      </c>
      <c r="DD41" s="228">
        <v>45.19</v>
      </c>
      <c r="DE41" s="228">
        <v>-1.07</v>
      </c>
      <c r="DF41" s="228">
        <v>-0.08</v>
      </c>
      <c r="DG41" s="228">
        <v>43.22</v>
      </c>
      <c r="DH41" s="228">
        <v>44.11</v>
      </c>
      <c r="DI41" s="228">
        <v>-0.89</v>
      </c>
      <c r="DJ41" s="228">
        <v>-0.89</v>
      </c>
      <c r="DK41" s="228">
        <v>45.85</v>
      </c>
      <c r="DL41" s="228">
        <v>45.7</v>
      </c>
      <c r="DM41" s="228">
        <v>0.15</v>
      </c>
      <c r="DN41" s="228">
        <v>0.15</v>
      </c>
      <c r="DO41" s="228">
        <v>0.73</v>
      </c>
      <c r="DP41" s="228">
        <v>0.71</v>
      </c>
      <c r="DQ41" s="228">
        <v>0.02</v>
      </c>
      <c r="DR41" s="229">
        <v>2.8199999999999999E-2</v>
      </c>
      <c r="DS41" s="231">
        <v>1100</v>
      </c>
      <c r="DT41" s="231">
        <v>1000</v>
      </c>
      <c r="DU41" s="228">
        <v>0.45</v>
      </c>
      <c r="DV41" s="228">
        <v>0.56000000000000005</v>
      </c>
      <c r="DW41" s="228">
        <v>-0.11</v>
      </c>
      <c r="DX41" s="229">
        <v>-0.19639999999999999</v>
      </c>
      <c r="DY41" s="229">
        <v>0.11799999999999999</v>
      </c>
      <c r="DZ41" s="230">
        <v>3941850</v>
      </c>
      <c r="EA41" s="229">
        <v>5.4999999999999997E-3</v>
      </c>
      <c r="EB41" s="229">
        <v>0.11799999999999999</v>
      </c>
      <c r="EC41" s="228">
        <v>4.28</v>
      </c>
      <c r="ED41" s="229">
        <v>4.1000000000000003E-3</v>
      </c>
      <c r="EE41" s="230">
        <v>2239567</v>
      </c>
      <c r="EF41" s="230">
        <v>3123419</v>
      </c>
      <c r="EG41" s="229">
        <v>-0.28299999999999997</v>
      </c>
      <c r="EH41" s="229">
        <v>0.50270000000000004</v>
      </c>
      <c r="EI41" s="231">
        <v>143854.10999999999</v>
      </c>
      <c r="EJ41" s="231">
        <v>61098.9</v>
      </c>
      <c r="EK41" s="231">
        <v>60006.68</v>
      </c>
      <c r="EL41" s="231">
        <v>9326</v>
      </c>
      <c r="EM41" s="231">
        <v>264959.69</v>
      </c>
      <c r="EN41" s="231">
        <v>287572.28000000003</v>
      </c>
      <c r="EO41" s="231">
        <v>-22612.59</v>
      </c>
      <c r="EP41" s="229">
        <v>-7.8600000000000003E-2</v>
      </c>
      <c r="EQ41" s="231">
        <v>144341</v>
      </c>
      <c r="ER41" s="231">
        <v>96303</v>
      </c>
      <c r="ES41" s="231">
        <v>422338</v>
      </c>
      <c r="ET41" s="231">
        <v>210567108</v>
      </c>
      <c r="EU41" s="231">
        <v>662982</v>
      </c>
      <c r="EV41" s="231">
        <v>668856</v>
      </c>
      <c r="EW41" s="231">
        <v>-5874</v>
      </c>
      <c r="EX41" s="229">
        <v>-8.8000000000000005E-3</v>
      </c>
      <c r="EY41" s="229">
        <v>0.30809999999999998</v>
      </c>
    </row>
    <row r="42" spans="1:155" ht="17.25" thickBot="1" x14ac:dyDescent="0.3">
      <c r="A42" s="226">
        <v>46129</v>
      </c>
      <c r="B42" s="227" t="s">
        <v>170</v>
      </c>
      <c r="C42" s="227" t="s">
        <v>288</v>
      </c>
      <c r="D42" s="231">
        <v>1674.9</v>
      </c>
      <c r="E42" s="231">
        <v>1692.9</v>
      </c>
      <c r="F42" s="228">
        <v>-18</v>
      </c>
      <c r="G42" s="229">
        <v>-1.06E-2</v>
      </c>
      <c r="H42" s="231">
        <v>1675.5</v>
      </c>
      <c r="I42" s="231">
        <v>1693.1</v>
      </c>
      <c r="J42" s="228">
        <v>-17.600000000000001</v>
      </c>
      <c r="K42" s="229">
        <v>-1.04E-2</v>
      </c>
      <c r="L42" s="231">
        <v>1674.9</v>
      </c>
      <c r="M42" s="231">
        <v>1692.9</v>
      </c>
      <c r="N42" s="228">
        <v>-18</v>
      </c>
      <c r="O42" s="229">
        <v>-1.06E-2</v>
      </c>
      <c r="P42" s="231">
        <v>1684.2</v>
      </c>
      <c r="Q42" s="231">
        <v>1701.9</v>
      </c>
      <c r="R42" s="228">
        <v>-17.7</v>
      </c>
      <c r="S42" s="229">
        <v>-1.04E-2</v>
      </c>
      <c r="T42" s="231">
        <v>1696.3</v>
      </c>
      <c r="U42" s="231">
        <v>1714</v>
      </c>
      <c r="V42" s="228">
        <v>-17.7</v>
      </c>
      <c r="W42" s="229">
        <v>-1.03E-2</v>
      </c>
      <c r="X42" s="228">
        <v>-0.6</v>
      </c>
      <c r="Y42" s="228">
        <v>-0.2</v>
      </c>
      <c r="Z42" s="228">
        <v>-0.4</v>
      </c>
      <c r="AA42" s="229">
        <v>-4.0000000000000002E-4</v>
      </c>
      <c r="AB42" s="228">
        <v>-0.6</v>
      </c>
      <c r="AC42" s="228">
        <v>-0.2</v>
      </c>
      <c r="AD42" s="228">
        <v>-0.4</v>
      </c>
      <c r="AE42" s="229">
        <v>-4.0000000000000002E-4</v>
      </c>
      <c r="AF42" s="228">
        <v>8.6999999999999993</v>
      </c>
      <c r="AG42" s="228">
        <v>8.8000000000000007</v>
      </c>
      <c r="AH42" s="228">
        <v>-0.1</v>
      </c>
      <c r="AI42" s="229">
        <v>5.1999999999999998E-3</v>
      </c>
      <c r="AJ42" s="228">
        <v>20.8</v>
      </c>
      <c r="AK42" s="228">
        <v>20.9</v>
      </c>
      <c r="AL42" s="228">
        <v>-0.1</v>
      </c>
      <c r="AM42" s="229">
        <v>1.24E-2</v>
      </c>
      <c r="AN42" s="231">
        <v>1678.15</v>
      </c>
      <c r="AO42" s="231">
        <v>1688.02</v>
      </c>
      <c r="AP42" s="228">
        <v>0</v>
      </c>
      <c r="AQ42" s="230">
        <v>7850</v>
      </c>
      <c r="AR42" s="230">
        <v>12601</v>
      </c>
      <c r="AS42" s="230">
        <v>-4751</v>
      </c>
      <c r="AT42" s="229">
        <v>-0.377</v>
      </c>
      <c r="AU42" s="230">
        <v>6078</v>
      </c>
      <c r="AV42" s="230">
        <v>10487</v>
      </c>
      <c r="AW42" s="230">
        <v>-4409</v>
      </c>
      <c r="AX42" s="229">
        <v>-0.4204</v>
      </c>
      <c r="AY42" s="228">
        <v>572</v>
      </c>
      <c r="AZ42" s="228">
        <v>565</v>
      </c>
      <c r="BA42" s="228">
        <v>7</v>
      </c>
      <c r="BB42" s="229">
        <v>1.24E-2</v>
      </c>
      <c r="BC42" s="230">
        <v>1200</v>
      </c>
      <c r="BD42" s="230">
        <v>1549</v>
      </c>
      <c r="BE42" s="228">
        <v>-349</v>
      </c>
      <c r="BF42" s="229">
        <v>-0.2253</v>
      </c>
      <c r="BG42" s="230">
        <v>28000</v>
      </c>
      <c r="BH42" s="230">
        <v>44447</v>
      </c>
      <c r="BI42" s="230">
        <v>-16447</v>
      </c>
      <c r="BJ42" s="229">
        <v>-0.37</v>
      </c>
      <c r="BK42" s="230">
        <v>20653</v>
      </c>
      <c r="BL42" s="230">
        <v>35917</v>
      </c>
      <c r="BM42" s="230">
        <v>-15264</v>
      </c>
      <c r="BN42" s="229">
        <v>-0.42499999999999999</v>
      </c>
      <c r="BO42" s="230">
        <v>56503</v>
      </c>
      <c r="BP42" s="230">
        <v>92965</v>
      </c>
      <c r="BQ42" s="230">
        <v>-36462</v>
      </c>
      <c r="BR42" s="229">
        <v>-0.39219999999999999</v>
      </c>
      <c r="BS42" s="230">
        <v>3328143</v>
      </c>
      <c r="BT42" s="230">
        <v>4780044</v>
      </c>
      <c r="BU42" s="230">
        <v>-1451901</v>
      </c>
      <c r="BV42" s="229">
        <v>-0.30370000000000003</v>
      </c>
      <c r="BW42" s="230">
        <v>18700500</v>
      </c>
      <c r="BX42" s="230">
        <v>18375700</v>
      </c>
      <c r="BY42" s="230">
        <v>324800</v>
      </c>
      <c r="BZ42" s="229">
        <v>1.77E-2</v>
      </c>
      <c r="CA42" s="230">
        <v>14903350</v>
      </c>
      <c r="CB42" s="230">
        <v>15072400</v>
      </c>
      <c r="CC42" s="230">
        <v>-169050</v>
      </c>
      <c r="CD42" s="229">
        <v>-1.12E-2</v>
      </c>
      <c r="CE42" s="230">
        <v>2503200</v>
      </c>
      <c r="CF42" s="230">
        <v>2417800</v>
      </c>
      <c r="CG42" s="230">
        <v>85400</v>
      </c>
      <c r="CH42" s="229">
        <v>3.5299999999999998E-2</v>
      </c>
      <c r="CI42" s="230">
        <v>1293950</v>
      </c>
      <c r="CJ42" s="230">
        <v>885500</v>
      </c>
      <c r="CK42" s="230">
        <v>408450</v>
      </c>
      <c r="CL42" s="229">
        <v>0.46129999999999999</v>
      </c>
      <c r="CM42" s="230">
        <v>8200500</v>
      </c>
      <c r="CN42" s="230">
        <v>7004200</v>
      </c>
      <c r="CO42" s="230">
        <v>1196300</v>
      </c>
      <c r="CP42" s="229">
        <v>0.17080000000000001</v>
      </c>
      <c r="CQ42" s="230">
        <v>5840800</v>
      </c>
      <c r="CR42" s="230">
        <v>5802650</v>
      </c>
      <c r="CS42" s="230">
        <v>38150</v>
      </c>
      <c r="CT42" s="229">
        <v>6.6E-3</v>
      </c>
      <c r="CU42" s="230">
        <v>32741800</v>
      </c>
      <c r="CV42" s="230">
        <v>31182550</v>
      </c>
      <c r="CW42" s="230">
        <v>1559250</v>
      </c>
      <c r="CX42" s="229">
        <v>0.05</v>
      </c>
      <c r="CY42" s="228">
        <v>25.71</v>
      </c>
      <c r="CZ42" s="228">
        <v>25.68</v>
      </c>
      <c r="DA42" s="228">
        <v>0.03</v>
      </c>
      <c r="DB42" s="228">
        <v>0.03</v>
      </c>
      <c r="DC42" s="228">
        <v>23.75</v>
      </c>
      <c r="DD42" s="228">
        <v>23.76</v>
      </c>
      <c r="DE42" s="228">
        <v>1.96</v>
      </c>
      <c r="DF42" s="228">
        <v>-0.01</v>
      </c>
      <c r="DG42" s="228">
        <v>24.87</v>
      </c>
      <c r="DH42" s="228">
        <v>24.16</v>
      </c>
      <c r="DI42" s="228">
        <v>0.71</v>
      </c>
      <c r="DJ42" s="228">
        <v>0.71</v>
      </c>
      <c r="DK42" s="228">
        <v>26.86</v>
      </c>
      <c r="DL42" s="228">
        <v>27.55</v>
      </c>
      <c r="DM42" s="228">
        <v>-0.69</v>
      </c>
      <c r="DN42" s="228">
        <v>-0.69</v>
      </c>
      <c r="DO42" s="228">
        <v>0.71</v>
      </c>
      <c r="DP42" s="228">
        <v>0.83</v>
      </c>
      <c r="DQ42" s="228">
        <v>-0.12</v>
      </c>
      <c r="DR42" s="229">
        <v>-0.14460000000000001</v>
      </c>
      <c r="DS42" s="231">
        <v>1800</v>
      </c>
      <c r="DT42" s="231">
        <v>1600</v>
      </c>
      <c r="DU42" s="228">
        <v>0.74</v>
      </c>
      <c r="DV42" s="228">
        <v>0.81</v>
      </c>
      <c r="DW42" s="228">
        <v>-7.0000000000000007E-2</v>
      </c>
      <c r="DX42" s="229">
        <v>-8.6400000000000005E-2</v>
      </c>
      <c r="DY42" s="229">
        <v>0.2031</v>
      </c>
      <c r="DZ42" s="230">
        <v>3303300</v>
      </c>
      <c r="EA42" s="229">
        <v>5.5999999999999999E-3</v>
      </c>
      <c r="EB42" s="229">
        <v>0.2031</v>
      </c>
      <c r="EC42" s="228">
        <v>9.8699999999999992</v>
      </c>
      <c r="ED42" s="229">
        <v>5.8999999999999999E-3</v>
      </c>
      <c r="EE42" s="230">
        <v>2209790</v>
      </c>
      <c r="EF42" s="230">
        <v>2877956</v>
      </c>
      <c r="EG42" s="229">
        <v>-0.23219999999999999</v>
      </c>
      <c r="EH42" s="229">
        <v>0.66400000000000003</v>
      </c>
      <c r="EI42" s="231">
        <v>169583.43</v>
      </c>
      <c r="EJ42" s="231">
        <v>121021.46</v>
      </c>
      <c r="EK42" s="231">
        <v>46198.080000000002</v>
      </c>
      <c r="EL42" s="231">
        <v>11704</v>
      </c>
      <c r="EM42" s="231">
        <v>336802.97</v>
      </c>
      <c r="EN42" s="231">
        <v>554734.92000000004</v>
      </c>
      <c r="EO42" s="231">
        <v>-217931.95</v>
      </c>
      <c r="EP42" s="229">
        <v>-0.39290000000000003</v>
      </c>
      <c r="EQ42" s="231">
        <v>143677</v>
      </c>
      <c r="ER42" s="231">
        <v>96095</v>
      </c>
      <c r="ES42" s="231">
        <v>313724</v>
      </c>
      <c r="ET42" s="231">
        <v>121755902</v>
      </c>
      <c r="EU42" s="231">
        <v>553497</v>
      </c>
      <c r="EV42" s="231">
        <v>530158</v>
      </c>
      <c r="EW42" s="231">
        <v>23339</v>
      </c>
      <c r="EX42" s="229">
        <v>4.3999999999999997E-2</v>
      </c>
      <c r="EY42" s="229">
        <v>0.26889999999999997</v>
      </c>
    </row>
    <row r="43" spans="1:155" ht="17.25" thickBot="1" x14ac:dyDescent="0.3">
      <c r="A43" s="226">
        <v>46129</v>
      </c>
      <c r="B43" s="227" t="s">
        <v>168</v>
      </c>
      <c r="C43" s="227" t="s">
        <v>291</v>
      </c>
      <c r="D43" s="231">
        <v>1113.9000000000001</v>
      </c>
      <c r="E43" s="231">
        <v>1102.7</v>
      </c>
      <c r="F43" s="228">
        <v>11.2</v>
      </c>
      <c r="G43" s="229">
        <v>1.0200000000000001E-2</v>
      </c>
      <c r="H43" s="231">
        <v>1113.2</v>
      </c>
      <c r="I43" s="231">
        <v>1102.5999999999999</v>
      </c>
      <c r="J43" s="228">
        <v>10.6</v>
      </c>
      <c r="K43" s="229">
        <v>9.5999999999999992E-3</v>
      </c>
      <c r="L43" s="231">
        <v>1113.9000000000001</v>
      </c>
      <c r="M43" s="231">
        <v>1102.7</v>
      </c>
      <c r="N43" s="228">
        <v>11.2</v>
      </c>
      <c r="O43" s="229">
        <v>1.0200000000000001E-2</v>
      </c>
      <c r="P43" s="231">
        <v>1117.2</v>
      </c>
      <c r="Q43" s="231">
        <v>1104.7</v>
      </c>
      <c r="R43" s="228">
        <v>12.5</v>
      </c>
      <c r="S43" s="229">
        <v>1.1299999999999999E-2</v>
      </c>
      <c r="T43" s="231">
        <v>1120.5</v>
      </c>
      <c r="U43" s="231">
        <v>1104</v>
      </c>
      <c r="V43" s="228">
        <v>16.5</v>
      </c>
      <c r="W43" s="229">
        <v>1.49E-2</v>
      </c>
      <c r="X43" s="228">
        <v>0.7</v>
      </c>
      <c r="Y43" s="228">
        <v>0.1</v>
      </c>
      <c r="Z43" s="228">
        <v>0.6</v>
      </c>
      <c r="AA43" s="229">
        <v>5.9999999999999995E-4</v>
      </c>
      <c r="AB43" s="228">
        <v>0.7</v>
      </c>
      <c r="AC43" s="228">
        <v>0.1</v>
      </c>
      <c r="AD43" s="228">
        <v>0.6</v>
      </c>
      <c r="AE43" s="229">
        <v>5.9999999999999995E-4</v>
      </c>
      <c r="AF43" s="228">
        <v>4</v>
      </c>
      <c r="AG43" s="228">
        <v>2.1</v>
      </c>
      <c r="AH43" s="228">
        <v>1.9</v>
      </c>
      <c r="AI43" s="229">
        <v>3.5999999999999999E-3</v>
      </c>
      <c r="AJ43" s="228">
        <v>7.3</v>
      </c>
      <c r="AK43" s="228">
        <v>1.4</v>
      </c>
      <c r="AL43" s="228">
        <v>5.9</v>
      </c>
      <c r="AM43" s="229">
        <v>6.6E-3</v>
      </c>
      <c r="AN43" s="231">
        <v>1114.6400000000001</v>
      </c>
      <c r="AO43" s="231">
        <v>1116.22</v>
      </c>
      <c r="AP43" s="228">
        <v>0</v>
      </c>
      <c r="AQ43" s="230">
        <v>3072</v>
      </c>
      <c r="AR43" s="230">
        <v>2728</v>
      </c>
      <c r="AS43" s="228">
        <v>344</v>
      </c>
      <c r="AT43" s="229">
        <v>0.12609999999999999</v>
      </c>
      <c r="AU43" s="230">
        <v>2810</v>
      </c>
      <c r="AV43" s="230">
        <v>2528</v>
      </c>
      <c r="AW43" s="228">
        <v>282</v>
      </c>
      <c r="AX43" s="229">
        <v>0.1116</v>
      </c>
      <c r="AY43" s="228">
        <v>243</v>
      </c>
      <c r="AZ43" s="228">
        <v>197</v>
      </c>
      <c r="BA43" s="228">
        <v>46</v>
      </c>
      <c r="BB43" s="229">
        <v>0.23350000000000001</v>
      </c>
      <c r="BC43" s="228">
        <v>19</v>
      </c>
      <c r="BD43" s="228">
        <v>3</v>
      </c>
      <c r="BE43" s="228">
        <v>16</v>
      </c>
      <c r="BF43" s="229">
        <v>5.3333000000000004</v>
      </c>
      <c r="BG43" s="230">
        <v>11188</v>
      </c>
      <c r="BH43" s="230">
        <v>3408</v>
      </c>
      <c r="BI43" s="230">
        <v>7780</v>
      </c>
      <c r="BJ43" s="229">
        <v>2.2829000000000002</v>
      </c>
      <c r="BK43" s="230">
        <v>2685</v>
      </c>
      <c r="BL43" s="230">
        <v>1835</v>
      </c>
      <c r="BM43" s="228">
        <v>850</v>
      </c>
      <c r="BN43" s="229">
        <v>0.4632</v>
      </c>
      <c r="BO43" s="230">
        <v>16945</v>
      </c>
      <c r="BP43" s="230">
        <v>7971</v>
      </c>
      <c r="BQ43" s="230">
        <v>8974</v>
      </c>
      <c r="BR43" s="229">
        <v>1.1257999999999999</v>
      </c>
      <c r="BS43" s="230">
        <v>1310394</v>
      </c>
      <c r="BT43" s="230">
        <v>1452506</v>
      </c>
      <c r="BU43" s="230">
        <v>-142112</v>
      </c>
      <c r="BV43" s="229">
        <v>-9.7799999999999998E-2</v>
      </c>
      <c r="BW43" s="230">
        <v>13252250</v>
      </c>
      <c r="BX43" s="230">
        <v>13201650</v>
      </c>
      <c r="BY43" s="230">
        <v>50600</v>
      </c>
      <c r="BZ43" s="229">
        <v>3.8E-3</v>
      </c>
      <c r="CA43" s="230">
        <v>12372250</v>
      </c>
      <c r="CB43" s="230">
        <v>12328250</v>
      </c>
      <c r="CC43" s="230">
        <v>44000</v>
      </c>
      <c r="CD43" s="229">
        <v>3.5999999999999999E-3</v>
      </c>
      <c r="CE43" s="230">
        <v>805200</v>
      </c>
      <c r="CF43" s="230">
        <v>799150</v>
      </c>
      <c r="CG43" s="230">
        <v>6050</v>
      </c>
      <c r="CH43" s="229">
        <v>7.6E-3</v>
      </c>
      <c r="CI43" s="230">
        <v>74800</v>
      </c>
      <c r="CJ43" s="230">
        <v>74250</v>
      </c>
      <c r="CK43" s="228">
        <v>550</v>
      </c>
      <c r="CL43" s="229">
        <v>7.4000000000000003E-3</v>
      </c>
      <c r="CM43" s="230">
        <v>2451350</v>
      </c>
      <c r="CN43" s="230">
        <v>1971750</v>
      </c>
      <c r="CO43" s="230">
        <v>479600</v>
      </c>
      <c r="CP43" s="229">
        <v>0.2432</v>
      </c>
      <c r="CQ43" s="230">
        <v>2457400</v>
      </c>
      <c r="CR43" s="230">
        <v>2284700</v>
      </c>
      <c r="CS43" s="230">
        <v>172700</v>
      </c>
      <c r="CT43" s="229">
        <v>7.5600000000000001E-2</v>
      </c>
      <c r="CU43" s="230">
        <v>18161000</v>
      </c>
      <c r="CV43" s="230">
        <v>17458100</v>
      </c>
      <c r="CW43" s="230">
        <v>702900</v>
      </c>
      <c r="CX43" s="229">
        <v>4.0300000000000002E-2</v>
      </c>
      <c r="CY43" s="228">
        <v>28.47</v>
      </c>
      <c r="CZ43" s="228">
        <v>29.62</v>
      </c>
      <c r="DA43" s="228">
        <v>-1.1499999999999999</v>
      </c>
      <c r="DB43" s="228">
        <v>-1.1499999999999999</v>
      </c>
      <c r="DC43" s="228">
        <v>27.36</v>
      </c>
      <c r="DD43" s="228">
        <v>27.39</v>
      </c>
      <c r="DE43" s="228">
        <v>1.1100000000000001</v>
      </c>
      <c r="DF43" s="228">
        <v>-0.03</v>
      </c>
      <c r="DG43" s="228">
        <v>27.94</v>
      </c>
      <c r="DH43" s="228">
        <v>28.36</v>
      </c>
      <c r="DI43" s="228">
        <v>-0.42</v>
      </c>
      <c r="DJ43" s="228">
        <v>-0.42</v>
      </c>
      <c r="DK43" s="228">
        <v>30.68</v>
      </c>
      <c r="DL43" s="228">
        <v>31.95</v>
      </c>
      <c r="DM43" s="228">
        <v>-1.27</v>
      </c>
      <c r="DN43" s="228">
        <v>-1.27</v>
      </c>
      <c r="DO43" s="228">
        <v>1</v>
      </c>
      <c r="DP43" s="228">
        <v>1.1599999999999999</v>
      </c>
      <c r="DQ43" s="228">
        <v>-0.16</v>
      </c>
      <c r="DR43" s="229">
        <v>-0.13789999999999999</v>
      </c>
      <c r="DS43" s="231">
        <v>1150</v>
      </c>
      <c r="DT43" s="228">
        <v>930</v>
      </c>
      <c r="DU43" s="228">
        <v>0.24</v>
      </c>
      <c r="DV43" s="228">
        <v>0.54</v>
      </c>
      <c r="DW43" s="228">
        <v>-0.3</v>
      </c>
      <c r="DX43" s="229">
        <v>-0.55559999999999998</v>
      </c>
      <c r="DY43" s="229">
        <v>6.6400000000000001E-2</v>
      </c>
      <c r="DZ43" s="230">
        <v>873400</v>
      </c>
      <c r="EA43" s="229">
        <v>3.0000000000000001E-3</v>
      </c>
      <c r="EB43" s="229">
        <v>6.6400000000000001E-2</v>
      </c>
      <c r="EC43" s="228">
        <v>1.58</v>
      </c>
      <c r="ED43" s="229">
        <v>1.4E-3</v>
      </c>
      <c r="EE43" s="230">
        <v>565447</v>
      </c>
      <c r="EF43" s="230">
        <v>798273</v>
      </c>
      <c r="EG43" s="229">
        <v>-0.29170000000000001</v>
      </c>
      <c r="EH43" s="229">
        <v>0.43149999999999999</v>
      </c>
      <c r="EI43" s="231">
        <v>70921.440000000002</v>
      </c>
      <c r="EJ43" s="231">
        <v>16240</v>
      </c>
      <c r="EK43" s="231">
        <v>18835.95</v>
      </c>
      <c r="EL43" s="231">
        <v>2146</v>
      </c>
      <c r="EM43" s="231">
        <v>105997.39</v>
      </c>
      <c r="EN43" s="231">
        <v>48735.68</v>
      </c>
      <c r="EO43" s="231">
        <v>57261.71</v>
      </c>
      <c r="EP43" s="229">
        <v>1.1749000000000001</v>
      </c>
      <c r="EQ43" s="231">
        <v>27771</v>
      </c>
      <c r="ER43" s="231">
        <v>24861</v>
      </c>
      <c r="ES43" s="231">
        <v>147648</v>
      </c>
      <c r="ET43" s="231">
        <v>65472757</v>
      </c>
      <c r="EU43" s="231">
        <v>200280</v>
      </c>
      <c r="EV43" s="231">
        <v>190768</v>
      </c>
      <c r="EW43" s="231">
        <v>9512</v>
      </c>
      <c r="EX43" s="229">
        <v>4.99E-2</v>
      </c>
      <c r="EY43" s="229">
        <v>0.27739999999999998</v>
      </c>
    </row>
    <row r="44" spans="1:155" ht="17.25" thickBot="1" x14ac:dyDescent="0.3">
      <c r="A44" s="226">
        <v>46129</v>
      </c>
      <c r="B44" s="227" t="s">
        <v>227</v>
      </c>
      <c r="C44" s="227" t="s">
        <v>294</v>
      </c>
      <c r="D44" s="228">
        <v>212.3</v>
      </c>
      <c r="E44" s="228">
        <v>210.72</v>
      </c>
      <c r="F44" s="228">
        <v>1.58</v>
      </c>
      <c r="G44" s="229">
        <v>7.4999999999999997E-3</v>
      </c>
      <c r="H44" s="228">
        <v>212.12</v>
      </c>
      <c r="I44" s="228">
        <v>210.69</v>
      </c>
      <c r="J44" s="228">
        <v>1.43</v>
      </c>
      <c r="K44" s="229">
        <v>6.7999999999999996E-3</v>
      </c>
      <c r="L44" s="228">
        <v>212.3</v>
      </c>
      <c r="M44" s="228">
        <v>210.72</v>
      </c>
      <c r="N44" s="228">
        <v>1.58</v>
      </c>
      <c r="O44" s="229">
        <v>7.4999999999999997E-3</v>
      </c>
      <c r="P44" s="228">
        <v>213.63</v>
      </c>
      <c r="Q44" s="228">
        <v>211.95</v>
      </c>
      <c r="R44" s="228">
        <v>1.68</v>
      </c>
      <c r="S44" s="229">
        <v>7.9000000000000008E-3</v>
      </c>
      <c r="T44" s="228">
        <v>211.66</v>
      </c>
      <c r="U44" s="228">
        <v>210.21</v>
      </c>
      <c r="V44" s="228">
        <v>1.45</v>
      </c>
      <c r="W44" s="229">
        <v>6.8999999999999999E-3</v>
      </c>
      <c r="X44" s="228">
        <v>0.18</v>
      </c>
      <c r="Y44" s="228">
        <v>0.03</v>
      </c>
      <c r="Z44" s="228">
        <v>0.15</v>
      </c>
      <c r="AA44" s="229">
        <v>8.0000000000000004E-4</v>
      </c>
      <c r="AB44" s="228">
        <v>0.18</v>
      </c>
      <c r="AC44" s="228">
        <v>0.03</v>
      </c>
      <c r="AD44" s="228">
        <v>0.15</v>
      </c>
      <c r="AE44" s="229">
        <v>8.0000000000000004E-4</v>
      </c>
      <c r="AF44" s="228">
        <v>1.51</v>
      </c>
      <c r="AG44" s="228">
        <v>1.26</v>
      </c>
      <c r="AH44" s="228">
        <v>0.25</v>
      </c>
      <c r="AI44" s="229">
        <v>7.1000000000000004E-3</v>
      </c>
      <c r="AJ44" s="228">
        <v>-0.46</v>
      </c>
      <c r="AK44" s="228">
        <v>-0.48</v>
      </c>
      <c r="AL44" s="228">
        <v>0.02</v>
      </c>
      <c r="AM44" s="229">
        <v>-2.2000000000000001E-3</v>
      </c>
      <c r="AN44" s="228">
        <v>211.33</v>
      </c>
      <c r="AO44" s="228">
        <v>212.68</v>
      </c>
      <c r="AP44" s="228">
        <v>0</v>
      </c>
      <c r="AQ44" s="230">
        <v>5399</v>
      </c>
      <c r="AR44" s="230">
        <v>7000</v>
      </c>
      <c r="AS44" s="230">
        <v>-1601</v>
      </c>
      <c r="AT44" s="229">
        <v>-0.22869999999999999</v>
      </c>
      <c r="AU44" s="230">
        <v>4488</v>
      </c>
      <c r="AV44" s="230">
        <v>5843</v>
      </c>
      <c r="AW44" s="230">
        <v>-1355</v>
      </c>
      <c r="AX44" s="229">
        <v>-0.2319</v>
      </c>
      <c r="AY44" s="228">
        <v>786</v>
      </c>
      <c r="AZ44" s="228">
        <v>938</v>
      </c>
      <c r="BA44" s="228">
        <v>-152</v>
      </c>
      <c r="BB44" s="229">
        <v>-0.16200000000000001</v>
      </c>
      <c r="BC44" s="228">
        <v>125</v>
      </c>
      <c r="BD44" s="228">
        <v>219</v>
      </c>
      <c r="BE44" s="228">
        <v>-94</v>
      </c>
      <c r="BF44" s="229">
        <v>-0.42920000000000003</v>
      </c>
      <c r="BG44" s="230">
        <v>21525</v>
      </c>
      <c r="BH44" s="230">
        <v>27869</v>
      </c>
      <c r="BI44" s="230">
        <v>-6344</v>
      </c>
      <c r="BJ44" s="229">
        <v>-0.2276</v>
      </c>
      <c r="BK44" s="230">
        <v>13965</v>
      </c>
      <c r="BL44" s="230">
        <v>14560</v>
      </c>
      <c r="BM44" s="228">
        <v>-595</v>
      </c>
      <c r="BN44" s="229">
        <v>-4.0899999999999999E-2</v>
      </c>
      <c r="BO44" s="230">
        <v>40889</v>
      </c>
      <c r="BP44" s="230">
        <v>49429</v>
      </c>
      <c r="BQ44" s="230">
        <v>-8540</v>
      </c>
      <c r="BR44" s="229">
        <v>-0.17280000000000001</v>
      </c>
      <c r="BS44" s="230">
        <v>24403581</v>
      </c>
      <c r="BT44" s="230">
        <v>29279774</v>
      </c>
      <c r="BU44" s="230">
        <v>-4876193</v>
      </c>
      <c r="BV44" s="229">
        <v>-0.16650000000000001</v>
      </c>
      <c r="BW44" s="230">
        <v>178337500</v>
      </c>
      <c r="BX44" s="230">
        <v>179784000</v>
      </c>
      <c r="BY44" s="230">
        <v>-1446500</v>
      </c>
      <c r="BZ44" s="229">
        <v>-8.0000000000000002E-3</v>
      </c>
      <c r="CA44" s="230">
        <v>153642500</v>
      </c>
      <c r="CB44" s="230">
        <v>156101000</v>
      </c>
      <c r="CC44" s="230">
        <v>-2458500</v>
      </c>
      <c r="CD44" s="229">
        <v>-1.5699999999999999E-2</v>
      </c>
      <c r="CE44" s="230">
        <v>19184000</v>
      </c>
      <c r="CF44" s="230">
        <v>18144500</v>
      </c>
      <c r="CG44" s="230">
        <v>1039500</v>
      </c>
      <c r="CH44" s="229">
        <v>5.7299999999999997E-2</v>
      </c>
      <c r="CI44" s="230">
        <v>5511000</v>
      </c>
      <c r="CJ44" s="230">
        <v>5538500</v>
      </c>
      <c r="CK44" s="230">
        <v>-27500</v>
      </c>
      <c r="CL44" s="229">
        <v>-5.0000000000000001E-3</v>
      </c>
      <c r="CM44" s="230">
        <v>116435000</v>
      </c>
      <c r="CN44" s="230">
        <v>117111500</v>
      </c>
      <c r="CO44" s="230">
        <v>-676500</v>
      </c>
      <c r="CP44" s="229">
        <v>-5.7999999999999996E-3</v>
      </c>
      <c r="CQ44" s="230">
        <v>99880000</v>
      </c>
      <c r="CR44" s="230">
        <v>93923500</v>
      </c>
      <c r="CS44" s="230">
        <v>5956500</v>
      </c>
      <c r="CT44" s="229">
        <v>6.3399999999999998E-2</v>
      </c>
      <c r="CU44" s="230">
        <v>394652500</v>
      </c>
      <c r="CV44" s="230">
        <v>390819000</v>
      </c>
      <c r="CW44" s="230">
        <v>3833500</v>
      </c>
      <c r="CX44" s="229">
        <v>9.7999999999999997E-3</v>
      </c>
      <c r="CY44" s="228">
        <v>29.64</v>
      </c>
      <c r="CZ44" s="228">
        <v>31.19</v>
      </c>
      <c r="DA44" s="228">
        <v>-1.55</v>
      </c>
      <c r="DB44" s="228">
        <v>-1.55</v>
      </c>
      <c r="DC44" s="228">
        <v>36.159999999999997</v>
      </c>
      <c r="DD44" s="228">
        <v>36.229999999999997</v>
      </c>
      <c r="DE44" s="228">
        <v>-6.52</v>
      </c>
      <c r="DF44" s="228">
        <v>-7.0000000000000007E-2</v>
      </c>
      <c r="DG44" s="228">
        <v>28.19</v>
      </c>
      <c r="DH44" s="228">
        <v>30.31</v>
      </c>
      <c r="DI44" s="228">
        <v>-2.12</v>
      </c>
      <c r="DJ44" s="228">
        <v>-2.12</v>
      </c>
      <c r="DK44" s="228">
        <v>31.87</v>
      </c>
      <c r="DL44" s="228">
        <v>32.869999999999997</v>
      </c>
      <c r="DM44" s="228">
        <v>-1</v>
      </c>
      <c r="DN44" s="228">
        <v>-1</v>
      </c>
      <c r="DO44" s="228">
        <v>0.86</v>
      </c>
      <c r="DP44" s="228">
        <v>0.8</v>
      </c>
      <c r="DQ44" s="228">
        <v>0.06</v>
      </c>
      <c r="DR44" s="229">
        <v>7.4999999999999997E-2</v>
      </c>
      <c r="DS44" s="228">
        <v>195</v>
      </c>
      <c r="DT44" s="228">
        <v>200</v>
      </c>
      <c r="DU44" s="228">
        <v>0.65</v>
      </c>
      <c r="DV44" s="228">
        <v>0.52</v>
      </c>
      <c r="DW44" s="228">
        <v>0.13</v>
      </c>
      <c r="DX44" s="229">
        <v>0.25</v>
      </c>
      <c r="DY44" s="229">
        <v>0.13850000000000001</v>
      </c>
      <c r="DZ44" s="230">
        <v>23683000</v>
      </c>
      <c r="EA44" s="229">
        <v>6.3E-3</v>
      </c>
      <c r="EB44" s="229">
        <v>0.13850000000000001</v>
      </c>
      <c r="EC44" s="228">
        <v>1.35</v>
      </c>
      <c r="ED44" s="229">
        <v>6.4000000000000003E-3</v>
      </c>
      <c r="EE44" s="230">
        <v>9314487</v>
      </c>
      <c r="EF44" s="230">
        <v>10747419</v>
      </c>
      <c r="EG44" s="229">
        <v>-0.1333</v>
      </c>
      <c r="EH44" s="229">
        <v>0.38169999999999998</v>
      </c>
      <c r="EI44" s="231">
        <v>258277.1</v>
      </c>
      <c r="EJ44" s="231">
        <v>158022.76</v>
      </c>
      <c r="EK44" s="231">
        <v>62806.57</v>
      </c>
      <c r="EL44" s="231">
        <v>6493</v>
      </c>
      <c r="EM44" s="231">
        <v>479106.43</v>
      </c>
      <c r="EN44" s="231">
        <v>580632.23</v>
      </c>
      <c r="EO44" s="231">
        <v>-101525.8</v>
      </c>
      <c r="EP44" s="229">
        <v>-0.1749</v>
      </c>
      <c r="EQ44" s="231">
        <v>242007</v>
      </c>
      <c r="ER44" s="231">
        <v>194249</v>
      </c>
      <c r="ES44" s="231">
        <v>378830</v>
      </c>
      <c r="ET44" s="231">
        <v>1049350971</v>
      </c>
      <c r="EU44" s="231">
        <v>815086</v>
      </c>
      <c r="EV44" s="231">
        <v>803978</v>
      </c>
      <c r="EW44" s="231">
        <v>11108</v>
      </c>
      <c r="EX44" s="229">
        <v>1.38E-2</v>
      </c>
      <c r="EY44" s="229">
        <v>0.37609999999999999</v>
      </c>
    </row>
    <row r="45" spans="1:155" ht="17.25" thickBot="1" x14ac:dyDescent="0.3">
      <c r="A45" s="226">
        <v>46129</v>
      </c>
      <c r="B45" s="227" t="s">
        <v>221</v>
      </c>
      <c r="C45" s="227" t="s">
        <v>295</v>
      </c>
      <c r="D45" s="231">
        <v>2561.1999999999998</v>
      </c>
      <c r="E45" s="231">
        <v>2555.6</v>
      </c>
      <c r="F45" s="228">
        <v>5.6</v>
      </c>
      <c r="G45" s="229">
        <v>2.2000000000000001E-3</v>
      </c>
      <c r="H45" s="231">
        <v>2581.5</v>
      </c>
      <c r="I45" s="231">
        <v>2576.9</v>
      </c>
      <c r="J45" s="228">
        <v>4.5999999999999996</v>
      </c>
      <c r="K45" s="229">
        <v>1.8E-3</v>
      </c>
      <c r="L45" s="231">
        <v>2561.1999999999998</v>
      </c>
      <c r="M45" s="231">
        <v>2555.6</v>
      </c>
      <c r="N45" s="228">
        <v>5.6</v>
      </c>
      <c r="O45" s="229">
        <v>2.2000000000000001E-3</v>
      </c>
      <c r="P45" s="231">
        <v>2553.3000000000002</v>
      </c>
      <c r="Q45" s="231">
        <v>2546.4</v>
      </c>
      <c r="R45" s="228">
        <v>6.9</v>
      </c>
      <c r="S45" s="229">
        <v>2.7000000000000001E-3</v>
      </c>
      <c r="T45" s="231">
        <v>2553.6</v>
      </c>
      <c r="U45" s="231">
        <v>2547.8000000000002</v>
      </c>
      <c r="V45" s="228">
        <v>5.8</v>
      </c>
      <c r="W45" s="229">
        <v>2.3E-3</v>
      </c>
      <c r="X45" s="228">
        <v>-20.3</v>
      </c>
      <c r="Y45" s="228">
        <v>-21.3</v>
      </c>
      <c r="Z45" s="228">
        <v>1</v>
      </c>
      <c r="AA45" s="229">
        <v>-7.9000000000000008E-3</v>
      </c>
      <c r="AB45" s="228">
        <v>-20.3</v>
      </c>
      <c r="AC45" s="228">
        <v>-21.3</v>
      </c>
      <c r="AD45" s="228">
        <v>1</v>
      </c>
      <c r="AE45" s="229">
        <v>-7.9000000000000008E-3</v>
      </c>
      <c r="AF45" s="228">
        <v>-28.2</v>
      </c>
      <c r="AG45" s="228">
        <v>-30.5</v>
      </c>
      <c r="AH45" s="228">
        <v>2.2999999999999998</v>
      </c>
      <c r="AI45" s="229">
        <v>-1.09E-2</v>
      </c>
      <c r="AJ45" s="228">
        <v>-27.9</v>
      </c>
      <c r="AK45" s="228">
        <v>-29.1</v>
      </c>
      <c r="AL45" s="228">
        <v>1.2</v>
      </c>
      <c r="AM45" s="229">
        <v>-1.0800000000000001E-2</v>
      </c>
      <c r="AN45" s="231">
        <v>2561.27</v>
      </c>
      <c r="AO45" s="231">
        <v>2551.73</v>
      </c>
      <c r="AP45" s="228">
        <v>0</v>
      </c>
      <c r="AQ45" s="230">
        <v>16509</v>
      </c>
      <c r="AR45" s="230">
        <v>26385</v>
      </c>
      <c r="AS45" s="230">
        <v>-9876</v>
      </c>
      <c r="AT45" s="229">
        <v>-0.37430000000000002</v>
      </c>
      <c r="AU45" s="230">
        <v>13174</v>
      </c>
      <c r="AV45" s="230">
        <v>21474</v>
      </c>
      <c r="AW45" s="230">
        <v>-8300</v>
      </c>
      <c r="AX45" s="229">
        <v>-0.38650000000000001</v>
      </c>
      <c r="AY45" s="230">
        <v>2569</v>
      </c>
      <c r="AZ45" s="230">
        <v>3535</v>
      </c>
      <c r="BA45" s="228">
        <v>-966</v>
      </c>
      <c r="BB45" s="229">
        <v>-0.27329999999999999</v>
      </c>
      <c r="BC45" s="228">
        <v>766</v>
      </c>
      <c r="BD45" s="230">
        <v>1376</v>
      </c>
      <c r="BE45" s="228">
        <v>-610</v>
      </c>
      <c r="BF45" s="229">
        <v>-0.44330000000000003</v>
      </c>
      <c r="BG45" s="230">
        <v>96380</v>
      </c>
      <c r="BH45" s="230">
        <v>142324</v>
      </c>
      <c r="BI45" s="230">
        <v>-45944</v>
      </c>
      <c r="BJ45" s="229">
        <v>-0.32279999999999998</v>
      </c>
      <c r="BK45" s="230">
        <v>56190</v>
      </c>
      <c r="BL45" s="230">
        <v>78330</v>
      </c>
      <c r="BM45" s="230">
        <v>-22140</v>
      </c>
      <c r="BN45" s="229">
        <v>-0.28270000000000001</v>
      </c>
      <c r="BO45" s="230">
        <v>169079</v>
      </c>
      <c r="BP45" s="230">
        <v>247039</v>
      </c>
      <c r="BQ45" s="230">
        <v>-77960</v>
      </c>
      <c r="BR45" s="229">
        <v>-0.31559999999999999</v>
      </c>
      <c r="BS45" s="230">
        <v>2872327</v>
      </c>
      <c r="BT45" s="230">
        <v>4405804</v>
      </c>
      <c r="BU45" s="230">
        <v>-1533477</v>
      </c>
      <c r="BV45" s="229">
        <v>-0.34810000000000002</v>
      </c>
      <c r="BW45" s="230">
        <v>35561225</v>
      </c>
      <c r="BX45" s="230">
        <v>35465850</v>
      </c>
      <c r="BY45" s="230">
        <v>95375</v>
      </c>
      <c r="BZ45" s="229">
        <v>2.7000000000000001E-3</v>
      </c>
      <c r="CA45" s="230">
        <v>32095700</v>
      </c>
      <c r="CB45" s="230">
        <v>32124050</v>
      </c>
      <c r="CC45" s="230">
        <v>-28350</v>
      </c>
      <c r="CD45" s="229">
        <v>-8.9999999999999998E-4</v>
      </c>
      <c r="CE45" s="230">
        <v>2845500</v>
      </c>
      <c r="CF45" s="230">
        <v>2760275</v>
      </c>
      <c r="CG45" s="230">
        <v>85225</v>
      </c>
      <c r="CH45" s="229">
        <v>3.09E-2</v>
      </c>
      <c r="CI45" s="230">
        <v>620025</v>
      </c>
      <c r="CJ45" s="230">
        <v>581525</v>
      </c>
      <c r="CK45" s="230">
        <v>38500</v>
      </c>
      <c r="CL45" s="229">
        <v>6.6199999999999995E-2</v>
      </c>
      <c r="CM45" s="230">
        <v>18088175</v>
      </c>
      <c r="CN45" s="230">
        <v>18980850</v>
      </c>
      <c r="CO45" s="230">
        <v>-892675</v>
      </c>
      <c r="CP45" s="229">
        <v>-4.7E-2</v>
      </c>
      <c r="CQ45" s="230">
        <v>11833675</v>
      </c>
      <c r="CR45" s="230">
        <v>11572750</v>
      </c>
      <c r="CS45" s="230">
        <v>260925</v>
      </c>
      <c r="CT45" s="229">
        <v>2.2499999999999999E-2</v>
      </c>
      <c r="CU45" s="230">
        <v>65483075</v>
      </c>
      <c r="CV45" s="230">
        <v>66019450</v>
      </c>
      <c r="CW45" s="230">
        <v>-536375</v>
      </c>
      <c r="CX45" s="229">
        <v>-8.0999999999999996E-3</v>
      </c>
      <c r="CY45" s="228">
        <v>25.09</v>
      </c>
      <c r="CZ45" s="228">
        <v>25.67</v>
      </c>
      <c r="DA45" s="228">
        <v>-0.57999999999999996</v>
      </c>
      <c r="DB45" s="228">
        <v>-0.57999999999999996</v>
      </c>
      <c r="DC45" s="228">
        <v>27.32</v>
      </c>
      <c r="DD45" s="228">
        <v>27.38</v>
      </c>
      <c r="DE45" s="228">
        <v>-2.23</v>
      </c>
      <c r="DF45" s="228">
        <v>-0.06</v>
      </c>
      <c r="DG45" s="228">
        <v>24.62</v>
      </c>
      <c r="DH45" s="228">
        <v>25.15</v>
      </c>
      <c r="DI45" s="228">
        <v>-0.53</v>
      </c>
      <c r="DJ45" s="228">
        <v>-0.53</v>
      </c>
      <c r="DK45" s="228">
        <v>25.89</v>
      </c>
      <c r="DL45" s="228">
        <v>26.62</v>
      </c>
      <c r="DM45" s="228">
        <v>-0.73</v>
      </c>
      <c r="DN45" s="228">
        <v>-0.73</v>
      </c>
      <c r="DO45" s="228">
        <v>0.65</v>
      </c>
      <c r="DP45" s="228">
        <v>0.61</v>
      </c>
      <c r="DQ45" s="228">
        <v>0.04</v>
      </c>
      <c r="DR45" s="229">
        <v>6.5600000000000006E-2</v>
      </c>
      <c r="DS45" s="231">
        <v>2600</v>
      </c>
      <c r="DT45" s="231">
        <v>2400</v>
      </c>
      <c r="DU45" s="228">
        <v>0.57999999999999996</v>
      </c>
      <c r="DV45" s="228">
        <v>0.55000000000000004</v>
      </c>
      <c r="DW45" s="228">
        <v>0.03</v>
      </c>
      <c r="DX45" s="229">
        <v>5.45E-2</v>
      </c>
      <c r="DY45" s="229">
        <v>9.7500000000000003E-2</v>
      </c>
      <c r="DZ45" s="230">
        <v>3341800</v>
      </c>
      <c r="EA45" s="229">
        <v>-3.0999999999999999E-3</v>
      </c>
      <c r="EB45" s="229">
        <v>9.7500000000000003E-2</v>
      </c>
      <c r="EC45" s="228">
        <v>-9.5399999999999991</v>
      </c>
      <c r="ED45" s="229">
        <v>-3.7000000000000002E-3</v>
      </c>
      <c r="EE45" s="230">
        <v>1761926</v>
      </c>
      <c r="EF45" s="230">
        <v>1646165</v>
      </c>
      <c r="EG45" s="229">
        <v>7.0300000000000001E-2</v>
      </c>
      <c r="EH45" s="229">
        <v>0.61339999999999995</v>
      </c>
      <c r="EI45" s="231">
        <v>450470.46</v>
      </c>
      <c r="EJ45" s="231">
        <v>247433.38</v>
      </c>
      <c r="EK45" s="231">
        <v>73942.320000000007</v>
      </c>
      <c r="EL45" s="231">
        <v>36897</v>
      </c>
      <c r="EM45" s="231">
        <v>771846.16</v>
      </c>
      <c r="EN45" s="231">
        <v>1124570.9099999999</v>
      </c>
      <c r="EO45" s="231">
        <v>-352724.75</v>
      </c>
      <c r="EP45" s="229">
        <v>-0.31369999999999998</v>
      </c>
      <c r="EQ45" s="231">
        <v>480197</v>
      </c>
      <c r="ER45" s="231">
        <v>297050</v>
      </c>
      <c r="ES45" s="231">
        <v>910522</v>
      </c>
      <c r="ET45" s="231">
        <v>153229333</v>
      </c>
      <c r="EU45" s="231">
        <v>1687769</v>
      </c>
      <c r="EV45" s="231">
        <v>1700555</v>
      </c>
      <c r="EW45" s="231">
        <v>-12786</v>
      </c>
      <c r="EX45" s="229">
        <v>-7.4999999999999997E-3</v>
      </c>
      <c r="EY45" s="229">
        <v>0.4274</v>
      </c>
    </row>
    <row r="46" spans="1:155" ht="17.25" thickBot="1" x14ac:dyDescent="0.3">
      <c r="A46" s="226">
        <v>46129</v>
      </c>
      <c r="B46" s="227" t="s">
        <v>221</v>
      </c>
      <c r="C46" s="227" t="s">
        <v>296</v>
      </c>
      <c r="D46" s="231">
        <v>1503.1</v>
      </c>
      <c r="E46" s="231">
        <v>1485.2</v>
      </c>
      <c r="F46" s="228">
        <v>17.899999999999999</v>
      </c>
      <c r="G46" s="229">
        <v>1.21E-2</v>
      </c>
      <c r="H46" s="231">
        <v>1511.4</v>
      </c>
      <c r="I46" s="231">
        <v>1491</v>
      </c>
      <c r="J46" s="228">
        <v>20.399999999999999</v>
      </c>
      <c r="K46" s="229">
        <v>1.37E-2</v>
      </c>
      <c r="L46" s="231">
        <v>1503.1</v>
      </c>
      <c r="M46" s="231">
        <v>1485.2</v>
      </c>
      <c r="N46" s="228">
        <v>17.899999999999999</v>
      </c>
      <c r="O46" s="229">
        <v>1.21E-2</v>
      </c>
      <c r="P46" s="231">
        <v>1497</v>
      </c>
      <c r="Q46" s="231">
        <v>1479.3</v>
      </c>
      <c r="R46" s="228">
        <v>17.7</v>
      </c>
      <c r="S46" s="229">
        <v>1.2E-2</v>
      </c>
      <c r="T46" s="231">
        <v>1498.6</v>
      </c>
      <c r="U46" s="231">
        <v>1482.1</v>
      </c>
      <c r="V46" s="228">
        <v>16.5</v>
      </c>
      <c r="W46" s="229">
        <v>1.11E-2</v>
      </c>
      <c r="X46" s="228">
        <v>-8.3000000000000007</v>
      </c>
      <c r="Y46" s="228">
        <v>-5.8</v>
      </c>
      <c r="Z46" s="228">
        <v>-2.5</v>
      </c>
      <c r="AA46" s="229">
        <v>-5.4999999999999997E-3</v>
      </c>
      <c r="AB46" s="228">
        <v>-8.3000000000000007</v>
      </c>
      <c r="AC46" s="228">
        <v>-5.8</v>
      </c>
      <c r="AD46" s="228">
        <v>-2.5</v>
      </c>
      <c r="AE46" s="229">
        <v>-5.4999999999999997E-3</v>
      </c>
      <c r="AF46" s="228">
        <v>-14.4</v>
      </c>
      <c r="AG46" s="228">
        <v>-11.7</v>
      </c>
      <c r="AH46" s="228">
        <v>-2.7</v>
      </c>
      <c r="AI46" s="229">
        <v>-9.4999999999999998E-3</v>
      </c>
      <c r="AJ46" s="228">
        <v>-12.8</v>
      </c>
      <c r="AK46" s="228">
        <v>-8.9</v>
      </c>
      <c r="AL46" s="228">
        <v>-3.9</v>
      </c>
      <c r="AM46" s="229">
        <v>-8.5000000000000006E-3</v>
      </c>
      <c r="AN46" s="231">
        <v>1501.69</v>
      </c>
      <c r="AO46" s="231">
        <v>1495.65</v>
      </c>
      <c r="AP46" s="228">
        <v>0</v>
      </c>
      <c r="AQ46" s="230">
        <v>4250</v>
      </c>
      <c r="AR46" s="230">
        <v>3883</v>
      </c>
      <c r="AS46" s="228">
        <v>367</v>
      </c>
      <c r="AT46" s="229">
        <v>9.4500000000000001E-2</v>
      </c>
      <c r="AU46" s="230">
        <v>3613</v>
      </c>
      <c r="AV46" s="230">
        <v>3298</v>
      </c>
      <c r="AW46" s="228">
        <v>315</v>
      </c>
      <c r="AX46" s="229">
        <v>9.5500000000000002E-2</v>
      </c>
      <c r="AY46" s="228">
        <v>598</v>
      </c>
      <c r="AZ46" s="228">
        <v>512</v>
      </c>
      <c r="BA46" s="228">
        <v>86</v>
      </c>
      <c r="BB46" s="229">
        <v>0.16800000000000001</v>
      </c>
      <c r="BC46" s="228">
        <v>39</v>
      </c>
      <c r="BD46" s="228">
        <v>73</v>
      </c>
      <c r="BE46" s="228">
        <v>-34</v>
      </c>
      <c r="BF46" s="229">
        <v>-0.46579999999999999</v>
      </c>
      <c r="BG46" s="230">
        <v>19192</v>
      </c>
      <c r="BH46" s="230">
        <v>10868</v>
      </c>
      <c r="BI46" s="230">
        <v>8324</v>
      </c>
      <c r="BJ46" s="229">
        <v>0.76590000000000003</v>
      </c>
      <c r="BK46" s="230">
        <v>8859</v>
      </c>
      <c r="BL46" s="230">
        <v>6080</v>
      </c>
      <c r="BM46" s="230">
        <v>2779</v>
      </c>
      <c r="BN46" s="229">
        <v>0.45710000000000001</v>
      </c>
      <c r="BO46" s="230">
        <v>32301</v>
      </c>
      <c r="BP46" s="230">
        <v>20831</v>
      </c>
      <c r="BQ46" s="230">
        <v>11470</v>
      </c>
      <c r="BR46" s="229">
        <v>0.55059999999999998</v>
      </c>
      <c r="BS46" s="230">
        <v>1891487</v>
      </c>
      <c r="BT46" s="230">
        <v>1838542</v>
      </c>
      <c r="BU46" s="230">
        <v>52945</v>
      </c>
      <c r="BV46" s="229">
        <v>2.8799999999999999E-2</v>
      </c>
      <c r="BW46" s="230">
        <v>18625200</v>
      </c>
      <c r="BX46" s="230">
        <v>18565800</v>
      </c>
      <c r="BY46" s="230">
        <v>59400</v>
      </c>
      <c r="BZ46" s="229">
        <v>3.2000000000000002E-3</v>
      </c>
      <c r="CA46" s="230">
        <v>17795400</v>
      </c>
      <c r="CB46" s="230">
        <v>17858400</v>
      </c>
      <c r="CC46" s="230">
        <v>-63000</v>
      </c>
      <c r="CD46" s="229">
        <v>-3.5000000000000001E-3</v>
      </c>
      <c r="CE46" s="230">
        <v>733200</v>
      </c>
      <c r="CF46" s="230">
        <v>600600</v>
      </c>
      <c r="CG46" s="230">
        <v>132600</v>
      </c>
      <c r="CH46" s="229">
        <v>0.2208</v>
      </c>
      <c r="CI46" s="230">
        <v>96600</v>
      </c>
      <c r="CJ46" s="230">
        <v>106800</v>
      </c>
      <c r="CK46" s="230">
        <v>-10200</v>
      </c>
      <c r="CL46" s="229">
        <v>-9.5500000000000002E-2</v>
      </c>
      <c r="CM46" s="230">
        <v>4977000</v>
      </c>
      <c r="CN46" s="230">
        <v>4716600</v>
      </c>
      <c r="CO46" s="230">
        <v>260400</v>
      </c>
      <c r="CP46" s="229">
        <v>5.5199999999999999E-2</v>
      </c>
      <c r="CQ46" s="230">
        <v>4185600</v>
      </c>
      <c r="CR46" s="230">
        <v>4346400</v>
      </c>
      <c r="CS46" s="230">
        <v>-160800</v>
      </c>
      <c r="CT46" s="229">
        <v>-3.6999999999999998E-2</v>
      </c>
      <c r="CU46" s="230">
        <v>27787800</v>
      </c>
      <c r="CV46" s="230">
        <v>27628800</v>
      </c>
      <c r="CW46" s="230">
        <v>159000</v>
      </c>
      <c r="CX46" s="229">
        <v>5.7999999999999996E-3</v>
      </c>
      <c r="CY46" s="228">
        <v>34.130000000000003</v>
      </c>
      <c r="CZ46" s="228">
        <v>34</v>
      </c>
      <c r="DA46" s="228">
        <v>0.13</v>
      </c>
      <c r="DB46" s="228">
        <v>0.13</v>
      </c>
      <c r="DC46" s="228">
        <v>31.3</v>
      </c>
      <c r="DD46" s="228">
        <v>31.32</v>
      </c>
      <c r="DE46" s="228">
        <v>2.83</v>
      </c>
      <c r="DF46" s="228">
        <v>-0.02</v>
      </c>
      <c r="DG46" s="228">
        <v>33.24</v>
      </c>
      <c r="DH46" s="228">
        <v>33.36</v>
      </c>
      <c r="DI46" s="228">
        <v>-0.12</v>
      </c>
      <c r="DJ46" s="228">
        <v>-0.12</v>
      </c>
      <c r="DK46" s="228">
        <v>36.06</v>
      </c>
      <c r="DL46" s="228">
        <v>35.159999999999997</v>
      </c>
      <c r="DM46" s="228">
        <v>0.9</v>
      </c>
      <c r="DN46" s="228">
        <v>0.9</v>
      </c>
      <c r="DO46" s="228">
        <v>0.84</v>
      </c>
      <c r="DP46" s="228">
        <v>0.92</v>
      </c>
      <c r="DQ46" s="228">
        <v>-0.08</v>
      </c>
      <c r="DR46" s="229">
        <v>-8.6999999999999994E-2</v>
      </c>
      <c r="DS46" s="231">
        <v>1500</v>
      </c>
      <c r="DT46" s="231">
        <v>1320</v>
      </c>
      <c r="DU46" s="228">
        <v>0.46</v>
      </c>
      <c r="DV46" s="228">
        <v>0.56000000000000005</v>
      </c>
      <c r="DW46" s="228">
        <v>-0.1</v>
      </c>
      <c r="DX46" s="229">
        <v>-0.17860000000000001</v>
      </c>
      <c r="DY46" s="229">
        <v>4.4600000000000001E-2</v>
      </c>
      <c r="DZ46" s="230">
        <v>707400</v>
      </c>
      <c r="EA46" s="229">
        <v>-4.1000000000000003E-3</v>
      </c>
      <c r="EB46" s="229">
        <v>4.4600000000000001E-2</v>
      </c>
      <c r="EC46" s="228">
        <v>-6.04</v>
      </c>
      <c r="ED46" s="229">
        <v>-4.0000000000000001E-3</v>
      </c>
      <c r="EE46" s="230">
        <v>959857</v>
      </c>
      <c r="EF46" s="230">
        <v>860183</v>
      </c>
      <c r="EG46" s="229">
        <v>0.1159</v>
      </c>
      <c r="EH46" s="229">
        <v>0.50749999999999995</v>
      </c>
      <c r="EI46" s="231">
        <v>179821.5</v>
      </c>
      <c r="EJ46" s="231">
        <v>78355.759999999995</v>
      </c>
      <c r="EK46" s="231">
        <v>38270.28</v>
      </c>
      <c r="EL46" s="231">
        <v>3626</v>
      </c>
      <c r="EM46" s="231">
        <v>296447.53999999998</v>
      </c>
      <c r="EN46" s="231">
        <v>189642.1</v>
      </c>
      <c r="EO46" s="231">
        <v>106805.44</v>
      </c>
      <c r="EP46" s="229">
        <v>0.56320000000000003</v>
      </c>
      <c r="EQ46" s="231">
        <v>74977</v>
      </c>
      <c r="ER46" s="231">
        <v>58902</v>
      </c>
      <c r="ES46" s="231">
        <v>279906</v>
      </c>
      <c r="ET46" s="231">
        <v>95553300</v>
      </c>
      <c r="EU46" s="231">
        <v>413785</v>
      </c>
      <c r="EV46" s="231">
        <v>406999</v>
      </c>
      <c r="EW46" s="231">
        <v>6786</v>
      </c>
      <c r="EX46" s="229">
        <v>1.67E-2</v>
      </c>
      <c r="EY46" s="229">
        <v>0.2908</v>
      </c>
    </row>
    <row r="47" spans="1:155" ht="17.25" thickBot="1" x14ac:dyDescent="0.3">
      <c r="A47" s="226">
        <v>46129</v>
      </c>
      <c r="B47" s="227" t="s">
        <v>168</v>
      </c>
      <c r="C47" s="227" t="s">
        <v>297</v>
      </c>
      <c r="D47" s="231">
        <v>4525</v>
      </c>
      <c r="E47" s="231">
        <v>4475.8</v>
      </c>
      <c r="F47" s="228">
        <v>49.2</v>
      </c>
      <c r="G47" s="229">
        <v>1.0999999999999999E-2</v>
      </c>
      <c r="H47" s="231">
        <v>4525.8999999999996</v>
      </c>
      <c r="I47" s="231">
        <v>4461.3999999999996</v>
      </c>
      <c r="J47" s="228">
        <v>64.5</v>
      </c>
      <c r="K47" s="229">
        <v>1.4500000000000001E-2</v>
      </c>
      <c r="L47" s="231">
        <v>4525</v>
      </c>
      <c r="M47" s="231">
        <v>4475.8</v>
      </c>
      <c r="N47" s="228">
        <v>49.2</v>
      </c>
      <c r="O47" s="229">
        <v>1.0999999999999999E-2</v>
      </c>
      <c r="P47" s="231">
        <v>4548.3999999999996</v>
      </c>
      <c r="Q47" s="231">
        <v>4499.6000000000004</v>
      </c>
      <c r="R47" s="228">
        <v>48.8</v>
      </c>
      <c r="S47" s="229">
        <v>1.0800000000000001E-2</v>
      </c>
      <c r="T47" s="231">
        <v>4572.3</v>
      </c>
      <c r="U47" s="231">
        <v>4527.3</v>
      </c>
      <c r="V47" s="228">
        <v>45</v>
      </c>
      <c r="W47" s="229">
        <v>9.9000000000000008E-3</v>
      </c>
      <c r="X47" s="228">
        <v>-0.9</v>
      </c>
      <c r="Y47" s="228">
        <v>14.4</v>
      </c>
      <c r="Z47" s="228">
        <v>-15.3</v>
      </c>
      <c r="AA47" s="229">
        <v>-2.0000000000000001E-4</v>
      </c>
      <c r="AB47" s="228">
        <v>-0.9</v>
      </c>
      <c r="AC47" s="228">
        <v>14.4</v>
      </c>
      <c r="AD47" s="228">
        <v>-15.3</v>
      </c>
      <c r="AE47" s="229">
        <v>-2.0000000000000001E-4</v>
      </c>
      <c r="AF47" s="228">
        <v>22.5</v>
      </c>
      <c r="AG47" s="228">
        <v>38.200000000000003</v>
      </c>
      <c r="AH47" s="228">
        <v>-15.7</v>
      </c>
      <c r="AI47" s="229">
        <v>5.0000000000000001E-3</v>
      </c>
      <c r="AJ47" s="228">
        <v>46.4</v>
      </c>
      <c r="AK47" s="228">
        <v>65.900000000000006</v>
      </c>
      <c r="AL47" s="228">
        <v>-19.5</v>
      </c>
      <c r="AM47" s="229">
        <v>1.03E-2</v>
      </c>
      <c r="AN47" s="231">
        <v>4452.79</v>
      </c>
      <c r="AO47" s="231">
        <v>4483.03</v>
      </c>
      <c r="AP47" s="228">
        <v>0</v>
      </c>
      <c r="AQ47" s="230">
        <v>18265</v>
      </c>
      <c r="AR47" s="230">
        <v>9762</v>
      </c>
      <c r="AS47" s="230">
        <v>8503</v>
      </c>
      <c r="AT47" s="229">
        <v>0.871</v>
      </c>
      <c r="AU47" s="230">
        <v>16477</v>
      </c>
      <c r="AV47" s="230">
        <v>7056</v>
      </c>
      <c r="AW47" s="230">
        <v>9421</v>
      </c>
      <c r="AX47" s="229">
        <v>1.3351999999999999</v>
      </c>
      <c r="AY47" s="230">
        <v>1620</v>
      </c>
      <c r="AZ47" s="230">
        <v>1303</v>
      </c>
      <c r="BA47" s="228">
        <v>317</v>
      </c>
      <c r="BB47" s="229">
        <v>0.24329999999999999</v>
      </c>
      <c r="BC47" s="228">
        <v>168</v>
      </c>
      <c r="BD47" s="230">
        <v>1403</v>
      </c>
      <c r="BE47" s="230">
        <v>-1235</v>
      </c>
      <c r="BF47" s="229">
        <v>-0.88029999999999997</v>
      </c>
      <c r="BG47" s="230">
        <v>76545</v>
      </c>
      <c r="BH47" s="230">
        <v>22592</v>
      </c>
      <c r="BI47" s="230">
        <v>53953</v>
      </c>
      <c r="BJ47" s="229">
        <v>2.3881000000000001</v>
      </c>
      <c r="BK47" s="230">
        <v>70987</v>
      </c>
      <c r="BL47" s="230">
        <v>16314</v>
      </c>
      <c r="BM47" s="230">
        <v>54673</v>
      </c>
      <c r="BN47" s="229">
        <v>3.3513000000000002</v>
      </c>
      <c r="BO47" s="230">
        <v>165797</v>
      </c>
      <c r="BP47" s="230">
        <v>48668</v>
      </c>
      <c r="BQ47" s="230">
        <v>117129</v>
      </c>
      <c r="BR47" s="229">
        <v>2.4066999999999998</v>
      </c>
      <c r="BS47" s="230">
        <v>2179897</v>
      </c>
      <c r="BT47" s="230">
        <v>1362192</v>
      </c>
      <c r="BU47" s="230">
        <v>817705</v>
      </c>
      <c r="BV47" s="229">
        <v>0.60029999999999994</v>
      </c>
      <c r="BW47" s="230">
        <v>8976275</v>
      </c>
      <c r="BX47" s="230">
        <v>9278500</v>
      </c>
      <c r="BY47" s="230">
        <v>-302225</v>
      </c>
      <c r="BZ47" s="229">
        <v>-3.2599999999999997E-2</v>
      </c>
      <c r="CA47" s="230">
        <v>8044225</v>
      </c>
      <c r="CB47" s="230">
        <v>8434475</v>
      </c>
      <c r="CC47" s="230">
        <v>-390250</v>
      </c>
      <c r="CD47" s="229">
        <v>-4.6300000000000001E-2</v>
      </c>
      <c r="CE47" s="230">
        <v>647675</v>
      </c>
      <c r="CF47" s="230">
        <v>560700</v>
      </c>
      <c r="CG47" s="230">
        <v>86975</v>
      </c>
      <c r="CH47" s="229">
        <v>0.15509999999999999</v>
      </c>
      <c r="CI47" s="230">
        <v>284375</v>
      </c>
      <c r="CJ47" s="230">
        <v>283325</v>
      </c>
      <c r="CK47" s="230">
        <v>1050</v>
      </c>
      <c r="CL47" s="229">
        <v>3.7000000000000002E-3</v>
      </c>
      <c r="CM47" s="230">
        <v>3935925</v>
      </c>
      <c r="CN47" s="230">
        <v>4001900</v>
      </c>
      <c r="CO47" s="230">
        <v>-65975</v>
      </c>
      <c r="CP47" s="229">
        <v>-1.6500000000000001E-2</v>
      </c>
      <c r="CQ47" s="230">
        <v>3203025</v>
      </c>
      <c r="CR47" s="230">
        <v>2821000</v>
      </c>
      <c r="CS47" s="230">
        <v>382025</v>
      </c>
      <c r="CT47" s="229">
        <v>0.13539999999999999</v>
      </c>
      <c r="CU47" s="230">
        <v>16115225</v>
      </c>
      <c r="CV47" s="230">
        <v>16101400</v>
      </c>
      <c r="CW47" s="230">
        <v>13825</v>
      </c>
      <c r="CX47" s="229">
        <v>8.9999999999999998E-4</v>
      </c>
      <c r="CY47" s="228">
        <v>26.91</v>
      </c>
      <c r="CZ47" s="228">
        <v>26.28</v>
      </c>
      <c r="DA47" s="228">
        <v>0.63</v>
      </c>
      <c r="DB47" s="228">
        <v>0.63</v>
      </c>
      <c r="DC47" s="228">
        <v>27.97</v>
      </c>
      <c r="DD47" s="228">
        <v>27.97</v>
      </c>
      <c r="DE47" s="228">
        <v>-1.06</v>
      </c>
      <c r="DF47" s="228">
        <v>0</v>
      </c>
      <c r="DG47" s="228">
        <v>25.28</v>
      </c>
      <c r="DH47" s="228">
        <v>25.78</v>
      </c>
      <c r="DI47" s="228">
        <v>-0.5</v>
      </c>
      <c r="DJ47" s="228">
        <v>-0.5</v>
      </c>
      <c r="DK47" s="228">
        <v>28.65</v>
      </c>
      <c r="DL47" s="228">
        <v>26.97</v>
      </c>
      <c r="DM47" s="228">
        <v>1.68</v>
      </c>
      <c r="DN47" s="228">
        <v>1.68</v>
      </c>
      <c r="DO47" s="228">
        <v>0.81</v>
      </c>
      <c r="DP47" s="228">
        <v>0.7</v>
      </c>
      <c r="DQ47" s="228">
        <v>0.11</v>
      </c>
      <c r="DR47" s="229">
        <v>0.15709999999999999</v>
      </c>
      <c r="DS47" s="231">
        <v>4500</v>
      </c>
      <c r="DT47" s="231">
        <v>4200</v>
      </c>
      <c r="DU47" s="228">
        <v>0.93</v>
      </c>
      <c r="DV47" s="228">
        <v>0.72</v>
      </c>
      <c r="DW47" s="228">
        <v>0.21</v>
      </c>
      <c r="DX47" s="229">
        <v>0.29170000000000001</v>
      </c>
      <c r="DY47" s="229">
        <v>0.1038</v>
      </c>
      <c r="DZ47" s="230">
        <v>844025</v>
      </c>
      <c r="EA47" s="229">
        <v>5.1999999999999998E-3</v>
      </c>
      <c r="EB47" s="229">
        <v>0.1038</v>
      </c>
      <c r="EC47" s="228">
        <v>30.24</v>
      </c>
      <c r="ED47" s="229">
        <v>6.7999999999999996E-3</v>
      </c>
      <c r="EE47" s="230">
        <v>1016476</v>
      </c>
      <c r="EF47" s="230">
        <v>712686</v>
      </c>
      <c r="EG47" s="229">
        <v>0.42630000000000001</v>
      </c>
      <c r="EH47" s="229">
        <v>0.46629999999999999</v>
      </c>
      <c r="EI47" s="231">
        <v>615068</v>
      </c>
      <c r="EJ47" s="231">
        <v>543291.43999999994</v>
      </c>
      <c r="EK47" s="231">
        <v>142431.53</v>
      </c>
      <c r="EL47" s="231">
        <v>6359</v>
      </c>
      <c r="EM47" s="231">
        <v>1300790.97</v>
      </c>
      <c r="EN47" s="231">
        <v>387376.95</v>
      </c>
      <c r="EO47" s="231">
        <v>913414.02</v>
      </c>
      <c r="EP47" s="229">
        <v>2.3578999999999999</v>
      </c>
      <c r="EQ47" s="231">
        <v>174416</v>
      </c>
      <c r="ER47" s="231">
        <v>133817</v>
      </c>
      <c r="ES47" s="231">
        <v>406463</v>
      </c>
      <c r="ET47" s="231">
        <v>41744334</v>
      </c>
      <c r="EU47" s="231">
        <v>714695</v>
      </c>
      <c r="EV47" s="231">
        <v>710065</v>
      </c>
      <c r="EW47" s="231">
        <v>4630</v>
      </c>
      <c r="EX47" s="229">
        <v>6.4999999999999997E-3</v>
      </c>
      <c r="EY47" s="229">
        <v>0.38600000000000001</v>
      </c>
    </row>
    <row r="48" spans="1:155" ht="17.25" thickBot="1" x14ac:dyDescent="0.3">
      <c r="A48" s="226">
        <v>46129</v>
      </c>
      <c r="B48" s="227" t="s">
        <v>162</v>
      </c>
      <c r="C48" s="227" t="s">
        <v>687</v>
      </c>
      <c r="D48" s="228">
        <v>360.25</v>
      </c>
      <c r="E48" s="228">
        <v>356.8</v>
      </c>
      <c r="F48" s="228">
        <v>3.45</v>
      </c>
      <c r="G48" s="229">
        <v>9.7000000000000003E-3</v>
      </c>
      <c r="H48" s="228">
        <v>360.1</v>
      </c>
      <c r="I48" s="228">
        <v>356.3</v>
      </c>
      <c r="J48" s="228">
        <v>3.8</v>
      </c>
      <c r="K48" s="229">
        <v>1.0699999999999999E-2</v>
      </c>
      <c r="L48" s="228">
        <v>360.25</v>
      </c>
      <c r="M48" s="228">
        <v>356.8</v>
      </c>
      <c r="N48" s="228">
        <v>3.45</v>
      </c>
      <c r="O48" s="229">
        <v>9.7000000000000003E-3</v>
      </c>
      <c r="P48" s="228">
        <v>362.25</v>
      </c>
      <c r="Q48" s="228">
        <v>358.8</v>
      </c>
      <c r="R48" s="228">
        <v>3.45</v>
      </c>
      <c r="S48" s="229">
        <v>9.5999999999999992E-3</v>
      </c>
      <c r="T48" s="228">
        <v>362.3</v>
      </c>
      <c r="U48" s="228">
        <v>359.1</v>
      </c>
      <c r="V48" s="228">
        <v>3.2</v>
      </c>
      <c r="W48" s="229">
        <v>8.8999999999999999E-3</v>
      </c>
      <c r="X48" s="228">
        <v>0.15</v>
      </c>
      <c r="Y48" s="228">
        <v>0.5</v>
      </c>
      <c r="Z48" s="228">
        <v>-0.35</v>
      </c>
      <c r="AA48" s="229">
        <v>4.0000000000000002E-4</v>
      </c>
      <c r="AB48" s="228">
        <v>0.15</v>
      </c>
      <c r="AC48" s="228">
        <v>0.5</v>
      </c>
      <c r="AD48" s="228">
        <v>-0.35</v>
      </c>
      <c r="AE48" s="229">
        <v>4.0000000000000002E-4</v>
      </c>
      <c r="AF48" s="228">
        <v>2.15</v>
      </c>
      <c r="AG48" s="228">
        <v>2.5</v>
      </c>
      <c r="AH48" s="228">
        <v>-0.35</v>
      </c>
      <c r="AI48" s="229">
        <v>6.0000000000000001E-3</v>
      </c>
      <c r="AJ48" s="228">
        <v>2.2000000000000002</v>
      </c>
      <c r="AK48" s="228">
        <v>2.8</v>
      </c>
      <c r="AL48" s="228">
        <v>-0.6</v>
      </c>
      <c r="AM48" s="229">
        <v>6.1000000000000004E-3</v>
      </c>
      <c r="AN48" s="228">
        <v>359.68</v>
      </c>
      <c r="AO48" s="228">
        <v>361.62</v>
      </c>
      <c r="AP48" s="228">
        <v>0</v>
      </c>
      <c r="AQ48" s="230">
        <v>11299</v>
      </c>
      <c r="AR48" s="230">
        <v>12069</v>
      </c>
      <c r="AS48" s="228">
        <v>-770</v>
      </c>
      <c r="AT48" s="229">
        <v>-6.3799999999999996E-2</v>
      </c>
      <c r="AU48" s="230">
        <v>8474</v>
      </c>
      <c r="AV48" s="230">
        <v>10007</v>
      </c>
      <c r="AW48" s="230">
        <v>-1533</v>
      </c>
      <c r="AX48" s="229">
        <v>-0.1532</v>
      </c>
      <c r="AY48" s="230">
        <v>2344</v>
      </c>
      <c r="AZ48" s="230">
        <v>1613</v>
      </c>
      <c r="BA48" s="228">
        <v>731</v>
      </c>
      <c r="BB48" s="229">
        <v>0.45319999999999999</v>
      </c>
      <c r="BC48" s="228">
        <v>481</v>
      </c>
      <c r="BD48" s="228">
        <v>449</v>
      </c>
      <c r="BE48" s="228">
        <v>32</v>
      </c>
      <c r="BF48" s="229">
        <v>7.1300000000000002E-2</v>
      </c>
      <c r="BG48" s="230">
        <v>43598</v>
      </c>
      <c r="BH48" s="230">
        <v>49060</v>
      </c>
      <c r="BI48" s="230">
        <v>-5462</v>
      </c>
      <c r="BJ48" s="229">
        <v>-0.1113</v>
      </c>
      <c r="BK48" s="230">
        <v>30216</v>
      </c>
      <c r="BL48" s="230">
        <v>29226</v>
      </c>
      <c r="BM48" s="228">
        <v>990</v>
      </c>
      <c r="BN48" s="229">
        <v>3.39E-2</v>
      </c>
      <c r="BO48" s="230">
        <v>85113</v>
      </c>
      <c r="BP48" s="230">
        <v>90355</v>
      </c>
      <c r="BQ48" s="230">
        <v>-5242</v>
      </c>
      <c r="BR48" s="229">
        <v>-5.8000000000000003E-2</v>
      </c>
      <c r="BS48" s="230">
        <v>7314044</v>
      </c>
      <c r="BT48" s="230">
        <v>6871023</v>
      </c>
      <c r="BU48" s="230">
        <v>443021</v>
      </c>
      <c r="BV48" s="229">
        <v>6.4500000000000002E-2</v>
      </c>
      <c r="BW48" s="230">
        <v>58587200</v>
      </c>
      <c r="BX48" s="230">
        <v>58409600</v>
      </c>
      <c r="BY48" s="230">
        <v>177600</v>
      </c>
      <c r="BZ48" s="229">
        <v>3.0000000000000001E-3</v>
      </c>
      <c r="CA48" s="230">
        <v>51525600</v>
      </c>
      <c r="CB48" s="230">
        <v>52176800</v>
      </c>
      <c r="CC48" s="230">
        <v>-651200</v>
      </c>
      <c r="CD48" s="229">
        <v>-1.2500000000000001E-2</v>
      </c>
      <c r="CE48" s="230">
        <v>5952800</v>
      </c>
      <c r="CF48" s="230">
        <v>5172000</v>
      </c>
      <c r="CG48" s="230">
        <v>780800</v>
      </c>
      <c r="CH48" s="229">
        <v>0.151</v>
      </c>
      <c r="CI48" s="230">
        <v>1108800</v>
      </c>
      <c r="CJ48" s="230">
        <v>1060800</v>
      </c>
      <c r="CK48" s="230">
        <v>48000</v>
      </c>
      <c r="CL48" s="229">
        <v>4.5199999999999997E-2</v>
      </c>
      <c r="CM48" s="230">
        <v>35904000</v>
      </c>
      <c r="CN48" s="230">
        <v>36346400</v>
      </c>
      <c r="CO48" s="230">
        <v>-442400</v>
      </c>
      <c r="CP48" s="229">
        <v>-1.2200000000000001E-2</v>
      </c>
      <c r="CQ48" s="230">
        <v>28884800</v>
      </c>
      <c r="CR48" s="230">
        <v>27885600</v>
      </c>
      <c r="CS48" s="230">
        <v>999200</v>
      </c>
      <c r="CT48" s="229">
        <v>3.5799999999999998E-2</v>
      </c>
      <c r="CU48" s="230">
        <v>123376000</v>
      </c>
      <c r="CV48" s="230">
        <v>122641600</v>
      </c>
      <c r="CW48" s="230">
        <v>734400</v>
      </c>
      <c r="CX48" s="229">
        <v>6.0000000000000001E-3</v>
      </c>
      <c r="CY48" s="228">
        <v>32.04</v>
      </c>
      <c r="CZ48" s="228">
        <v>32.43</v>
      </c>
      <c r="DA48" s="228">
        <v>-0.39</v>
      </c>
      <c r="DB48" s="228">
        <v>-0.39</v>
      </c>
      <c r="DC48" s="228">
        <v>38.28</v>
      </c>
      <c r="DD48" s="228">
        <v>38.35</v>
      </c>
      <c r="DE48" s="228">
        <v>-6.24</v>
      </c>
      <c r="DF48" s="228">
        <v>-7.0000000000000007E-2</v>
      </c>
      <c r="DG48" s="228">
        <v>29.73</v>
      </c>
      <c r="DH48" s="228">
        <v>30.32</v>
      </c>
      <c r="DI48" s="228">
        <v>-0.59</v>
      </c>
      <c r="DJ48" s="228">
        <v>-0.59</v>
      </c>
      <c r="DK48" s="228">
        <v>35.380000000000003</v>
      </c>
      <c r="DL48" s="228">
        <v>35.96</v>
      </c>
      <c r="DM48" s="228">
        <v>-0.57999999999999996</v>
      </c>
      <c r="DN48" s="228">
        <v>-0.57999999999999996</v>
      </c>
      <c r="DO48" s="228">
        <v>0.8</v>
      </c>
      <c r="DP48" s="228">
        <v>0.77</v>
      </c>
      <c r="DQ48" s="228">
        <v>0.03</v>
      </c>
      <c r="DR48" s="229">
        <v>3.9E-2</v>
      </c>
      <c r="DS48" s="228">
        <v>360</v>
      </c>
      <c r="DT48" s="228">
        <v>300</v>
      </c>
      <c r="DU48" s="228">
        <v>0.69</v>
      </c>
      <c r="DV48" s="228">
        <v>0.6</v>
      </c>
      <c r="DW48" s="228">
        <v>0.09</v>
      </c>
      <c r="DX48" s="229">
        <v>0.15</v>
      </c>
      <c r="DY48" s="229">
        <v>0.1205</v>
      </c>
      <c r="DZ48" s="230">
        <v>6232800</v>
      </c>
      <c r="EA48" s="229">
        <v>5.5999999999999999E-3</v>
      </c>
      <c r="EB48" s="229">
        <v>0.1205</v>
      </c>
      <c r="EC48" s="228">
        <v>1.94</v>
      </c>
      <c r="ED48" s="229">
        <v>5.4000000000000003E-3</v>
      </c>
      <c r="EE48" s="230">
        <v>3384834</v>
      </c>
      <c r="EF48" s="230">
        <v>2559818</v>
      </c>
      <c r="EG48" s="229">
        <v>0.32229999999999998</v>
      </c>
      <c r="EH48" s="229">
        <v>0.46279999999999999</v>
      </c>
      <c r="EI48" s="231">
        <v>130650.39</v>
      </c>
      <c r="EJ48" s="231">
        <v>84831.6</v>
      </c>
      <c r="EK48" s="231">
        <v>32555.74</v>
      </c>
      <c r="EL48" s="231">
        <v>15065</v>
      </c>
      <c r="EM48" s="231">
        <v>248037.73</v>
      </c>
      <c r="EN48" s="231">
        <v>262113.58</v>
      </c>
      <c r="EO48" s="231">
        <v>-14075.85</v>
      </c>
      <c r="EP48" s="229">
        <v>-5.3699999999999998E-2</v>
      </c>
      <c r="EQ48" s="231">
        <v>128154</v>
      </c>
      <c r="ER48" s="231">
        <v>95571</v>
      </c>
      <c r="ES48" s="231">
        <v>211202</v>
      </c>
      <c r="ET48" s="231">
        <v>317244234</v>
      </c>
      <c r="EU48" s="231">
        <v>434927</v>
      </c>
      <c r="EV48" s="231">
        <v>429920</v>
      </c>
      <c r="EW48" s="231">
        <v>5007</v>
      </c>
      <c r="EX48" s="229">
        <v>1.1599999999999999E-2</v>
      </c>
      <c r="EY48" s="229">
        <v>0.38890000000000002</v>
      </c>
    </row>
    <row r="49" spans="1:155" ht="17.25" thickBot="1" x14ac:dyDescent="0.3">
      <c r="A49" s="226">
        <v>46129</v>
      </c>
      <c r="B49" s="227" t="s">
        <v>197</v>
      </c>
      <c r="C49" s="227" t="s">
        <v>482</v>
      </c>
      <c r="D49" s="231">
        <v>4108.3999999999996</v>
      </c>
      <c r="E49" s="231">
        <v>4096.7</v>
      </c>
      <c r="F49" s="228">
        <v>11.7</v>
      </c>
      <c r="G49" s="229">
        <v>2.8999999999999998E-3</v>
      </c>
      <c r="H49" s="231">
        <v>4107.7</v>
      </c>
      <c r="I49" s="231">
        <v>4083.3</v>
      </c>
      <c r="J49" s="228">
        <v>24.4</v>
      </c>
      <c r="K49" s="229">
        <v>6.0000000000000001E-3</v>
      </c>
      <c r="L49" s="231">
        <v>4108.3999999999996</v>
      </c>
      <c r="M49" s="231">
        <v>4096.7</v>
      </c>
      <c r="N49" s="228">
        <v>11.7</v>
      </c>
      <c r="O49" s="229">
        <v>2.8999999999999998E-3</v>
      </c>
      <c r="P49" s="231">
        <v>4114.6000000000004</v>
      </c>
      <c r="Q49" s="231">
        <v>4095.5</v>
      </c>
      <c r="R49" s="228">
        <v>19.100000000000001</v>
      </c>
      <c r="S49" s="229">
        <v>4.7000000000000002E-3</v>
      </c>
      <c r="T49" s="231">
        <v>4129</v>
      </c>
      <c r="U49" s="231">
        <v>4100.6000000000004</v>
      </c>
      <c r="V49" s="228">
        <v>28.4</v>
      </c>
      <c r="W49" s="229">
        <v>6.8999999999999999E-3</v>
      </c>
      <c r="X49" s="228">
        <v>0.7</v>
      </c>
      <c r="Y49" s="228">
        <v>13.4</v>
      </c>
      <c r="Z49" s="228">
        <v>-12.7</v>
      </c>
      <c r="AA49" s="229">
        <v>2.0000000000000001E-4</v>
      </c>
      <c r="AB49" s="228">
        <v>0.7</v>
      </c>
      <c r="AC49" s="228">
        <v>13.4</v>
      </c>
      <c r="AD49" s="228">
        <v>-12.7</v>
      </c>
      <c r="AE49" s="229">
        <v>2.0000000000000001E-4</v>
      </c>
      <c r="AF49" s="228">
        <v>6.9</v>
      </c>
      <c r="AG49" s="228">
        <v>12.2</v>
      </c>
      <c r="AH49" s="228">
        <v>-5.3</v>
      </c>
      <c r="AI49" s="229">
        <v>1.6999999999999999E-3</v>
      </c>
      <c r="AJ49" s="228">
        <v>21.3</v>
      </c>
      <c r="AK49" s="228">
        <v>17.3</v>
      </c>
      <c r="AL49" s="228">
        <v>4</v>
      </c>
      <c r="AM49" s="229">
        <v>5.1999999999999998E-3</v>
      </c>
      <c r="AN49" s="231">
        <v>4126.5</v>
      </c>
      <c r="AO49" s="231">
        <v>4128.84</v>
      </c>
      <c r="AP49" s="228">
        <v>0</v>
      </c>
      <c r="AQ49" s="230">
        <v>11141</v>
      </c>
      <c r="AR49" s="230">
        <v>15678</v>
      </c>
      <c r="AS49" s="230">
        <v>-4537</v>
      </c>
      <c r="AT49" s="229">
        <v>-0.28939999999999999</v>
      </c>
      <c r="AU49" s="230">
        <v>9249</v>
      </c>
      <c r="AV49" s="230">
        <v>12884</v>
      </c>
      <c r="AW49" s="230">
        <v>-3635</v>
      </c>
      <c r="AX49" s="229">
        <v>-0.28210000000000002</v>
      </c>
      <c r="AY49" s="230">
        <v>1712</v>
      </c>
      <c r="AZ49" s="230">
        <v>2598</v>
      </c>
      <c r="BA49" s="228">
        <v>-886</v>
      </c>
      <c r="BB49" s="229">
        <v>-0.34100000000000003</v>
      </c>
      <c r="BC49" s="228">
        <v>180</v>
      </c>
      <c r="BD49" s="228">
        <v>196</v>
      </c>
      <c r="BE49" s="228">
        <v>-16</v>
      </c>
      <c r="BF49" s="229">
        <v>-8.1600000000000006E-2</v>
      </c>
      <c r="BG49" s="230">
        <v>64744</v>
      </c>
      <c r="BH49" s="230">
        <v>95027</v>
      </c>
      <c r="BI49" s="230">
        <v>-30283</v>
      </c>
      <c r="BJ49" s="229">
        <v>-0.31869999999999998</v>
      </c>
      <c r="BK49" s="230">
        <v>30978</v>
      </c>
      <c r="BL49" s="230">
        <v>44904</v>
      </c>
      <c r="BM49" s="230">
        <v>-13926</v>
      </c>
      <c r="BN49" s="229">
        <v>-0.31009999999999999</v>
      </c>
      <c r="BO49" s="230">
        <v>106863</v>
      </c>
      <c r="BP49" s="230">
        <v>155609</v>
      </c>
      <c r="BQ49" s="230">
        <v>-48746</v>
      </c>
      <c r="BR49" s="229">
        <v>-0.31330000000000002</v>
      </c>
      <c r="BS49" s="230">
        <v>1305505</v>
      </c>
      <c r="BT49" s="230">
        <v>1439671</v>
      </c>
      <c r="BU49" s="230">
        <v>-134166</v>
      </c>
      <c r="BV49" s="229">
        <v>-9.3200000000000005E-2</v>
      </c>
      <c r="BW49" s="230">
        <v>8166200</v>
      </c>
      <c r="BX49" s="230">
        <v>8108700</v>
      </c>
      <c r="BY49" s="230">
        <v>57500</v>
      </c>
      <c r="BZ49" s="229">
        <v>7.1000000000000004E-3</v>
      </c>
      <c r="CA49" s="230">
        <v>7003100</v>
      </c>
      <c r="CB49" s="230">
        <v>7008300</v>
      </c>
      <c r="CC49" s="230">
        <v>-5200</v>
      </c>
      <c r="CD49" s="229">
        <v>-6.9999999999999999E-4</v>
      </c>
      <c r="CE49" s="230">
        <v>1103800</v>
      </c>
      <c r="CF49" s="230">
        <v>1046400</v>
      </c>
      <c r="CG49" s="230">
        <v>57400</v>
      </c>
      <c r="CH49" s="229">
        <v>5.4899999999999997E-2</v>
      </c>
      <c r="CI49" s="230">
        <v>59300</v>
      </c>
      <c r="CJ49" s="230">
        <v>54000</v>
      </c>
      <c r="CK49" s="230">
        <v>5300</v>
      </c>
      <c r="CL49" s="229">
        <v>9.8100000000000007E-2</v>
      </c>
      <c r="CM49" s="230">
        <v>2923600</v>
      </c>
      <c r="CN49" s="230">
        <v>2749700</v>
      </c>
      <c r="CO49" s="230">
        <v>173900</v>
      </c>
      <c r="CP49" s="229">
        <v>6.3200000000000006E-2</v>
      </c>
      <c r="CQ49" s="230">
        <v>2511000</v>
      </c>
      <c r="CR49" s="230">
        <v>2462200</v>
      </c>
      <c r="CS49" s="230">
        <v>48800</v>
      </c>
      <c r="CT49" s="229">
        <v>1.9800000000000002E-2</v>
      </c>
      <c r="CU49" s="230">
        <v>13600800</v>
      </c>
      <c r="CV49" s="230">
        <v>13320600</v>
      </c>
      <c r="CW49" s="230">
        <v>280200</v>
      </c>
      <c r="CX49" s="229">
        <v>2.1000000000000001E-2</v>
      </c>
      <c r="CY49" s="228">
        <v>36.22</v>
      </c>
      <c r="CZ49" s="228">
        <v>37.94</v>
      </c>
      <c r="DA49" s="228">
        <v>-1.72</v>
      </c>
      <c r="DB49" s="228">
        <v>-1.72</v>
      </c>
      <c r="DC49" s="228">
        <v>44.13</v>
      </c>
      <c r="DD49" s="228">
        <v>44.23</v>
      </c>
      <c r="DE49" s="228">
        <v>-7.91</v>
      </c>
      <c r="DF49" s="228">
        <v>-0.1</v>
      </c>
      <c r="DG49" s="228">
        <v>34.97</v>
      </c>
      <c r="DH49" s="228">
        <v>36.299999999999997</v>
      </c>
      <c r="DI49" s="228">
        <v>-1.33</v>
      </c>
      <c r="DJ49" s="228">
        <v>-1.33</v>
      </c>
      <c r="DK49" s="228">
        <v>38.83</v>
      </c>
      <c r="DL49" s="228">
        <v>41.41</v>
      </c>
      <c r="DM49" s="228">
        <v>-2.58</v>
      </c>
      <c r="DN49" s="228">
        <v>-2.58</v>
      </c>
      <c r="DO49" s="228">
        <v>0.86</v>
      </c>
      <c r="DP49" s="228">
        <v>0.9</v>
      </c>
      <c r="DQ49" s="228">
        <v>-0.04</v>
      </c>
      <c r="DR49" s="229">
        <v>-4.4400000000000002E-2</v>
      </c>
      <c r="DS49" s="231">
        <v>4200</v>
      </c>
      <c r="DT49" s="231">
        <v>3800</v>
      </c>
      <c r="DU49" s="228">
        <v>0.48</v>
      </c>
      <c r="DV49" s="228">
        <v>0.47</v>
      </c>
      <c r="DW49" s="228">
        <v>0.01</v>
      </c>
      <c r="DX49" s="229">
        <v>2.1299999999999999E-2</v>
      </c>
      <c r="DY49" s="229">
        <v>0.1424</v>
      </c>
      <c r="DZ49" s="230">
        <v>1100400</v>
      </c>
      <c r="EA49" s="229">
        <v>1.5E-3</v>
      </c>
      <c r="EB49" s="229">
        <v>0.1424</v>
      </c>
      <c r="EC49" s="228">
        <v>2.34</v>
      </c>
      <c r="ED49" s="229">
        <v>5.9999999999999995E-4</v>
      </c>
      <c r="EE49" s="230">
        <v>460417</v>
      </c>
      <c r="EF49" s="230">
        <v>494660</v>
      </c>
      <c r="EG49" s="229">
        <v>-6.9199999999999998E-2</v>
      </c>
      <c r="EH49" s="229">
        <v>0.35270000000000001</v>
      </c>
      <c r="EI49" s="231">
        <v>278224.01</v>
      </c>
      <c r="EJ49" s="231">
        <v>124280.94</v>
      </c>
      <c r="EK49" s="231">
        <v>45979.64</v>
      </c>
      <c r="EL49" s="231">
        <v>10105</v>
      </c>
      <c r="EM49" s="231">
        <v>448484.59</v>
      </c>
      <c r="EN49" s="231">
        <v>642369.19999999995</v>
      </c>
      <c r="EO49" s="231">
        <v>-193884.61</v>
      </c>
      <c r="EP49" s="229">
        <v>-0.30180000000000001</v>
      </c>
      <c r="EQ49" s="231">
        <v>117520</v>
      </c>
      <c r="ER49" s="231">
        <v>93791</v>
      </c>
      <c r="ES49" s="231">
        <v>335581</v>
      </c>
      <c r="ET49" s="231">
        <v>33590487</v>
      </c>
      <c r="EU49" s="231">
        <v>546892</v>
      </c>
      <c r="EV49" s="231">
        <v>533213</v>
      </c>
      <c r="EW49" s="231">
        <v>13679</v>
      </c>
      <c r="EX49" s="229">
        <v>2.5700000000000001E-2</v>
      </c>
      <c r="EY49" s="229">
        <v>0.40489999999999998</v>
      </c>
    </row>
    <row r="50" spans="1:155" ht="17.25" thickBot="1" x14ac:dyDescent="0.3">
      <c r="A50" s="226">
        <v>46129</v>
      </c>
      <c r="B50" s="227" t="s">
        <v>157</v>
      </c>
      <c r="C50" s="227" t="s">
        <v>302</v>
      </c>
      <c r="D50" s="231">
        <v>11884</v>
      </c>
      <c r="E50" s="231">
        <v>11823</v>
      </c>
      <c r="F50" s="228">
        <v>61</v>
      </c>
      <c r="G50" s="229">
        <v>5.1999999999999998E-3</v>
      </c>
      <c r="H50" s="231">
        <v>11886</v>
      </c>
      <c r="I50" s="231">
        <v>11826</v>
      </c>
      <c r="J50" s="228">
        <v>60</v>
      </c>
      <c r="K50" s="229">
        <v>5.1000000000000004E-3</v>
      </c>
      <c r="L50" s="231">
        <v>11884</v>
      </c>
      <c r="M50" s="231">
        <v>11823</v>
      </c>
      <c r="N50" s="228">
        <v>61</v>
      </c>
      <c r="O50" s="229">
        <v>5.1999999999999998E-3</v>
      </c>
      <c r="P50" s="231">
        <v>11950</v>
      </c>
      <c r="Q50" s="231">
        <v>11888</v>
      </c>
      <c r="R50" s="228">
        <v>62</v>
      </c>
      <c r="S50" s="229">
        <v>5.1999999999999998E-3</v>
      </c>
      <c r="T50" s="231">
        <v>12016</v>
      </c>
      <c r="U50" s="231">
        <v>11952</v>
      </c>
      <c r="V50" s="228">
        <v>64</v>
      </c>
      <c r="W50" s="229">
        <v>5.4000000000000003E-3</v>
      </c>
      <c r="X50" s="228">
        <v>-2</v>
      </c>
      <c r="Y50" s="228">
        <v>-3</v>
      </c>
      <c r="Z50" s="228">
        <v>1</v>
      </c>
      <c r="AA50" s="229">
        <v>-2.0000000000000001E-4</v>
      </c>
      <c r="AB50" s="228">
        <v>-2</v>
      </c>
      <c r="AC50" s="228">
        <v>-3</v>
      </c>
      <c r="AD50" s="228">
        <v>1</v>
      </c>
      <c r="AE50" s="229">
        <v>-2.0000000000000001E-4</v>
      </c>
      <c r="AF50" s="228">
        <v>64</v>
      </c>
      <c r="AG50" s="228">
        <v>62</v>
      </c>
      <c r="AH50" s="228">
        <v>2</v>
      </c>
      <c r="AI50" s="229">
        <v>5.4000000000000003E-3</v>
      </c>
      <c r="AJ50" s="228">
        <v>130</v>
      </c>
      <c r="AK50" s="228">
        <v>126</v>
      </c>
      <c r="AL50" s="228">
        <v>4</v>
      </c>
      <c r="AM50" s="229">
        <v>1.09E-2</v>
      </c>
      <c r="AN50" s="231">
        <v>11879.14</v>
      </c>
      <c r="AO50" s="231">
        <v>11946.35</v>
      </c>
      <c r="AP50" s="228">
        <v>0</v>
      </c>
      <c r="AQ50" s="230">
        <v>8126</v>
      </c>
      <c r="AR50" s="230">
        <v>7442</v>
      </c>
      <c r="AS50" s="228">
        <v>684</v>
      </c>
      <c r="AT50" s="229">
        <v>9.1899999999999996E-2</v>
      </c>
      <c r="AU50" s="230">
        <v>6061</v>
      </c>
      <c r="AV50" s="230">
        <v>5894</v>
      </c>
      <c r="AW50" s="228">
        <v>167</v>
      </c>
      <c r="AX50" s="229">
        <v>2.8299999999999999E-2</v>
      </c>
      <c r="AY50" s="228">
        <v>249</v>
      </c>
      <c r="AZ50" s="228">
        <v>236</v>
      </c>
      <c r="BA50" s="228">
        <v>13</v>
      </c>
      <c r="BB50" s="229">
        <v>5.5100000000000003E-2</v>
      </c>
      <c r="BC50" s="230">
        <v>1816</v>
      </c>
      <c r="BD50" s="230">
        <v>1312</v>
      </c>
      <c r="BE50" s="228">
        <v>504</v>
      </c>
      <c r="BF50" s="229">
        <v>0.3841</v>
      </c>
      <c r="BG50" s="230">
        <v>16834</v>
      </c>
      <c r="BH50" s="230">
        <v>13252</v>
      </c>
      <c r="BI50" s="230">
        <v>3582</v>
      </c>
      <c r="BJ50" s="229">
        <v>0.27029999999999998</v>
      </c>
      <c r="BK50" s="230">
        <v>7882</v>
      </c>
      <c r="BL50" s="230">
        <v>6689</v>
      </c>
      <c r="BM50" s="230">
        <v>1193</v>
      </c>
      <c r="BN50" s="229">
        <v>0.1784</v>
      </c>
      <c r="BO50" s="230">
        <v>32842</v>
      </c>
      <c r="BP50" s="230">
        <v>27383</v>
      </c>
      <c r="BQ50" s="230">
        <v>5459</v>
      </c>
      <c r="BR50" s="229">
        <v>0.19939999999999999</v>
      </c>
      <c r="BS50" s="230">
        <v>170793</v>
      </c>
      <c r="BT50" s="230">
        <v>327301</v>
      </c>
      <c r="BU50" s="230">
        <v>-156508</v>
      </c>
      <c r="BV50" s="229">
        <v>-0.47820000000000001</v>
      </c>
      <c r="BW50" s="230">
        <v>2408850</v>
      </c>
      <c r="BX50" s="230">
        <v>2361350</v>
      </c>
      <c r="BY50" s="230">
        <v>47500</v>
      </c>
      <c r="BZ50" s="229">
        <v>2.01E-2</v>
      </c>
      <c r="CA50" s="230">
        <v>1961450</v>
      </c>
      <c r="CB50" s="230">
        <v>2008200</v>
      </c>
      <c r="CC50" s="230">
        <v>-46750</v>
      </c>
      <c r="CD50" s="229">
        <v>-2.3300000000000001E-2</v>
      </c>
      <c r="CE50" s="230">
        <v>206750</v>
      </c>
      <c r="CF50" s="230">
        <v>202650</v>
      </c>
      <c r="CG50" s="230">
        <v>4100</v>
      </c>
      <c r="CH50" s="229">
        <v>2.0199999999999999E-2</v>
      </c>
      <c r="CI50" s="230">
        <v>240650</v>
      </c>
      <c r="CJ50" s="230">
        <v>150500</v>
      </c>
      <c r="CK50" s="230">
        <v>90150</v>
      </c>
      <c r="CL50" s="229">
        <v>0.59899999999999998</v>
      </c>
      <c r="CM50" s="230">
        <v>696500</v>
      </c>
      <c r="CN50" s="230">
        <v>641550</v>
      </c>
      <c r="CO50" s="230">
        <v>54950</v>
      </c>
      <c r="CP50" s="229">
        <v>8.5699999999999998E-2</v>
      </c>
      <c r="CQ50" s="230">
        <v>429300</v>
      </c>
      <c r="CR50" s="230">
        <v>403600</v>
      </c>
      <c r="CS50" s="230">
        <v>25700</v>
      </c>
      <c r="CT50" s="229">
        <v>6.3700000000000007E-2</v>
      </c>
      <c r="CU50" s="230">
        <v>3534650</v>
      </c>
      <c r="CV50" s="230">
        <v>3406500</v>
      </c>
      <c r="CW50" s="230">
        <v>128150</v>
      </c>
      <c r="CX50" s="229">
        <v>3.7600000000000001E-2</v>
      </c>
      <c r="CY50" s="228">
        <v>29.23</v>
      </c>
      <c r="CZ50" s="228">
        <v>29.85</v>
      </c>
      <c r="DA50" s="228">
        <v>-0.62</v>
      </c>
      <c r="DB50" s="228">
        <v>-0.62</v>
      </c>
      <c r="DC50" s="228">
        <v>30.14</v>
      </c>
      <c r="DD50" s="228">
        <v>30.21</v>
      </c>
      <c r="DE50" s="228">
        <v>-0.91</v>
      </c>
      <c r="DF50" s="228">
        <v>-7.0000000000000007E-2</v>
      </c>
      <c r="DG50" s="228">
        <v>28.29</v>
      </c>
      <c r="DH50" s="228">
        <v>28.73</v>
      </c>
      <c r="DI50" s="228">
        <v>-0.44</v>
      </c>
      <c r="DJ50" s="228">
        <v>-0.44</v>
      </c>
      <c r="DK50" s="228">
        <v>31.22</v>
      </c>
      <c r="DL50" s="228">
        <v>32.07</v>
      </c>
      <c r="DM50" s="228">
        <v>-0.85</v>
      </c>
      <c r="DN50" s="228">
        <v>-0.85</v>
      </c>
      <c r="DO50" s="228">
        <v>0.62</v>
      </c>
      <c r="DP50" s="228">
        <v>0.63</v>
      </c>
      <c r="DQ50" s="228">
        <v>-0.01</v>
      </c>
      <c r="DR50" s="229">
        <v>-1.5900000000000001E-2</v>
      </c>
      <c r="DS50" s="231">
        <v>11800</v>
      </c>
      <c r="DT50" s="231">
        <v>11500</v>
      </c>
      <c r="DU50" s="228">
        <v>0.47</v>
      </c>
      <c r="DV50" s="228">
        <v>0.5</v>
      </c>
      <c r="DW50" s="228">
        <v>-0.03</v>
      </c>
      <c r="DX50" s="229">
        <v>-0.06</v>
      </c>
      <c r="DY50" s="229">
        <v>0.1857</v>
      </c>
      <c r="DZ50" s="230">
        <v>353150</v>
      </c>
      <c r="EA50" s="229">
        <v>5.5999999999999999E-3</v>
      </c>
      <c r="EB50" s="229">
        <v>0.1857</v>
      </c>
      <c r="EC50" s="228">
        <v>67.209999999999994</v>
      </c>
      <c r="ED50" s="229">
        <v>5.7000000000000002E-3</v>
      </c>
      <c r="EE50" s="230">
        <v>93359</v>
      </c>
      <c r="EF50" s="230">
        <v>188772</v>
      </c>
      <c r="EG50" s="229">
        <v>-0.50539999999999996</v>
      </c>
      <c r="EH50" s="229">
        <v>0.54659999999999997</v>
      </c>
      <c r="EI50" s="231">
        <v>103425.19</v>
      </c>
      <c r="EJ50" s="231">
        <v>43654.71</v>
      </c>
      <c r="EK50" s="231">
        <v>48406.13</v>
      </c>
      <c r="EL50" s="231">
        <v>4856</v>
      </c>
      <c r="EM50" s="231">
        <v>195486.03</v>
      </c>
      <c r="EN50" s="231">
        <v>163010.96</v>
      </c>
      <c r="EO50" s="231">
        <v>32475.07</v>
      </c>
      <c r="EP50" s="229">
        <v>0.19919999999999999</v>
      </c>
      <c r="EQ50" s="231">
        <v>83151</v>
      </c>
      <c r="ER50" s="231">
        <v>46623</v>
      </c>
      <c r="ES50" s="231">
        <v>286722</v>
      </c>
      <c r="ET50" s="231">
        <v>12994504</v>
      </c>
      <c r="EU50" s="231">
        <v>416496</v>
      </c>
      <c r="EV50" s="231">
        <v>399459</v>
      </c>
      <c r="EW50" s="231">
        <v>17037</v>
      </c>
      <c r="EX50" s="229">
        <v>4.2700000000000002E-2</v>
      </c>
      <c r="EY50" s="229">
        <v>0.27200000000000002</v>
      </c>
    </row>
    <row r="51" spans="1:155" ht="17.25" thickBot="1" x14ac:dyDescent="0.3">
      <c r="A51" s="226">
        <v>46129</v>
      </c>
      <c r="B51" s="227" t="s">
        <v>221</v>
      </c>
      <c r="C51" s="227" t="s">
        <v>306</v>
      </c>
      <c r="D51" s="228">
        <v>202.37</v>
      </c>
      <c r="E51" s="228">
        <v>204.81</v>
      </c>
      <c r="F51" s="228">
        <v>-2.44</v>
      </c>
      <c r="G51" s="229">
        <v>-1.1900000000000001E-2</v>
      </c>
      <c r="H51" s="228">
        <v>204.32</v>
      </c>
      <c r="I51" s="228">
        <v>210.26</v>
      </c>
      <c r="J51" s="228">
        <v>-5.94</v>
      </c>
      <c r="K51" s="229">
        <v>-2.8299999999999999E-2</v>
      </c>
      <c r="L51" s="228">
        <v>202.37</v>
      </c>
      <c r="M51" s="228">
        <v>204.81</v>
      </c>
      <c r="N51" s="228">
        <v>-2.44</v>
      </c>
      <c r="O51" s="229">
        <v>-1.1900000000000001E-2</v>
      </c>
      <c r="P51" s="228">
        <v>199.72</v>
      </c>
      <c r="Q51" s="228">
        <v>202.34</v>
      </c>
      <c r="R51" s="228">
        <v>-2.62</v>
      </c>
      <c r="S51" s="229">
        <v>-1.29E-2</v>
      </c>
      <c r="T51" s="228">
        <v>197.36</v>
      </c>
      <c r="U51" s="228">
        <v>200.58</v>
      </c>
      <c r="V51" s="228">
        <v>-3.22</v>
      </c>
      <c r="W51" s="229">
        <v>-1.61E-2</v>
      </c>
      <c r="X51" s="228">
        <v>-1.95</v>
      </c>
      <c r="Y51" s="228">
        <v>-5.45</v>
      </c>
      <c r="Z51" s="228">
        <v>3.5</v>
      </c>
      <c r="AA51" s="229">
        <v>-9.4999999999999998E-3</v>
      </c>
      <c r="AB51" s="228">
        <v>-1.95</v>
      </c>
      <c r="AC51" s="228">
        <v>-5.45</v>
      </c>
      <c r="AD51" s="228">
        <v>3.5</v>
      </c>
      <c r="AE51" s="229">
        <v>-9.4999999999999998E-3</v>
      </c>
      <c r="AF51" s="228">
        <v>-4.5999999999999996</v>
      </c>
      <c r="AG51" s="228">
        <v>-7.92</v>
      </c>
      <c r="AH51" s="228">
        <v>3.32</v>
      </c>
      <c r="AI51" s="229">
        <v>-2.2499999999999999E-2</v>
      </c>
      <c r="AJ51" s="228">
        <v>-6.96</v>
      </c>
      <c r="AK51" s="228">
        <v>-9.68</v>
      </c>
      <c r="AL51" s="228">
        <v>2.72</v>
      </c>
      <c r="AM51" s="229">
        <v>-3.4099999999999998E-2</v>
      </c>
      <c r="AN51" s="228">
        <v>200.22</v>
      </c>
      <c r="AO51" s="228">
        <v>197.51</v>
      </c>
      <c r="AP51" s="228">
        <v>0</v>
      </c>
      <c r="AQ51" s="230">
        <v>38031</v>
      </c>
      <c r="AR51" s="230">
        <v>21926</v>
      </c>
      <c r="AS51" s="230">
        <v>16105</v>
      </c>
      <c r="AT51" s="229">
        <v>0.73450000000000004</v>
      </c>
      <c r="AU51" s="230">
        <v>25417</v>
      </c>
      <c r="AV51" s="230">
        <v>16099</v>
      </c>
      <c r="AW51" s="230">
        <v>9318</v>
      </c>
      <c r="AX51" s="229">
        <v>0.57879999999999998</v>
      </c>
      <c r="AY51" s="230">
        <v>10544</v>
      </c>
      <c r="AZ51" s="230">
        <v>4997</v>
      </c>
      <c r="BA51" s="230">
        <v>5547</v>
      </c>
      <c r="BB51" s="229">
        <v>1.1101000000000001</v>
      </c>
      <c r="BC51" s="230">
        <v>2070</v>
      </c>
      <c r="BD51" s="228">
        <v>830</v>
      </c>
      <c r="BE51" s="230">
        <v>1240</v>
      </c>
      <c r="BF51" s="229">
        <v>1.494</v>
      </c>
      <c r="BG51" s="230">
        <v>150642</v>
      </c>
      <c r="BH51" s="230">
        <v>84232</v>
      </c>
      <c r="BI51" s="230">
        <v>66410</v>
      </c>
      <c r="BJ51" s="229">
        <v>0.78839999999999999</v>
      </c>
      <c r="BK51" s="230">
        <v>77670</v>
      </c>
      <c r="BL51" s="230">
        <v>37088</v>
      </c>
      <c r="BM51" s="230">
        <v>40582</v>
      </c>
      <c r="BN51" s="229">
        <v>1.0942000000000001</v>
      </c>
      <c r="BO51" s="230">
        <v>266343</v>
      </c>
      <c r="BP51" s="230">
        <v>143246</v>
      </c>
      <c r="BQ51" s="230">
        <v>123097</v>
      </c>
      <c r="BR51" s="229">
        <v>0.85929999999999995</v>
      </c>
      <c r="BS51" s="230">
        <v>84058228</v>
      </c>
      <c r="BT51" s="230">
        <v>38497660</v>
      </c>
      <c r="BU51" s="230">
        <v>45560568</v>
      </c>
      <c r="BV51" s="229">
        <v>1.1835</v>
      </c>
      <c r="BW51" s="230">
        <v>321855000</v>
      </c>
      <c r="BX51" s="230">
        <v>286140000</v>
      </c>
      <c r="BY51" s="230">
        <v>35715000</v>
      </c>
      <c r="BZ51" s="229">
        <v>0.12479999999999999</v>
      </c>
      <c r="CA51" s="230">
        <v>250206000</v>
      </c>
      <c r="CB51" s="230">
        <v>231714000</v>
      </c>
      <c r="CC51" s="230">
        <v>18492000</v>
      </c>
      <c r="CD51" s="229">
        <v>7.9799999999999996E-2</v>
      </c>
      <c r="CE51" s="230">
        <v>62709000</v>
      </c>
      <c r="CF51" s="230">
        <v>48726000</v>
      </c>
      <c r="CG51" s="230">
        <v>13983000</v>
      </c>
      <c r="CH51" s="229">
        <v>0.28699999999999998</v>
      </c>
      <c r="CI51" s="230">
        <v>8940000</v>
      </c>
      <c r="CJ51" s="230">
        <v>5700000</v>
      </c>
      <c r="CK51" s="230">
        <v>3240000</v>
      </c>
      <c r="CL51" s="229">
        <v>0.56840000000000002</v>
      </c>
      <c r="CM51" s="230">
        <v>170253000</v>
      </c>
      <c r="CN51" s="230">
        <v>136545000</v>
      </c>
      <c r="CO51" s="230">
        <v>33708000</v>
      </c>
      <c r="CP51" s="229">
        <v>0.24690000000000001</v>
      </c>
      <c r="CQ51" s="230">
        <v>83544000</v>
      </c>
      <c r="CR51" s="230">
        <v>69657000</v>
      </c>
      <c r="CS51" s="230">
        <v>13887000</v>
      </c>
      <c r="CT51" s="229">
        <v>0.19939999999999999</v>
      </c>
      <c r="CU51" s="230">
        <v>575652000</v>
      </c>
      <c r="CV51" s="230">
        <v>492342000</v>
      </c>
      <c r="CW51" s="230">
        <v>83310000</v>
      </c>
      <c r="CX51" s="229">
        <v>0.16919999999999999</v>
      </c>
      <c r="CY51" s="228">
        <v>29.24</v>
      </c>
      <c r="CZ51" s="228">
        <v>41.26</v>
      </c>
      <c r="DA51" s="228">
        <v>-12.02</v>
      </c>
      <c r="DB51" s="228">
        <v>-12.02</v>
      </c>
      <c r="DC51" s="228">
        <v>31.49</v>
      </c>
      <c r="DD51" s="228">
        <v>31.34</v>
      </c>
      <c r="DE51" s="228">
        <v>-2.25</v>
      </c>
      <c r="DF51" s="228">
        <v>0.15</v>
      </c>
      <c r="DG51" s="228">
        <v>29.66</v>
      </c>
      <c r="DH51" s="228">
        <v>41.81</v>
      </c>
      <c r="DI51" s="228">
        <v>-12.15</v>
      </c>
      <c r="DJ51" s="228">
        <v>-12.15</v>
      </c>
      <c r="DK51" s="228">
        <v>28.43</v>
      </c>
      <c r="DL51" s="228">
        <v>40.020000000000003</v>
      </c>
      <c r="DM51" s="228">
        <v>-11.59</v>
      </c>
      <c r="DN51" s="228">
        <v>-11.59</v>
      </c>
      <c r="DO51" s="228">
        <v>0.49</v>
      </c>
      <c r="DP51" s="228">
        <v>0.51</v>
      </c>
      <c r="DQ51" s="228">
        <v>-0.02</v>
      </c>
      <c r="DR51" s="229">
        <v>-3.9199999999999999E-2</v>
      </c>
      <c r="DS51" s="228">
        <v>210</v>
      </c>
      <c r="DT51" s="228">
        <v>200</v>
      </c>
      <c r="DU51" s="228">
        <v>0.52</v>
      </c>
      <c r="DV51" s="228">
        <v>0.44</v>
      </c>
      <c r="DW51" s="228">
        <v>0.08</v>
      </c>
      <c r="DX51" s="229">
        <v>0.18179999999999999</v>
      </c>
      <c r="DY51" s="229">
        <v>0.22259999999999999</v>
      </c>
      <c r="DZ51" s="230">
        <v>54426000</v>
      </c>
      <c r="EA51" s="229">
        <v>-1.3100000000000001E-2</v>
      </c>
      <c r="EB51" s="229">
        <v>0.22259999999999999</v>
      </c>
      <c r="EC51" s="228">
        <v>-2.71</v>
      </c>
      <c r="ED51" s="229">
        <v>-1.35E-2</v>
      </c>
      <c r="EE51" s="230">
        <v>40969364</v>
      </c>
      <c r="EF51" s="230">
        <v>18174433</v>
      </c>
      <c r="EG51" s="229">
        <v>1.2542</v>
      </c>
      <c r="EH51" s="229">
        <v>0.4874</v>
      </c>
      <c r="EI51" s="231">
        <v>965947.8</v>
      </c>
      <c r="EJ51" s="231">
        <v>468441.17</v>
      </c>
      <c r="EK51" s="231">
        <v>227293.73</v>
      </c>
      <c r="EL51" s="231">
        <v>21829</v>
      </c>
      <c r="EM51" s="231">
        <v>1661682.7</v>
      </c>
      <c r="EN51" s="231">
        <v>915176.18</v>
      </c>
      <c r="EO51" s="231">
        <v>746506.52</v>
      </c>
      <c r="EP51" s="229">
        <v>0.81569999999999998</v>
      </c>
      <c r="EQ51" s="231">
        <v>364662</v>
      </c>
      <c r="ER51" s="231">
        <v>164634</v>
      </c>
      <c r="ES51" s="231">
        <v>649228</v>
      </c>
      <c r="ET51" s="231">
        <v>428710078</v>
      </c>
      <c r="EU51" s="231">
        <v>1178524</v>
      </c>
      <c r="EV51" s="231">
        <v>1015566</v>
      </c>
      <c r="EW51" s="231">
        <v>162958</v>
      </c>
      <c r="EX51" s="229">
        <v>0.1605</v>
      </c>
      <c r="EY51" s="229">
        <v>1.3428</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C183" zoomScale="86" zoomScaleNormal="86" workbookViewId="0">
      <selection activeCell="C2" sqref="C2:C220"/>
    </sheetView>
  </sheetViews>
  <sheetFormatPr defaultRowHeight="15" x14ac:dyDescent="0.25"/>
  <cols>
    <col min="1" max="1" width="12.28515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425781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140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1.28515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3"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57031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9.140625"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710937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46129</v>
      </c>
      <c r="B2" s="227" t="s">
        <v>175</v>
      </c>
      <c r="C2" s="227" t="s">
        <v>680</v>
      </c>
      <c r="D2" s="228">
        <v>500</v>
      </c>
      <c r="E2" s="228">
        <v>11</v>
      </c>
      <c r="F2" s="231">
        <v>1114.6500000000001</v>
      </c>
      <c r="G2" s="231">
        <v>1074.8499999999999</v>
      </c>
      <c r="H2" s="228">
        <v>39.799999999999997</v>
      </c>
      <c r="I2" s="229">
        <v>3.6999999999999998E-2</v>
      </c>
      <c r="J2" s="231">
        <v>1113.3</v>
      </c>
      <c r="K2" s="231">
        <v>1076.45</v>
      </c>
      <c r="L2" s="228">
        <v>36.85</v>
      </c>
      <c r="M2" s="229">
        <v>3.4200000000000001E-2</v>
      </c>
      <c r="N2" s="231">
        <v>1114.6500000000001</v>
      </c>
      <c r="O2" s="231">
        <v>1074.8499999999999</v>
      </c>
      <c r="P2" s="228">
        <v>39.799999999999997</v>
      </c>
      <c r="Q2" s="229">
        <v>3.6999999999999998E-2</v>
      </c>
      <c r="R2" s="231">
        <v>1114.3499999999999</v>
      </c>
      <c r="S2" s="231">
        <v>1072.3499999999999</v>
      </c>
      <c r="T2" s="228">
        <v>42</v>
      </c>
      <c r="U2" s="229">
        <v>3.9199999999999999E-2</v>
      </c>
      <c r="V2" s="231">
        <v>1114.5999999999999</v>
      </c>
      <c r="W2" s="231">
        <v>1072.75</v>
      </c>
      <c r="X2" s="228">
        <v>41.85</v>
      </c>
      <c r="Y2" s="229">
        <v>3.9E-2</v>
      </c>
      <c r="Z2" s="228">
        <v>1.35</v>
      </c>
      <c r="AA2" s="228">
        <v>-1.6</v>
      </c>
      <c r="AB2" s="228">
        <v>2.95</v>
      </c>
      <c r="AC2" s="229">
        <v>1.1999999999999999E-3</v>
      </c>
      <c r="AD2" s="228">
        <v>1.35</v>
      </c>
      <c r="AE2" s="228">
        <v>-1.6</v>
      </c>
      <c r="AF2" s="228">
        <v>2.95</v>
      </c>
      <c r="AG2" s="229">
        <v>1.1999999999999999E-3</v>
      </c>
      <c r="AH2" s="228">
        <v>1.05</v>
      </c>
      <c r="AI2" s="228">
        <v>-4.0999999999999996</v>
      </c>
      <c r="AJ2" s="228">
        <v>5.15</v>
      </c>
      <c r="AK2" s="229">
        <v>8.9999999999999998E-4</v>
      </c>
      <c r="AL2" s="228">
        <v>1.3</v>
      </c>
      <c r="AM2" s="228">
        <v>-3.7</v>
      </c>
      <c r="AN2" s="228">
        <v>5</v>
      </c>
      <c r="AO2" s="229">
        <v>1.1999999999999999E-3</v>
      </c>
      <c r="AP2" s="231">
        <v>1105.6400000000001</v>
      </c>
      <c r="AQ2" s="231">
        <v>1105.02</v>
      </c>
      <c r="AR2" s="228">
        <v>0</v>
      </c>
      <c r="AS2" s="228">
        <v>281</v>
      </c>
      <c r="AT2" s="228">
        <v>142</v>
      </c>
      <c r="AU2" s="228">
        <v>139</v>
      </c>
      <c r="AV2" s="229">
        <v>0.98460000000000003</v>
      </c>
      <c r="AW2" s="228">
        <v>267</v>
      </c>
      <c r="AX2" s="228">
        <v>125</v>
      </c>
      <c r="AY2" s="228">
        <v>142</v>
      </c>
      <c r="AZ2" s="229">
        <v>1.1315999999999999</v>
      </c>
      <c r="BA2" s="228">
        <v>13</v>
      </c>
      <c r="BB2" s="228">
        <v>16</v>
      </c>
      <c r="BC2" s="228">
        <v>-2</v>
      </c>
      <c r="BD2" s="229">
        <v>-0.15409999999999999</v>
      </c>
      <c r="BE2" s="228">
        <v>1</v>
      </c>
      <c r="BF2" s="228">
        <v>1</v>
      </c>
      <c r="BG2" s="228">
        <v>0</v>
      </c>
      <c r="BH2" s="229">
        <v>-0.18179999999999999</v>
      </c>
      <c r="BI2" s="228">
        <v>574</v>
      </c>
      <c r="BJ2" s="228">
        <v>239</v>
      </c>
      <c r="BK2" s="228">
        <v>335</v>
      </c>
      <c r="BL2" s="229">
        <v>1.3982000000000001</v>
      </c>
      <c r="BM2" s="228">
        <v>311</v>
      </c>
      <c r="BN2" s="228">
        <v>235</v>
      </c>
      <c r="BO2" s="228">
        <v>77</v>
      </c>
      <c r="BP2" s="229">
        <v>0.32719999999999999</v>
      </c>
      <c r="BQ2" s="230">
        <v>1167</v>
      </c>
      <c r="BR2" s="228">
        <v>616</v>
      </c>
      <c r="BS2" s="228">
        <v>551</v>
      </c>
      <c r="BT2" s="229">
        <v>0.89490000000000003</v>
      </c>
      <c r="BU2" s="230">
        <v>2736312</v>
      </c>
      <c r="BV2" s="230">
        <v>818150</v>
      </c>
      <c r="BW2" s="230">
        <v>1918162</v>
      </c>
      <c r="BX2" s="229">
        <v>2.3445</v>
      </c>
      <c r="BY2" s="228">
        <v>658</v>
      </c>
      <c r="BZ2" s="228">
        <v>632</v>
      </c>
      <c r="CA2" s="228">
        <v>27</v>
      </c>
      <c r="CB2" s="229">
        <v>4.24E-2</v>
      </c>
      <c r="CC2" s="228">
        <v>600</v>
      </c>
      <c r="CD2" s="228">
        <v>573</v>
      </c>
      <c r="CE2" s="228">
        <v>26</v>
      </c>
      <c r="CF2" s="229">
        <v>4.58E-2</v>
      </c>
      <c r="CG2" s="228">
        <v>58</v>
      </c>
      <c r="CH2" s="228">
        <v>57</v>
      </c>
      <c r="CI2" s="228">
        <v>1</v>
      </c>
      <c r="CJ2" s="229">
        <v>1.17E-2</v>
      </c>
      <c r="CK2" s="228">
        <v>1</v>
      </c>
      <c r="CL2" s="228">
        <v>1</v>
      </c>
      <c r="CM2" s="228">
        <v>0</v>
      </c>
      <c r="CN2" s="229">
        <v>-0.23080000000000001</v>
      </c>
      <c r="CO2" s="228">
        <v>198</v>
      </c>
      <c r="CP2" s="228">
        <v>164</v>
      </c>
      <c r="CQ2" s="228">
        <v>35</v>
      </c>
      <c r="CR2" s="229">
        <v>0.21079999999999999</v>
      </c>
      <c r="CS2" s="228">
        <v>243</v>
      </c>
      <c r="CT2" s="228">
        <v>208</v>
      </c>
      <c r="CU2" s="228">
        <v>36</v>
      </c>
      <c r="CV2" s="229">
        <v>0.17119999999999999</v>
      </c>
      <c r="CW2" s="230">
        <v>1100</v>
      </c>
      <c r="CX2" s="230">
        <v>1003</v>
      </c>
      <c r="CY2" s="228">
        <v>97</v>
      </c>
      <c r="CZ2" s="229">
        <v>9.6600000000000005E-2</v>
      </c>
      <c r="DA2" s="228">
        <v>43</v>
      </c>
      <c r="DB2" s="228">
        <v>43.15</v>
      </c>
      <c r="DC2" s="228">
        <v>-0.15</v>
      </c>
      <c r="DD2" s="228">
        <v>-0.15</v>
      </c>
      <c r="DE2" s="228">
        <v>42.18</v>
      </c>
      <c r="DF2" s="228">
        <v>42.01</v>
      </c>
      <c r="DG2" s="228">
        <v>0.82</v>
      </c>
      <c r="DH2" s="228">
        <v>0.17</v>
      </c>
      <c r="DI2" s="228">
        <v>42.41</v>
      </c>
      <c r="DJ2" s="228">
        <v>41.09</v>
      </c>
      <c r="DK2" s="228">
        <v>1.32</v>
      </c>
      <c r="DL2" s="228">
        <v>1.32</v>
      </c>
      <c r="DM2" s="228">
        <v>44.08</v>
      </c>
      <c r="DN2" s="228">
        <v>45.24</v>
      </c>
      <c r="DO2" s="228">
        <v>-1.1599999999999999</v>
      </c>
      <c r="DP2" s="228">
        <v>-1.1599999999999999</v>
      </c>
      <c r="DQ2" s="228">
        <v>1.23</v>
      </c>
      <c r="DR2" s="228">
        <v>1.27</v>
      </c>
      <c r="DS2" s="228">
        <v>-0.04</v>
      </c>
      <c r="DT2" s="229">
        <v>-3.15E-2</v>
      </c>
      <c r="DU2" s="231">
        <v>1100</v>
      </c>
      <c r="DV2" s="231">
        <v>1000</v>
      </c>
      <c r="DW2" s="228">
        <v>0.54</v>
      </c>
      <c r="DX2" s="228">
        <v>0.98</v>
      </c>
      <c r="DY2" s="228">
        <v>-0.44</v>
      </c>
      <c r="DZ2" s="229">
        <v>-0.44900000000000001</v>
      </c>
      <c r="EA2" s="229">
        <v>8.9099999999999999E-2</v>
      </c>
      <c r="EB2" s="230">
        <v>521500</v>
      </c>
      <c r="EC2" s="229">
        <v>-2.9999999999999997E-4</v>
      </c>
      <c r="ED2" s="229">
        <v>8.9099999999999999E-2</v>
      </c>
      <c r="EE2" s="228">
        <v>-0.62</v>
      </c>
      <c r="EF2" s="229">
        <v>-5.9999999999999995E-4</v>
      </c>
      <c r="EG2" s="230">
        <v>1560255</v>
      </c>
      <c r="EH2" s="230">
        <v>353477</v>
      </c>
      <c r="EI2" s="229">
        <v>3.4140000000000001</v>
      </c>
      <c r="EJ2" s="229">
        <v>0.57020000000000004</v>
      </c>
      <c r="EK2" s="228">
        <v>597.45000000000005</v>
      </c>
      <c r="EL2" s="228">
        <v>290.89999999999998</v>
      </c>
      <c r="EM2" s="228">
        <v>278.67</v>
      </c>
      <c r="EN2" s="228">
        <v>26.11</v>
      </c>
      <c r="EO2" s="231">
        <v>1167.02</v>
      </c>
      <c r="EP2" s="228">
        <v>596.04999999999995</v>
      </c>
      <c r="EQ2" s="228">
        <v>570.97</v>
      </c>
      <c r="ER2" s="229">
        <v>0.95789999999999997</v>
      </c>
      <c r="ES2" s="228">
        <v>197.64</v>
      </c>
      <c r="ET2" s="228">
        <v>220.47</v>
      </c>
      <c r="EU2" s="228">
        <v>658.24</v>
      </c>
      <c r="EV2" s="231">
        <v>37756901</v>
      </c>
      <c r="EW2" s="231">
        <v>1076.3499999999999</v>
      </c>
      <c r="EX2" s="228">
        <v>952.94</v>
      </c>
      <c r="EY2" s="228">
        <v>123.41</v>
      </c>
      <c r="EZ2" s="229">
        <v>0.1295</v>
      </c>
      <c r="FA2" s="229">
        <v>0.26140000000000002</v>
      </c>
      <c r="FB2" s="227" t="s">
        <v>555</v>
      </c>
      <c r="FC2">
        <f>BY2-CC2</f>
        <v>58</v>
      </c>
    </row>
    <row r="3" spans="1:159" ht="17.25" thickBot="1" x14ac:dyDescent="0.3">
      <c r="A3" s="226">
        <v>46129</v>
      </c>
      <c r="B3" s="227" t="s">
        <v>184</v>
      </c>
      <c r="C3" s="227" t="s">
        <v>553</v>
      </c>
      <c r="D3" s="228">
        <v>125</v>
      </c>
      <c r="E3" s="228">
        <v>11</v>
      </c>
      <c r="F3" s="231">
        <v>7037</v>
      </c>
      <c r="G3" s="231">
        <v>6885</v>
      </c>
      <c r="H3" s="228">
        <v>152</v>
      </c>
      <c r="I3" s="229">
        <v>2.2100000000000002E-2</v>
      </c>
      <c r="J3" s="231">
        <v>7029.5</v>
      </c>
      <c r="K3" s="231">
        <v>6883.5</v>
      </c>
      <c r="L3" s="228">
        <v>146</v>
      </c>
      <c r="M3" s="229">
        <v>2.12E-2</v>
      </c>
      <c r="N3" s="231">
        <v>7037</v>
      </c>
      <c r="O3" s="231">
        <v>6885</v>
      </c>
      <c r="P3" s="228">
        <v>152</v>
      </c>
      <c r="Q3" s="229">
        <v>2.2100000000000002E-2</v>
      </c>
      <c r="R3" s="231">
        <v>6985</v>
      </c>
      <c r="S3" s="231">
        <v>6841.5</v>
      </c>
      <c r="T3" s="228">
        <v>143.5</v>
      </c>
      <c r="U3" s="229">
        <v>2.1000000000000001E-2</v>
      </c>
      <c r="V3" s="231">
        <v>6969</v>
      </c>
      <c r="W3" s="231">
        <v>6815</v>
      </c>
      <c r="X3" s="228">
        <v>154</v>
      </c>
      <c r="Y3" s="229">
        <v>2.2599999999999999E-2</v>
      </c>
      <c r="Z3" s="228">
        <v>7.5</v>
      </c>
      <c r="AA3" s="228">
        <v>1.5</v>
      </c>
      <c r="AB3" s="228">
        <v>6</v>
      </c>
      <c r="AC3" s="229">
        <v>1.1000000000000001E-3</v>
      </c>
      <c r="AD3" s="228">
        <v>7.5</v>
      </c>
      <c r="AE3" s="228">
        <v>1.5</v>
      </c>
      <c r="AF3" s="228">
        <v>6</v>
      </c>
      <c r="AG3" s="229">
        <v>1.1000000000000001E-3</v>
      </c>
      <c r="AH3" s="228">
        <v>-44.5</v>
      </c>
      <c r="AI3" s="228">
        <v>-42</v>
      </c>
      <c r="AJ3" s="228">
        <v>-2.5</v>
      </c>
      <c r="AK3" s="229">
        <v>-6.3E-3</v>
      </c>
      <c r="AL3" s="228">
        <v>-60.5</v>
      </c>
      <c r="AM3" s="228">
        <v>-68.5</v>
      </c>
      <c r="AN3" s="228">
        <v>8</v>
      </c>
      <c r="AO3" s="229">
        <v>-8.6E-3</v>
      </c>
      <c r="AP3" s="231">
        <v>7012.19</v>
      </c>
      <c r="AQ3" s="231">
        <v>6962.88</v>
      </c>
      <c r="AR3" s="228">
        <v>0</v>
      </c>
      <c r="AS3" s="228">
        <v>440</v>
      </c>
      <c r="AT3" s="228">
        <v>452</v>
      </c>
      <c r="AU3" s="228">
        <v>-12</v>
      </c>
      <c r="AV3" s="229">
        <v>-2.63E-2</v>
      </c>
      <c r="AW3" s="228">
        <v>382</v>
      </c>
      <c r="AX3" s="228">
        <v>371</v>
      </c>
      <c r="AY3" s="228">
        <v>11</v>
      </c>
      <c r="AZ3" s="229">
        <v>2.9600000000000001E-2</v>
      </c>
      <c r="BA3" s="228">
        <v>53</v>
      </c>
      <c r="BB3" s="228">
        <v>77</v>
      </c>
      <c r="BC3" s="228">
        <v>-24</v>
      </c>
      <c r="BD3" s="229">
        <v>-0.31559999999999999</v>
      </c>
      <c r="BE3" s="228">
        <v>4</v>
      </c>
      <c r="BF3" s="228">
        <v>3</v>
      </c>
      <c r="BG3" s="228">
        <v>2</v>
      </c>
      <c r="BH3" s="229">
        <v>0.5806</v>
      </c>
      <c r="BI3" s="230">
        <v>2949</v>
      </c>
      <c r="BJ3" s="230">
        <v>1492</v>
      </c>
      <c r="BK3" s="230">
        <v>1457</v>
      </c>
      <c r="BL3" s="229">
        <v>0.97689999999999999</v>
      </c>
      <c r="BM3" s="230">
        <v>1405</v>
      </c>
      <c r="BN3" s="230">
        <v>1224</v>
      </c>
      <c r="BO3" s="228">
        <v>182</v>
      </c>
      <c r="BP3" s="229">
        <v>0.14849999999999999</v>
      </c>
      <c r="BQ3" s="230">
        <v>4794</v>
      </c>
      <c r="BR3" s="230">
        <v>3167</v>
      </c>
      <c r="BS3" s="230">
        <v>1627</v>
      </c>
      <c r="BT3" s="229">
        <v>0.51380000000000003</v>
      </c>
      <c r="BU3" s="230">
        <v>576988</v>
      </c>
      <c r="BV3" s="230">
        <v>559911</v>
      </c>
      <c r="BW3" s="230">
        <v>17077</v>
      </c>
      <c r="BX3" s="229">
        <v>3.0499999999999999E-2</v>
      </c>
      <c r="BY3" s="230">
        <v>1691</v>
      </c>
      <c r="BZ3" s="230">
        <v>1684</v>
      </c>
      <c r="CA3" s="228">
        <v>7</v>
      </c>
      <c r="CB3" s="229">
        <v>4.4000000000000003E-3</v>
      </c>
      <c r="CC3" s="230">
        <v>1581</v>
      </c>
      <c r="CD3" s="230">
        <v>1583</v>
      </c>
      <c r="CE3" s="228">
        <v>-2</v>
      </c>
      <c r="CF3" s="229">
        <v>-1.1000000000000001E-3</v>
      </c>
      <c r="CG3" s="228">
        <v>97</v>
      </c>
      <c r="CH3" s="228">
        <v>88</v>
      </c>
      <c r="CI3" s="228">
        <v>8</v>
      </c>
      <c r="CJ3" s="229">
        <v>9.5500000000000002E-2</v>
      </c>
      <c r="CK3" s="228">
        <v>13</v>
      </c>
      <c r="CL3" s="228">
        <v>12</v>
      </c>
      <c r="CM3" s="228">
        <v>1</v>
      </c>
      <c r="CN3" s="229">
        <v>5.8000000000000003E-2</v>
      </c>
      <c r="CO3" s="228">
        <v>703</v>
      </c>
      <c r="CP3" s="228">
        <v>689</v>
      </c>
      <c r="CQ3" s="228">
        <v>14</v>
      </c>
      <c r="CR3" s="229">
        <v>2.07E-2</v>
      </c>
      <c r="CS3" s="228">
        <v>796</v>
      </c>
      <c r="CT3" s="228">
        <v>737</v>
      </c>
      <c r="CU3" s="228">
        <v>59</v>
      </c>
      <c r="CV3" s="229">
        <v>8.0399999999999999E-2</v>
      </c>
      <c r="CW3" s="230">
        <v>3191</v>
      </c>
      <c r="CX3" s="230">
        <v>3110</v>
      </c>
      <c r="CY3" s="228">
        <v>81</v>
      </c>
      <c r="CZ3" s="229">
        <v>2.5999999999999999E-2</v>
      </c>
      <c r="DA3" s="228">
        <v>33.28</v>
      </c>
      <c r="DB3" s="228">
        <v>34.29</v>
      </c>
      <c r="DC3" s="228">
        <v>-1.01</v>
      </c>
      <c r="DD3" s="228">
        <v>-1.01</v>
      </c>
      <c r="DE3" s="228">
        <v>37.11</v>
      </c>
      <c r="DF3" s="228">
        <v>37.090000000000003</v>
      </c>
      <c r="DG3" s="228">
        <v>-3.83</v>
      </c>
      <c r="DH3" s="228">
        <v>0.02</v>
      </c>
      <c r="DI3" s="228">
        <v>31.92</v>
      </c>
      <c r="DJ3" s="228">
        <v>32.79</v>
      </c>
      <c r="DK3" s="228">
        <v>-0.87</v>
      </c>
      <c r="DL3" s="228">
        <v>-0.87</v>
      </c>
      <c r="DM3" s="228">
        <v>36.119999999999997</v>
      </c>
      <c r="DN3" s="228">
        <v>36.119999999999997</v>
      </c>
      <c r="DO3" s="228">
        <v>0</v>
      </c>
      <c r="DP3" s="228">
        <v>0</v>
      </c>
      <c r="DQ3" s="228">
        <v>1.1299999999999999</v>
      </c>
      <c r="DR3" s="228">
        <v>1.07</v>
      </c>
      <c r="DS3" s="228">
        <v>0.06</v>
      </c>
      <c r="DT3" s="229">
        <v>5.6099999999999997E-2</v>
      </c>
      <c r="DU3" s="231">
        <v>7000</v>
      </c>
      <c r="DV3" s="231">
        <v>6000</v>
      </c>
      <c r="DW3" s="228">
        <v>0.48</v>
      </c>
      <c r="DX3" s="228">
        <v>0.82</v>
      </c>
      <c r="DY3" s="228">
        <v>-0.34</v>
      </c>
      <c r="DZ3" s="229">
        <v>-0.41460000000000002</v>
      </c>
      <c r="EA3" s="229">
        <v>6.4899999999999999E-2</v>
      </c>
      <c r="EB3" s="230">
        <v>142875</v>
      </c>
      <c r="EC3" s="229">
        <v>-7.4000000000000003E-3</v>
      </c>
      <c r="ED3" s="229">
        <v>6.4899999999999999E-2</v>
      </c>
      <c r="EE3" s="228">
        <v>-49.31</v>
      </c>
      <c r="EF3" s="229">
        <v>-7.0000000000000001E-3</v>
      </c>
      <c r="EG3" s="230">
        <v>246166</v>
      </c>
      <c r="EH3" s="230">
        <v>278021</v>
      </c>
      <c r="EI3" s="229">
        <v>-0.11459999999999999</v>
      </c>
      <c r="EJ3" s="229">
        <v>0.42659999999999998</v>
      </c>
      <c r="EK3" s="231">
        <v>3042.09</v>
      </c>
      <c r="EL3" s="231">
        <v>1351.73</v>
      </c>
      <c r="EM3" s="228">
        <v>437.76</v>
      </c>
      <c r="EN3" s="228">
        <v>48.53</v>
      </c>
      <c r="EO3" s="231">
        <v>4831.58</v>
      </c>
      <c r="EP3" s="231">
        <v>3133.96</v>
      </c>
      <c r="EQ3" s="231">
        <v>1697.63</v>
      </c>
      <c r="ER3" s="229">
        <v>0.54169999999999996</v>
      </c>
      <c r="ES3" s="228">
        <v>692.33</v>
      </c>
      <c r="ET3" s="228">
        <v>724.29</v>
      </c>
      <c r="EU3" s="231">
        <v>1690.24</v>
      </c>
      <c r="EV3" s="231">
        <v>7946564</v>
      </c>
      <c r="EW3" s="231">
        <v>3106.86</v>
      </c>
      <c r="EX3" s="231">
        <v>2981.86</v>
      </c>
      <c r="EY3" s="228">
        <v>125</v>
      </c>
      <c r="EZ3" s="229">
        <v>4.19E-2</v>
      </c>
      <c r="FA3" s="229">
        <v>0.5706</v>
      </c>
      <c r="FB3" s="227" t="s">
        <v>555</v>
      </c>
      <c r="FC3">
        <f t="shared" ref="FC3:FC66" si="0">BY3-CC3</f>
        <v>110</v>
      </c>
    </row>
    <row r="4" spans="1:159" ht="17.25" thickBot="1" x14ac:dyDescent="0.3">
      <c r="A4" s="226">
        <v>46129</v>
      </c>
      <c r="B4" s="227" t="s">
        <v>175</v>
      </c>
      <c r="C4" s="227" t="s">
        <v>544</v>
      </c>
      <c r="D4" s="228">
        <v>3100</v>
      </c>
      <c r="E4" s="228">
        <v>11</v>
      </c>
      <c r="F4" s="228">
        <v>340.8</v>
      </c>
      <c r="G4" s="228">
        <v>338.05</v>
      </c>
      <c r="H4" s="228">
        <v>2.75</v>
      </c>
      <c r="I4" s="229">
        <v>8.0999999999999996E-3</v>
      </c>
      <c r="J4" s="228">
        <v>340.4</v>
      </c>
      <c r="K4" s="228">
        <v>337.95</v>
      </c>
      <c r="L4" s="228">
        <v>2.4500000000000002</v>
      </c>
      <c r="M4" s="229">
        <v>7.1999999999999998E-3</v>
      </c>
      <c r="N4" s="228">
        <v>340.8</v>
      </c>
      <c r="O4" s="228">
        <v>338.05</v>
      </c>
      <c r="P4" s="228">
        <v>2.75</v>
      </c>
      <c r="Q4" s="229">
        <v>8.0999999999999996E-3</v>
      </c>
      <c r="R4" s="228">
        <v>343.1</v>
      </c>
      <c r="S4" s="228">
        <v>340.2</v>
      </c>
      <c r="T4" s="228">
        <v>2.9</v>
      </c>
      <c r="U4" s="229">
        <v>8.5000000000000006E-3</v>
      </c>
      <c r="V4" s="228">
        <v>345.15</v>
      </c>
      <c r="W4" s="228">
        <v>342.25</v>
      </c>
      <c r="X4" s="228">
        <v>2.9</v>
      </c>
      <c r="Y4" s="229">
        <v>8.5000000000000006E-3</v>
      </c>
      <c r="Z4" s="228">
        <v>0.4</v>
      </c>
      <c r="AA4" s="228">
        <v>0.1</v>
      </c>
      <c r="AB4" s="228">
        <v>0.3</v>
      </c>
      <c r="AC4" s="229">
        <v>1.1999999999999999E-3</v>
      </c>
      <c r="AD4" s="228">
        <v>0.4</v>
      </c>
      <c r="AE4" s="228">
        <v>0.1</v>
      </c>
      <c r="AF4" s="228">
        <v>0.3</v>
      </c>
      <c r="AG4" s="229">
        <v>1.1999999999999999E-3</v>
      </c>
      <c r="AH4" s="228">
        <v>2.7</v>
      </c>
      <c r="AI4" s="228">
        <v>2.25</v>
      </c>
      <c r="AJ4" s="228">
        <v>0.45</v>
      </c>
      <c r="AK4" s="229">
        <v>7.9000000000000008E-3</v>
      </c>
      <c r="AL4" s="228">
        <v>4.75</v>
      </c>
      <c r="AM4" s="228">
        <v>4.3</v>
      </c>
      <c r="AN4" s="228">
        <v>0.45</v>
      </c>
      <c r="AO4" s="229">
        <v>1.4E-2</v>
      </c>
      <c r="AP4" s="228">
        <v>338.67</v>
      </c>
      <c r="AQ4" s="228">
        <v>340.93</v>
      </c>
      <c r="AR4" s="228">
        <v>0</v>
      </c>
      <c r="AS4" s="228">
        <v>221</v>
      </c>
      <c r="AT4" s="228">
        <v>314</v>
      </c>
      <c r="AU4" s="228">
        <v>-94</v>
      </c>
      <c r="AV4" s="229">
        <v>-0.29820000000000002</v>
      </c>
      <c r="AW4" s="228">
        <v>205</v>
      </c>
      <c r="AX4" s="228">
        <v>298</v>
      </c>
      <c r="AY4" s="228">
        <v>-93</v>
      </c>
      <c r="AZ4" s="229">
        <v>-0.31119999999999998</v>
      </c>
      <c r="BA4" s="228">
        <v>14</v>
      </c>
      <c r="BB4" s="228">
        <v>15</v>
      </c>
      <c r="BC4" s="228">
        <v>-1</v>
      </c>
      <c r="BD4" s="229">
        <v>-7.9100000000000004E-2</v>
      </c>
      <c r="BE4" s="228">
        <v>2</v>
      </c>
      <c r="BF4" s="228">
        <v>2</v>
      </c>
      <c r="BG4" s="228">
        <v>0</v>
      </c>
      <c r="BH4" s="229">
        <v>5.5599999999999997E-2</v>
      </c>
      <c r="BI4" s="230">
        <v>1828</v>
      </c>
      <c r="BJ4" s="228">
        <v>524</v>
      </c>
      <c r="BK4" s="230">
        <v>1305</v>
      </c>
      <c r="BL4" s="229">
        <v>2.4914000000000001</v>
      </c>
      <c r="BM4" s="228">
        <v>433</v>
      </c>
      <c r="BN4" s="228">
        <v>312</v>
      </c>
      <c r="BO4" s="228">
        <v>121</v>
      </c>
      <c r="BP4" s="229">
        <v>0.38629999999999998</v>
      </c>
      <c r="BQ4" s="230">
        <v>2482</v>
      </c>
      <c r="BR4" s="230">
        <v>1150</v>
      </c>
      <c r="BS4" s="230">
        <v>1332</v>
      </c>
      <c r="BT4" s="229">
        <v>1.1577</v>
      </c>
      <c r="BU4" s="230">
        <v>2816760</v>
      </c>
      <c r="BV4" s="230">
        <v>4308479</v>
      </c>
      <c r="BW4" s="230">
        <v>-1491719</v>
      </c>
      <c r="BX4" s="229">
        <v>-0.34620000000000001</v>
      </c>
      <c r="BY4" s="230">
        <v>1484</v>
      </c>
      <c r="BZ4" s="230">
        <v>1501</v>
      </c>
      <c r="CA4" s="228">
        <v>-17</v>
      </c>
      <c r="CB4" s="229">
        <v>-1.11E-2</v>
      </c>
      <c r="CC4" s="230">
        <v>1450</v>
      </c>
      <c r="CD4" s="230">
        <v>1472</v>
      </c>
      <c r="CE4" s="228">
        <v>-21</v>
      </c>
      <c r="CF4" s="229">
        <v>-1.46E-2</v>
      </c>
      <c r="CG4" s="228">
        <v>29</v>
      </c>
      <c r="CH4" s="228">
        <v>24</v>
      </c>
      <c r="CI4" s="228">
        <v>5</v>
      </c>
      <c r="CJ4" s="229">
        <v>0.21829999999999999</v>
      </c>
      <c r="CK4" s="228">
        <v>4</v>
      </c>
      <c r="CL4" s="228">
        <v>4</v>
      </c>
      <c r="CM4" s="228">
        <v>0</v>
      </c>
      <c r="CN4" s="229">
        <v>-9.5200000000000007E-2</v>
      </c>
      <c r="CO4" s="228">
        <v>560</v>
      </c>
      <c r="CP4" s="228">
        <v>387</v>
      </c>
      <c r="CQ4" s="228">
        <v>173</v>
      </c>
      <c r="CR4" s="229">
        <v>0.44679999999999997</v>
      </c>
      <c r="CS4" s="228">
        <v>344</v>
      </c>
      <c r="CT4" s="228">
        <v>303</v>
      </c>
      <c r="CU4" s="228">
        <v>42</v>
      </c>
      <c r="CV4" s="229">
        <v>0.1376</v>
      </c>
      <c r="CW4" s="230">
        <v>2388</v>
      </c>
      <c r="CX4" s="230">
        <v>2190</v>
      </c>
      <c r="CY4" s="228">
        <v>198</v>
      </c>
      <c r="CZ4" s="229">
        <v>9.0399999999999994E-2</v>
      </c>
      <c r="DA4" s="228">
        <v>40.07</v>
      </c>
      <c r="DB4" s="228">
        <v>41.96</v>
      </c>
      <c r="DC4" s="228">
        <v>-1.89</v>
      </c>
      <c r="DD4" s="228">
        <v>-1.89</v>
      </c>
      <c r="DE4" s="228">
        <v>41.5</v>
      </c>
      <c r="DF4" s="228">
        <v>41.58</v>
      </c>
      <c r="DG4" s="228">
        <v>-1.43</v>
      </c>
      <c r="DH4" s="228">
        <v>-0.08</v>
      </c>
      <c r="DI4" s="228">
        <v>39.83</v>
      </c>
      <c r="DJ4" s="228">
        <v>41.44</v>
      </c>
      <c r="DK4" s="228">
        <v>-1.61</v>
      </c>
      <c r="DL4" s="228">
        <v>-1.61</v>
      </c>
      <c r="DM4" s="228">
        <v>41.09</v>
      </c>
      <c r="DN4" s="228">
        <v>42.84</v>
      </c>
      <c r="DO4" s="228">
        <v>-1.75</v>
      </c>
      <c r="DP4" s="228">
        <v>-1.75</v>
      </c>
      <c r="DQ4" s="228">
        <v>0.61</v>
      </c>
      <c r="DR4" s="228">
        <v>0.78</v>
      </c>
      <c r="DS4" s="228">
        <v>-0.17</v>
      </c>
      <c r="DT4" s="229">
        <v>-0.21790000000000001</v>
      </c>
      <c r="DU4" s="228">
        <v>355</v>
      </c>
      <c r="DV4" s="228">
        <v>320</v>
      </c>
      <c r="DW4" s="228">
        <v>0.24</v>
      </c>
      <c r="DX4" s="228">
        <v>0.6</v>
      </c>
      <c r="DY4" s="228">
        <v>-0.36</v>
      </c>
      <c r="DZ4" s="229">
        <v>-0.6</v>
      </c>
      <c r="EA4" s="229">
        <v>2.2599999999999999E-2</v>
      </c>
      <c r="EB4" s="230">
        <v>840100</v>
      </c>
      <c r="EC4" s="229">
        <v>6.7000000000000002E-3</v>
      </c>
      <c r="ED4" s="229">
        <v>2.2599999999999999E-2</v>
      </c>
      <c r="EE4" s="228">
        <v>2.2599999999999998</v>
      </c>
      <c r="EF4" s="229">
        <v>6.7000000000000002E-3</v>
      </c>
      <c r="EG4" s="230">
        <v>1159984</v>
      </c>
      <c r="EH4" s="230">
        <v>1979696</v>
      </c>
      <c r="EI4" s="229">
        <v>-0.41410000000000002</v>
      </c>
      <c r="EJ4" s="229">
        <v>0.4118</v>
      </c>
      <c r="EK4" s="231">
        <v>1912.07</v>
      </c>
      <c r="EL4" s="228">
        <v>423.79</v>
      </c>
      <c r="EM4" s="228">
        <v>219.33</v>
      </c>
      <c r="EN4" s="228">
        <v>23.49</v>
      </c>
      <c r="EO4" s="231">
        <v>2555.19</v>
      </c>
      <c r="EP4" s="231">
        <v>1173.06</v>
      </c>
      <c r="EQ4" s="231">
        <v>1382.13</v>
      </c>
      <c r="ER4" s="229">
        <v>1.1781999999999999</v>
      </c>
      <c r="ES4" s="228">
        <v>568.97</v>
      </c>
      <c r="ET4" s="228">
        <v>318.33999999999997</v>
      </c>
      <c r="EU4" s="231">
        <v>1484.18</v>
      </c>
      <c r="EV4" s="231">
        <v>123369777</v>
      </c>
      <c r="EW4" s="231">
        <v>2371.4899999999998</v>
      </c>
      <c r="EX4" s="231">
        <v>2154.4</v>
      </c>
      <c r="EY4" s="228">
        <v>217.09</v>
      </c>
      <c r="EZ4" s="229">
        <v>0.1008</v>
      </c>
      <c r="FA4" s="229">
        <v>0.56799999999999995</v>
      </c>
      <c r="FB4" s="227" t="s">
        <v>693</v>
      </c>
      <c r="FC4">
        <f t="shared" si="0"/>
        <v>34</v>
      </c>
    </row>
    <row r="5" spans="1:159" ht="17.25" thickBot="1" x14ac:dyDescent="0.3">
      <c r="A5" s="226">
        <v>46129</v>
      </c>
      <c r="B5" s="227" t="s">
        <v>161</v>
      </c>
      <c r="C5" s="227" t="s">
        <v>578</v>
      </c>
      <c r="D5" s="228">
        <v>675</v>
      </c>
      <c r="E5" s="228">
        <v>11</v>
      </c>
      <c r="F5" s="231">
        <v>1261.7</v>
      </c>
      <c r="G5" s="231">
        <v>1227.75</v>
      </c>
      <c r="H5" s="228">
        <v>33.950000000000003</v>
      </c>
      <c r="I5" s="229">
        <v>2.7699999999999999E-2</v>
      </c>
      <c r="J5" s="231">
        <v>1259.8</v>
      </c>
      <c r="K5" s="231">
        <v>1222.5999999999999</v>
      </c>
      <c r="L5" s="228">
        <v>37.200000000000003</v>
      </c>
      <c r="M5" s="229">
        <v>3.04E-2</v>
      </c>
      <c r="N5" s="231">
        <v>1261.7</v>
      </c>
      <c r="O5" s="231">
        <v>1227.75</v>
      </c>
      <c r="P5" s="228">
        <v>33.950000000000003</v>
      </c>
      <c r="Q5" s="229">
        <v>2.7699999999999999E-2</v>
      </c>
      <c r="R5" s="231">
        <v>1267.7</v>
      </c>
      <c r="S5" s="231">
        <v>1233.6500000000001</v>
      </c>
      <c r="T5" s="228">
        <v>34.049999999999997</v>
      </c>
      <c r="U5" s="229">
        <v>2.76E-2</v>
      </c>
      <c r="V5" s="231">
        <v>1272.6500000000001</v>
      </c>
      <c r="W5" s="231">
        <v>1238</v>
      </c>
      <c r="X5" s="228">
        <v>34.65</v>
      </c>
      <c r="Y5" s="229">
        <v>2.8000000000000001E-2</v>
      </c>
      <c r="Z5" s="228">
        <v>1.9</v>
      </c>
      <c r="AA5" s="228">
        <v>5.15</v>
      </c>
      <c r="AB5" s="228">
        <v>-3.25</v>
      </c>
      <c r="AC5" s="229">
        <v>1.5E-3</v>
      </c>
      <c r="AD5" s="228">
        <v>1.9</v>
      </c>
      <c r="AE5" s="228">
        <v>5.15</v>
      </c>
      <c r="AF5" s="228">
        <v>-3.25</v>
      </c>
      <c r="AG5" s="229">
        <v>1.5E-3</v>
      </c>
      <c r="AH5" s="228">
        <v>7.9</v>
      </c>
      <c r="AI5" s="228">
        <v>11.05</v>
      </c>
      <c r="AJ5" s="228">
        <v>-3.15</v>
      </c>
      <c r="AK5" s="229">
        <v>6.3E-3</v>
      </c>
      <c r="AL5" s="228">
        <v>12.85</v>
      </c>
      <c r="AM5" s="228">
        <v>15.4</v>
      </c>
      <c r="AN5" s="228">
        <v>-2.5499999999999998</v>
      </c>
      <c r="AO5" s="229">
        <v>1.0200000000000001E-2</v>
      </c>
      <c r="AP5" s="231">
        <v>1251.75</v>
      </c>
      <c r="AQ5" s="231">
        <v>1254.44</v>
      </c>
      <c r="AR5" s="228">
        <v>0</v>
      </c>
      <c r="AS5" s="228">
        <v>834</v>
      </c>
      <c r="AT5" s="228">
        <v>541</v>
      </c>
      <c r="AU5" s="228">
        <v>294</v>
      </c>
      <c r="AV5" s="229">
        <v>0.54339999999999999</v>
      </c>
      <c r="AW5" s="228">
        <v>795</v>
      </c>
      <c r="AX5" s="228">
        <v>520</v>
      </c>
      <c r="AY5" s="228">
        <v>275</v>
      </c>
      <c r="AZ5" s="229">
        <v>0.5282</v>
      </c>
      <c r="BA5" s="228">
        <v>37</v>
      </c>
      <c r="BB5" s="228">
        <v>19</v>
      </c>
      <c r="BC5" s="228">
        <v>18</v>
      </c>
      <c r="BD5" s="229">
        <v>0.94589999999999996</v>
      </c>
      <c r="BE5" s="228">
        <v>2</v>
      </c>
      <c r="BF5" s="228">
        <v>1</v>
      </c>
      <c r="BG5" s="228">
        <v>1</v>
      </c>
      <c r="BH5" s="229">
        <v>0.75</v>
      </c>
      <c r="BI5" s="230">
        <v>1605</v>
      </c>
      <c r="BJ5" s="230">
        <v>1396</v>
      </c>
      <c r="BK5" s="228">
        <v>209</v>
      </c>
      <c r="BL5" s="229">
        <v>0.14979999999999999</v>
      </c>
      <c r="BM5" s="228">
        <v>883</v>
      </c>
      <c r="BN5" s="228">
        <v>588</v>
      </c>
      <c r="BO5" s="228">
        <v>295</v>
      </c>
      <c r="BP5" s="229">
        <v>0.50219999999999998</v>
      </c>
      <c r="BQ5" s="230">
        <v>3322</v>
      </c>
      <c r="BR5" s="230">
        <v>2524</v>
      </c>
      <c r="BS5" s="228">
        <v>798</v>
      </c>
      <c r="BT5" s="229">
        <v>0.31609999999999999</v>
      </c>
      <c r="BU5" s="230">
        <v>5133355</v>
      </c>
      <c r="BV5" s="230">
        <v>3377032</v>
      </c>
      <c r="BW5" s="230">
        <v>1756323</v>
      </c>
      <c r="BX5" s="229">
        <v>0.52010000000000001</v>
      </c>
      <c r="BY5" s="230">
        <v>2930</v>
      </c>
      <c r="BZ5" s="230">
        <v>2728</v>
      </c>
      <c r="CA5" s="228">
        <v>202</v>
      </c>
      <c r="CB5" s="229">
        <v>7.4099999999999999E-2</v>
      </c>
      <c r="CC5" s="230">
        <v>2520</v>
      </c>
      <c r="CD5" s="230">
        <v>2321</v>
      </c>
      <c r="CE5" s="228">
        <v>199</v>
      </c>
      <c r="CF5" s="229">
        <v>8.5800000000000001E-2</v>
      </c>
      <c r="CG5" s="228">
        <v>407</v>
      </c>
      <c r="CH5" s="228">
        <v>404</v>
      </c>
      <c r="CI5" s="228">
        <v>3</v>
      </c>
      <c r="CJ5" s="229">
        <v>7.0000000000000001E-3</v>
      </c>
      <c r="CK5" s="228">
        <v>4</v>
      </c>
      <c r="CL5" s="228">
        <v>4</v>
      </c>
      <c r="CM5" s="228">
        <v>0</v>
      </c>
      <c r="CN5" s="229">
        <v>9.5200000000000007E-2</v>
      </c>
      <c r="CO5" s="228">
        <v>504</v>
      </c>
      <c r="CP5" s="228">
        <v>472</v>
      </c>
      <c r="CQ5" s="228">
        <v>32</v>
      </c>
      <c r="CR5" s="229">
        <v>6.88E-2</v>
      </c>
      <c r="CS5" s="228">
        <v>346</v>
      </c>
      <c r="CT5" s="228">
        <v>331</v>
      </c>
      <c r="CU5" s="228">
        <v>15</v>
      </c>
      <c r="CV5" s="229">
        <v>4.5499999999999999E-2</v>
      </c>
      <c r="CW5" s="230">
        <v>3781</v>
      </c>
      <c r="CX5" s="230">
        <v>3531</v>
      </c>
      <c r="CY5" s="228">
        <v>250</v>
      </c>
      <c r="CZ5" s="229">
        <v>7.0699999999999999E-2</v>
      </c>
      <c r="DA5" s="228">
        <v>49.08</v>
      </c>
      <c r="DB5" s="228">
        <v>50.86</v>
      </c>
      <c r="DC5" s="228">
        <v>-1.78</v>
      </c>
      <c r="DD5" s="228">
        <v>-1.78</v>
      </c>
      <c r="DE5" s="228">
        <v>55.81</v>
      </c>
      <c r="DF5" s="228">
        <v>55.82</v>
      </c>
      <c r="DG5" s="228">
        <v>-6.73</v>
      </c>
      <c r="DH5" s="228">
        <v>-0.01</v>
      </c>
      <c r="DI5" s="228">
        <v>47.23</v>
      </c>
      <c r="DJ5" s="228">
        <v>49.99</v>
      </c>
      <c r="DK5" s="228">
        <v>-2.76</v>
      </c>
      <c r="DL5" s="228">
        <v>-2.76</v>
      </c>
      <c r="DM5" s="228">
        <v>52.43</v>
      </c>
      <c r="DN5" s="228">
        <v>52.92</v>
      </c>
      <c r="DO5" s="228">
        <v>-0.49</v>
      </c>
      <c r="DP5" s="228">
        <v>-0.49</v>
      </c>
      <c r="DQ5" s="228">
        <v>0.69</v>
      </c>
      <c r="DR5" s="228">
        <v>0.7</v>
      </c>
      <c r="DS5" s="228">
        <v>-0.01</v>
      </c>
      <c r="DT5" s="229">
        <v>-1.43E-2</v>
      </c>
      <c r="DU5" s="231">
        <v>1200</v>
      </c>
      <c r="DV5" s="231">
        <v>1200</v>
      </c>
      <c r="DW5" s="228">
        <v>0.55000000000000004</v>
      </c>
      <c r="DX5" s="228">
        <v>0.42</v>
      </c>
      <c r="DY5" s="228">
        <v>0.13</v>
      </c>
      <c r="DZ5" s="229">
        <v>0.3095</v>
      </c>
      <c r="EA5" s="229">
        <v>0.1401</v>
      </c>
      <c r="EB5" s="230">
        <v>3228525</v>
      </c>
      <c r="EC5" s="229">
        <v>4.7999999999999996E-3</v>
      </c>
      <c r="ED5" s="229">
        <v>0.1401</v>
      </c>
      <c r="EE5" s="228">
        <v>2.69</v>
      </c>
      <c r="EF5" s="229">
        <v>2.0999999999999999E-3</v>
      </c>
      <c r="EG5" s="230">
        <v>2719746</v>
      </c>
      <c r="EH5" s="230">
        <v>1337696</v>
      </c>
      <c r="EI5" s="229">
        <v>1.0331999999999999</v>
      </c>
      <c r="EJ5" s="229">
        <v>0.52980000000000005</v>
      </c>
      <c r="EK5" s="231">
        <v>1660.1</v>
      </c>
      <c r="EL5" s="228">
        <v>838.86</v>
      </c>
      <c r="EM5" s="228">
        <v>827.79</v>
      </c>
      <c r="EN5" s="228">
        <v>58.08</v>
      </c>
      <c r="EO5" s="231">
        <v>3326.75</v>
      </c>
      <c r="EP5" s="231">
        <v>2466.3000000000002</v>
      </c>
      <c r="EQ5" s="228">
        <v>860.45</v>
      </c>
      <c r="ER5" s="229">
        <v>0.34889999999999999</v>
      </c>
      <c r="ES5" s="228">
        <v>460.6</v>
      </c>
      <c r="ET5" s="228">
        <v>296.04000000000002</v>
      </c>
      <c r="EU5" s="231">
        <v>2932.23</v>
      </c>
      <c r="EV5" s="231">
        <v>35196587</v>
      </c>
      <c r="EW5" s="231">
        <v>3688.88</v>
      </c>
      <c r="EX5" s="231">
        <v>3356.51</v>
      </c>
      <c r="EY5" s="228">
        <v>332.37</v>
      </c>
      <c r="EZ5" s="229">
        <v>9.9000000000000005E-2</v>
      </c>
      <c r="FA5" s="229">
        <v>0.85140000000000005</v>
      </c>
      <c r="FB5" s="227" t="s">
        <v>555</v>
      </c>
      <c r="FC5">
        <f t="shared" si="0"/>
        <v>410</v>
      </c>
    </row>
    <row r="6" spans="1:159" ht="17.25" thickBot="1" x14ac:dyDescent="0.3">
      <c r="A6" s="226">
        <v>46129</v>
      </c>
      <c r="B6" s="227" t="s">
        <v>215</v>
      </c>
      <c r="C6" s="227" t="s">
        <v>159</v>
      </c>
      <c r="D6" s="228">
        <v>309</v>
      </c>
      <c r="E6" s="228">
        <v>11</v>
      </c>
      <c r="F6" s="231">
        <v>2224.9</v>
      </c>
      <c r="G6" s="231">
        <v>2211.1</v>
      </c>
      <c r="H6" s="228">
        <v>13.8</v>
      </c>
      <c r="I6" s="229">
        <v>6.1999999999999998E-3</v>
      </c>
      <c r="J6" s="231">
        <v>2218.3000000000002</v>
      </c>
      <c r="K6" s="231">
        <v>2203.6999999999998</v>
      </c>
      <c r="L6" s="228">
        <v>14.6</v>
      </c>
      <c r="M6" s="229">
        <v>6.6E-3</v>
      </c>
      <c r="N6" s="231">
        <v>2224.9</v>
      </c>
      <c r="O6" s="231">
        <v>2211.1</v>
      </c>
      <c r="P6" s="228">
        <v>13.8</v>
      </c>
      <c r="Q6" s="229">
        <v>6.1999999999999998E-3</v>
      </c>
      <c r="R6" s="231">
        <v>2237.6999999999998</v>
      </c>
      <c r="S6" s="231">
        <v>2222.4</v>
      </c>
      <c r="T6" s="228">
        <v>15.3</v>
      </c>
      <c r="U6" s="229">
        <v>6.8999999999999999E-3</v>
      </c>
      <c r="V6" s="231">
        <v>2249.9</v>
      </c>
      <c r="W6" s="231">
        <v>2233</v>
      </c>
      <c r="X6" s="228">
        <v>16.899999999999999</v>
      </c>
      <c r="Y6" s="229">
        <v>7.6E-3</v>
      </c>
      <c r="Z6" s="228">
        <v>6.6</v>
      </c>
      <c r="AA6" s="228">
        <v>7.4</v>
      </c>
      <c r="AB6" s="228">
        <v>-0.8</v>
      </c>
      <c r="AC6" s="229">
        <v>3.0000000000000001E-3</v>
      </c>
      <c r="AD6" s="228">
        <v>6.6</v>
      </c>
      <c r="AE6" s="228">
        <v>7.4</v>
      </c>
      <c r="AF6" s="228">
        <v>-0.8</v>
      </c>
      <c r="AG6" s="229">
        <v>3.0000000000000001E-3</v>
      </c>
      <c r="AH6" s="228">
        <v>19.399999999999999</v>
      </c>
      <c r="AI6" s="228">
        <v>18.7</v>
      </c>
      <c r="AJ6" s="228">
        <v>0.7</v>
      </c>
      <c r="AK6" s="229">
        <v>8.6999999999999994E-3</v>
      </c>
      <c r="AL6" s="228">
        <v>31.6</v>
      </c>
      <c r="AM6" s="228">
        <v>29.3</v>
      </c>
      <c r="AN6" s="228">
        <v>2.2999999999999998</v>
      </c>
      <c r="AO6" s="229">
        <v>1.4200000000000001E-2</v>
      </c>
      <c r="AP6" s="231">
        <v>2211.38</v>
      </c>
      <c r="AQ6" s="231">
        <v>2223.83</v>
      </c>
      <c r="AR6" s="228">
        <v>0</v>
      </c>
      <c r="AS6" s="228">
        <v>764</v>
      </c>
      <c r="AT6" s="228">
        <v>763</v>
      </c>
      <c r="AU6" s="228">
        <v>1</v>
      </c>
      <c r="AV6" s="229">
        <v>1.8E-3</v>
      </c>
      <c r="AW6" s="228">
        <v>625</v>
      </c>
      <c r="AX6" s="228">
        <v>600</v>
      </c>
      <c r="AY6" s="228">
        <v>25</v>
      </c>
      <c r="AZ6" s="229">
        <v>4.1399999999999999E-2</v>
      </c>
      <c r="BA6" s="228">
        <v>129</v>
      </c>
      <c r="BB6" s="228">
        <v>154</v>
      </c>
      <c r="BC6" s="228">
        <v>-25</v>
      </c>
      <c r="BD6" s="229">
        <v>-0.1623</v>
      </c>
      <c r="BE6" s="228">
        <v>10</v>
      </c>
      <c r="BF6" s="228">
        <v>9</v>
      </c>
      <c r="BG6" s="228">
        <v>2</v>
      </c>
      <c r="BH6" s="229">
        <v>0.17319999999999999</v>
      </c>
      <c r="BI6" s="230">
        <v>3154</v>
      </c>
      <c r="BJ6" s="230">
        <v>2701</v>
      </c>
      <c r="BK6" s="228">
        <v>453</v>
      </c>
      <c r="BL6" s="229">
        <v>0.1676</v>
      </c>
      <c r="BM6" s="230">
        <v>1516</v>
      </c>
      <c r="BN6" s="230">
        <v>1262</v>
      </c>
      <c r="BO6" s="228">
        <v>255</v>
      </c>
      <c r="BP6" s="229">
        <v>0.20169999999999999</v>
      </c>
      <c r="BQ6" s="230">
        <v>5434</v>
      </c>
      <c r="BR6" s="230">
        <v>4725</v>
      </c>
      <c r="BS6" s="228">
        <v>709</v>
      </c>
      <c r="BT6" s="229">
        <v>0.15</v>
      </c>
      <c r="BU6" s="230">
        <v>2625958</v>
      </c>
      <c r="BV6" s="230">
        <v>2404309</v>
      </c>
      <c r="BW6" s="230">
        <v>221649</v>
      </c>
      <c r="BX6" s="229">
        <v>9.2200000000000004E-2</v>
      </c>
      <c r="BY6" s="230">
        <v>3852</v>
      </c>
      <c r="BZ6" s="230">
        <v>3795</v>
      </c>
      <c r="CA6" s="228">
        <v>56</v>
      </c>
      <c r="CB6" s="229">
        <v>1.4800000000000001E-2</v>
      </c>
      <c r="CC6" s="230">
        <v>3487</v>
      </c>
      <c r="CD6" s="230">
        <v>3483</v>
      </c>
      <c r="CE6" s="228">
        <v>4</v>
      </c>
      <c r="CF6" s="229">
        <v>1.1999999999999999E-3</v>
      </c>
      <c r="CG6" s="228">
        <v>343</v>
      </c>
      <c r="CH6" s="228">
        <v>293</v>
      </c>
      <c r="CI6" s="228">
        <v>50</v>
      </c>
      <c r="CJ6" s="229">
        <v>0.1714</v>
      </c>
      <c r="CK6" s="228">
        <v>21</v>
      </c>
      <c r="CL6" s="228">
        <v>20</v>
      </c>
      <c r="CM6" s="228">
        <v>2</v>
      </c>
      <c r="CN6" s="229">
        <v>7.6899999999999996E-2</v>
      </c>
      <c r="CO6" s="230">
        <v>1618</v>
      </c>
      <c r="CP6" s="230">
        <v>1533</v>
      </c>
      <c r="CQ6" s="228">
        <v>85</v>
      </c>
      <c r="CR6" s="229">
        <v>5.57E-2</v>
      </c>
      <c r="CS6" s="230">
        <v>1515</v>
      </c>
      <c r="CT6" s="230">
        <v>1513</v>
      </c>
      <c r="CU6" s="228">
        <v>2</v>
      </c>
      <c r="CV6" s="229">
        <v>1.1999999999999999E-3</v>
      </c>
      <c r="CW6" s="230">
        <v>6984</v>
      </c>
      <c r="CX6" s="230">
        <v>6841</v>
      </c>
      <c r="CY6" s="228">
        <v>143</v>
      </c>
      <c r="CZ6" s="229">
        <v>2.0899999999999998E-2</v>
      </c>
      <c r="DA6" s="228">
        <v>40.03</v>
      </c>
      <c r="DB6" s="228">
        <v>41.29</v>
      </c>
      <c r="DC6" s="228">
        <v>-1.26</v>
      </c>
      <c r="DD6" s="228">
        <v>-1.26</v>
      </c>
      <c r="DE6" s="228">
        <v>49.63</v>
      </c>
      <c r="DF6" s="228">
        <v>49.75</v>
      </c>
      <c r="DG6" s="228">
        <v>-9.6</v>
      </c>
      <c r="DH6" s="228">
        <v>-0.12</v>
      </c>
      <c r="DI6" s="228">
        <v>38.51</v>
      </c>
      <c r="DJ6" s="228">
        <v>40.03</v>
      </c>
      <c r="DK6" s="228">
        <v>-1.52</v>
      </c>
      <c r="DL6" s="228">
        <v>-1.52</v>
      </c>
      <c r="DM6" s="228">
        <v>43.19</v>
      </c>
      <c r="DN6" s="228">
        <v>43.97</v>
      </c>
      <c r="DO6" s="228">
        <v>-0.78</v>
      </c>
      <c r="DP6" s="228">
        <v>-0.78</v>
      </c>
      <c r="DQ6" s="228">
        <v>0.94</v>
      </c>
      <c r="DR6" s="228">
        <v>0.99</v>
      </c>
      <c r="DS6" s="228">
        <v>-0.05</v>
      </c>
      <c r="DT6" s="229">
        <v>-5.0500000000000003E-2</v>
      </c>
      <c r="DU6" s="231">
        <v>2200</v>
      </c>
      <c r="DV6" s="231">
        <v>2200</v>
      </c>
      <c r="DW6" s="228">
        <v>0.48</v>
      </c>
      <c r="DX6" s="228">
        <v>0.47</v>
      </c>
      <c r="DY6" s="228">
        <v>0.01</v>
      </c>
      <c r="DZ6" s="229">
        <v>2.1299999999999999E-2</v>
      </c>
      <c r="EA6" s="229">
        <v>9.4700000000000006E-2</v>
      </c>
      <c r="EB6" s="230">
        <v>1405950</v>
      </c>
      <c r="EC6" s="229">
        <v>5.7999999999999996E-3</v>
      </c>
      <c r="ED6" s="229">
        <v>9.4700000000000006E-2</v>
      </c>
      <c r="EE6" s="228">
        <v>12.45</v>
      </c>
      <c r="EF6" s="229">
        <v>5.5999999999999999E-3</v>
      </c>
      <c r="EG6" s="230">
        <v>651709</v>
      </c>
      <c r="EH6" s="230">
        <v>636594</v>
      </c>
      <c r="EI6" s="229">
        <v>2.3699999999999999E-2</v>
      </c>
      <c r="EJ6" s="229">
        <v>0.2482</v>
      </c>
      <c r="EK6" s="231">
        <v>3282</v>
      </c>
      <c r="EL6" s="231">
        <v>1464.46</v>
      </c>
      <c r="EM6" s="228">
        <v>760.12</v>
      </c>
      <c r="EN6" s="228">
        <v>102.54</v>
      </c>
      <c r="EO6" s="231">
        <v>5506.59</v>
      </c>
      <c r="EP6" s="231">
        <v>4748.8599999999997</v>
      </c>
      <c r="EQ6" s="228">
        <v>757.73</v>
      </c>
      <c r="ER6" s="229">
        <v>0.15959999999999999</v>
      </c>
      <c r="ES6" s="231">
        <v>1549.95</v>
      </c>
      <c r="ET6" s="231">
        <v>1371.66</v>
      </c>
      <c r="EU6" s="231">
        <v>3853.76</v>
      </c>
      <c r="EV6" s="231">
        <v>33645895</v>
      </c>
      <c r="EW6" s="231">
        <v>6775.37</v>
      </c>
      <c r="EX6" s="231">
        <v>6605.8</v>
      </c>
      <c r="EY6" s="228">
        <v>169.57</v>
      </c>
      <c r="EZ6" s="229">
        <v>2.5700000000000001E-2</v>
      </c>
      <c r="FA6" s="229">
        <v>0.93300000000000005</v>
      </c>
      <c r="FB6" s="227" t="s">
        <v>555</v>
      </c>
      <c r="FC6">
        <f t="shared" si="0"/>
        <v>365</v>
      </c>
    </row>
    <row r="7" spans="1:159" ht="17.25" thickBot="1" x14ac:dyDescent="0.3">
      <c r="A7" s="226">
        <v>46129</v>
      </c>
      <c r="B7" s="227" t="s">
        <v>161</v>
      </c>
      <c r="C7" s="227" t="s">
        <v>605</v>
      </c>
      <c r="D7" s="228">
        <v>600</v>
      </c>
      <c r="E7" s="228">
        <v>11</v>
      </c>
      <c r="F7" s="231">
        <v>1129.1500000000001</v>
      </c>
      <c r="G7" s="231">
        <v>1122.3</v>
      </c>
      <c r="H7" s="228">
        <v>6.85</v>
      </c>
      <c r="I7" s="229">
        <v>6.1000000000000004E-3</v>
      </c>
      <c r="J7" s="231">
        <v>1127.3</v>
      </c>
      <c r="K7" s="231">
        <v>1118.9000000000001</v>
      </c>
      <c r="L7" s="228">
        <v>8.4</v>
      </c>
      <c r="M7" s="229">
        <v>7.4999999999999997E-3</v>
      </c>
      <c r="N7" s="231">
        <v>1129.1500000000001</v>
      </c>
      <c r="O7" s="231">
        <v>1122.3</v>
      </c>
      <c r="P7" s="228">
        <v>6.85</v>
      </c>
      <c r="Q7" s="229">
        <v>6.1000000000000004E-3</v>
      </c>
      <c r="R7" s="231">
        <v>1135.45</v>
      </c>
      <c r="S7" s="231">
        <v>1129.8</v>
      </c>
      <c r="T7" s="228">
        <v>5.65</v>
      </c>
      <c r="U7" s="229">
        <v>5.0000000000000001E-3</v>
      </c>
      <c r="V7" s="231">
        <v>1140</v>
      </c>
      <c r="W7" s="231">
        <v>1135.9000000000001</v>
      </c>
      <c r="X7" s="228">
        <v>4.0999999999999996</v>
      </c>
      <c r="Y7" s="229">
        <v>3.5999999999999999E-3</v>
      </c>
      <c r="Z7" s="228">
        <v>1.85</v>
      </c>
      <c r="AA7" s="228">
        <v>3.4</v>
      </c>
      <c r="AB7" s="228">
        <v>-1.55</v>
      </c>
      <c r="AC7" s="229">
        <v>1.6000000000000001E-3</v>
      </c>
      <c r="AD7" s="228">
        <v>1.85</v>
      </c>
      <c r="AE7" s="228">
        <v>3.4</v>
      </c>
      <c r="AF7" s="228">
        <v>-1.55</v>
      </c>
      <c r="AG7" s="229">
        <v>1.6000000000000001E-3</v>
      </c>
      <c r="AH7" s="228">
        <v>8.15</v>
      </c>
      <c r="AI7" s="228">
        <v>10.9</v>
      </c>
      <c r="AJ7" s="228">
        <v>-2.75</v>
      </c>
      <c r="AK7" s="229">
        <v>7.1999999999999998E-3</v>
      </c>
      <c r="AL7" s="228">
        <v>12.7</v>
      </c>
      <c r="AM7" s="228">
        <v>17</v>
      </c>
      <c r="AN7" s="228">
        <v>-4.3</v>
      </c>
      <c r="AO7" s="229">
        <v>1.1299999999999999E-2</v>
      </c>
      <c r="AP7" s="231">
        <v>1122.48</v>
      </c>
      <c r="AQ7" s="231">
        <v>1129.4100000000001</v>
      </c>
      <c r="AR7" s="228">
        <v>0</v>
      </c>
      <c r="AS7" s="228">
        <v>423</v>
      </c>
      <c r="AT7" s="228">
        <v>404</v>
      </c>
      <c r="AU7" s="228">
        <v>19</v>
      </c>
      <c r="AV7" s="229">
        <v>4.8000000000000001E-2</v>
      </c>
      <c r="AW7" s="228">
        <v>364</v>
      </c>
      <c r="AX7" s="228">
        <v>372</v>
      </c>
      <c r="AY7" s="228">
        <v>-8</v>
      </c>
      <c r="AZ7" s="229">
        <v>-2.1700000000000001E-2</v>
      </c>
      <c r="BA7" s="228">
        <v>54</v>
      </c>
      <c r="BB7" s="228">
        <v>27</v>
      </c>
      <c r="BC7" s="228">
        <v>27</v>
      </c>
      <c r="BD7" s="229">
        <v>0.99250000000000005</v>
      </c>
      <c r="BE7" s="228">
        <v>5</v>
      </c>
      <c r="BF7" s="228">
        <v>5</v>
      </c>
      <c r="BG7" s="228">
        <v>1</v>
      </c>
      <c r="BH7" s="229">
        <v>0.1159</v>
      </c>
      <c r="BI7" s="230">
        <v>1538</v>
      </c>
      <c r="BJ7" s="230">
        <v>1469</v>
      </c>
      <c r="BK7" s="228">
        <v>69</v>
      </c>
      <c r="BL7" s="229">
        <v>4.7100000000000003E-2</v>
      </c>
      <c r="BM7" s="228">
        <v>767</v>
      </c>
      <c r="BN7" s="228">
        <v>787</v>
      </c>
      <c r="BO7" s="228">
        <v>-20</v>
      </c>
      <c r="BP7" s="229">
        <v>-2.5700000000000001E-2</v>
      </c>
      <c r="BQ7" s="230">
        <v>2728</v>
      </c>
      <c r="BR7" s="230">
        <v>2660</v>
      </c>
      <c r="BS7" s="228">
        <v>68</v>
      </c>
      <c r="BT7" s="229">
        <v>2.5700000000000001E-2</v>
      </c>
      <c r="BU7" s="230">
        <v>6250982</v>
      </c>
      <c r="BV7" s="230">
        <v>3106294</v>
      </c>
      <c r="BW7" s="230">
        <v>3144688</v>
      </c>
      <c r="BX7" s="229">
        <v>1.0124</v>
      </c>
      <c r="BY7" s="230">
        <v>2393</v>
      </c>
      <c r="BZ7" s="230">
        <v>2377</v>
      </c>
      <c r="CA7" s="228">
        <v>16</v>
      </c>
      <c r="CB7" s="229">
        <v>6.7000000000000002E-3</v>
      </c>
      <c r="CC7" s="230">
        <v>2308</v>
      </c>
      <c r="CD7" s="230">
        <v>2304</v>
      </c>
      <c r="CE7" s="228">
        <v>3</v>
      </c>
      <c r="CF7" s="229">
        <v>1.5E-3</v>
      </c>
      <c r="CG7" s="228">
        <v>75</v>
      </c>
      <c r="CH7" s="228">
        <v>64</v>
      </c>
      <c r="CI7" s="228">
        <v>11</v>
      </c>
      <c r="CJ7" s="229">
        <v>0.17899999999999999</v>
      </c>
      <c r="CK7" s="228">
        <v>9</v>
      </c>
      <c r="CL7" s="228">
        <v>8</v>
      </c>
      <c r="CM7" s="228">
        <v>1</v>
      </c>
      <c r="CN7" s="229">
        <v>0.129</v>
      </c>
      <c r="CO7" s="228">
        <v>916</v>
      </c>
      <c r="CP7" s="228">
        <v>888</v>
      </c>
      <c r="CQ7" s="228">
        <v>28</v>
      </c>
      <c r="CR7" s="229">
        <v>3.1399999999999997E-2</v>
      </c>
      <c r="CS7" s="228">
        <v>772</v>
      </c>
      <c r="CT7" s="228">
        <v>763</v>
      </c>
      <c r="CU7" s="228">
        <v>9</v>
      </c>
      <c r="CV7" s="229">
        <v>1.14E-2</v>
      </c>
      <c r="CW7" s="230">
        <v>4081</v>
      </c>
      <c r="CX7" s="230">
        <v>4028</v>
      </c>
      <c r="CY7" s="228">
        <v>53</v>
      </c>
      <c r="CZ7" s="229">
        <v>1.2999999999999999E-2</v>
      </c>
      <c r="DA7" s="228">
        <v>48.08</v>
      </c>
      <c r="DB7" s="228">
        <v>49.18</v>
      </c>
      <c r="DC7" s="228">
        <v>-1.1000000000000001</v>
      </c>
      <c r="DD7" s="228">
        <v>-1.1000000000000001</v>
      </c>
      <c r="DE7" s="228">
        <v>59.29</v>
      </c>
      <c r="DF7" s="228">
        <v>59.43</v>
      </c>
      <c r="DG7" s="228">
        <v>-11.21</v>
      </c>
      <c r="DH7" s="228">
        <v>-0.14000000000000001</v>
      </c>
      <c r="DI7" s="228">
        <v>46.58</v>
      </c>
      <c r="DJ7" s="228">
        <v>47.67</v>
      </c>
      <c r="DK7" s="228">
        <v>-1.0900000000000001</v>
      </c>
      <c r="DL7" s="228">
        <v>-1.0900000000000001</v>
      </c>
      <c r="DM7" s="228">
        <v>51.09</v>
      </c>
      <c r="DN7" s="228">
        <v>51.99</v>
      </c>
      <c r="DO7" s="228">
        <v>-0.9</v>
      </c>
      <c r="DP7" s="228">
        <v>-0.9</v>
      </c>
      <c r="DQ7" s="228">
        <v>0.84</v>
      </c>
      <c r="DR7" s="228">
        <v>0.86</v>
      </c>
      <c r="DS7" s="228">
        <v>-0.02</v>
      </c>
      <c r="DT7" s="229">
        <v>-2.3300000000000001E-2</v>
      </c>
      <c r="DU7" s="231">
        <v>1100</v>
      </c>
      <c r="DV7" s="231">
        <v>1000</v>
      </c>
      <c r="DW7" s="228">
        <v>0.5</v>
      </c>
      <c r="DX7" s="228">
        <v>0.54</v>
      </c>
      <c r="DY7" s="228">
        <v>-0.04</v>
      </c>
      <c r="DZ7" s="229">
        <v>-7.4099999999999999E-2</v>
      </c>
      <c r="EA7" s="229">
        <v>3.5499999999999997E-2</v>
      </c>
      <c r="EB7" s="230">
        <v>640800</v>
      </c>
      <c r="EC7" s="229">
        <v>5.5999999999999999E-3</v>
      </c>
      <c r="ED7" s="229">
        <v>3.5499999999999997E-2</v>
      </c>
      <c r="EE7" s="228">
        <v>6.93</v>
      </c>
      <c r="EF7" s="229">
        <v>6.1999999999999998E-3</v>
      </c>
      <c r="EG7" s="230">
        <v>1893136</v>
      </c>
      <c r="EH7" s="230">
        <v>892702</v>
      </c>
      <c r="EI7" s="229">
        <v>1.1207</v>
      </c>
      <c r="EJ7" s="229">
        <v>0.3029</v>
      </c>
      <c r="EK7" s="231">
        <v>1605.61</v>
      </c>
      <c r="EL7" s="228">
        <v>742.35</v>
      </c>
      <c r="EM7" s="228">
        <v>421.31</v>
      </c>
      <c r="EN7" s="228">
        <v>61.04</v>
      </c>
      <c r="EO7" s="231">
        <v>2769.26</v>
      </c>
      <c r="EP7" s="231">
        <v>2675.54</v>
      </c>
      <c r="EQ7" s="228">
        <v>93.72</v>
      </c>
      <c r="ER7" s="229">
        <v>3.5000000000000003E-2</v>
      </c>
      <c r="ES7" s="228">
        <v>852.57</v>
      </c>
      <c r="ET7" s="228">
        <v>678.73</v>
      </c>
      <c r="EU7" s="231">
        <v>2393.1999999999998</v>
      </c>
      <c r="EV7" s="231">
        <v>64724093</v>
      </c>
      <c r="EW7" s="231">
        <v>3924.51</v>
      </c>
      <c r="EX7" s="231">
        <v>3850.18</v>
      </c>
      <c r="EY7" s="228">
        <v>74.33</v>
      </c>
      <c r="EZ7" s="229">
        <v>1.9300000000000001E-2</v>
      </c>
      <c r="FA7" s="229">
        <v>0.55840000000000001</v>
      </c>
      <c r="FB7" s="227" t="s">
        <v>555</v>
      </c>
      <c r="FC7">
        <f t="shared" si="0"/>
        <v>85</v>
      </c>
    </row>
    <row r="8" spans="1:159" ht="17.25" thickBot="1" x14ac:dyDescent="0.3">
      <c r="A8" s="226">
        <v>46129</v>
      </c>
      <c r="B8" s="227" t="s">
        <v>215</v>
      </c>
      <c r="C8" s="227" t="s">
        <v>160</v>
      </c>
      <c r="D8" s="228">
        <v>475</v>
      </c>
      <c r="E8" s="228">
        <v>11</v>
      </c>
      <c r="F8" s="231">
        <v>1573.2</v>
      </c>
      <c r="G8" s="231">
        <v>1550.7</v>
      </c>
      <c r="H8" s="228">
        <v>22.5</v>
      </c>
      <c r="I8" s="229">
        <v>1.4500000000000001E-2</v>
      </c>
      <c r="J8" s="231">
        <v>1573.4</v>
      </c>
      <c r="K8" s="231">
        <v>1549.8</v>
      </c>
      <c r="L8" s="228">
        <v>23.6</v>
      </c>
      <c r="M8" s="229">
        <v>1.52E-2</v>
      </c>
      <c r="N8" s="231">
        <v>1573.2</v>
      </c>
      <c r="O8" s="231">
        <v>1550.7</v>
      </c>
      <c r="P8" s="228">
        <v>22.5</v>
      </c>
      <c r="Q8" s="229">
        <v>1.4500000000000001E-2</v>
      </c>
      <c r="R8" s="231">
        <v>1582.3</v>
      </c>
      <c r="S8" s="231">
        <v>1558.7</v>
      </c>
      <c r="T8" s="228">
        <v>23.6</v>
      </c>
      <c r="U8" s="229">
        <v>1.5100000000000001E-2</v>
      </c>
      <c r="V8" s="231">
        <v>1585</v>
      </c>
      <c r="W8" s="231">
        <v>1559.2</v>
      </c>
      <c r="X8" s="228">
        <v>25.8</v>
      </c>
      <c r="Y8" s="229">
        <v>1.6500000000000001E-2</v>
      </c>
      <c r="Z8" s="228">
        <v>-0.2</v>
      </c>
      <c r="AA8" s="228">
        <v>0.9</v>
      </c>
      <c r="AB8" s="228">
        <v>-1.1000000000000001</v>
      </c>
      <c r="AC8" s="229">
        <v>-1E-4</v>
      </c>
      <c r="AD8" s="228">
        <v>-0.2</v>
      </c>
      <c r="AE8" s="228">
        <v>0.9</v>
      </c>
      <c r="AF8" s="228">
        <v>-1.1000000000000001</v>
      </c>
      <c r="AG8" s="229">
        <v>-1E-4</v>
      </c>
      <c r="AH8" s="228">
        <v>8.9</v>
      </c>
      <c r="AI8" s="228">
        <v>8.9</v>
      </c>
      <c r="AJ8" s="228">
        <v>0</v>
      </c>
      <c r="AK8" s="229">
        <v>5.7000000000000002E-3</v>
      </c>
      <c r="AL8" s="228">
        <v>11.6</v>
      </c>
      <c r="AM8" s="228">
        <v>9.4</v>
      </c>
      <c r="AN8" s="228">
        <v>2.2000000000000002</v>
      </c>
      <c r="AO8" s="229">
        <v>7.4000000000000003E-3</v>
      </c>
      <c r="AP8" s="231">
        <v>1567.91</v>
      </c>
      <c r="AQ8" s="231">
        <v>1577.3</v>
      </c>
      <c r="AR8" s="228">
        <v>0</v>
      </c>
      <c r="AS8" s="228">
        <v>627</v>
      </c>
      <c r="AT8" s="228">
        <v>795</v>
      </c>
      <c r="AU8" s="228">
        <v>-168</v>
      </c>
      <c r="AV8" s="229">
        <v>-0.21079999999999999</v>
      </c>
      <c r="AW8" s="228">
        <v>563</v>
      </c>
      <c r="AX8" s="228">
        <v>681</v>
      </c>
      <c r="AY8" s="228">
        <v>-118</v>
      </c>
      <c r="AZ8" s="229">
        <v>-0.17319999999999999</v>
      </c>
      <c r="BA8" s="228">
        <v>55</v>
      </c>
      <c r="BB8" s="228">
        <v>97</v>
      </c>
      <c r="BC8" s="228">
        <v>-41</v>
      </c>
      <c r="BD8" s="229">
        <v>-0.42809999999999998</v>
      </c>
      <c r="BE8" s="228">
        <v>9</v>
      </c>
      <c r="BF8" s="228">
        <v>17</v>
      </c>
      <c r="BG8" s="228">
        <v>-8</v>
      </c>
      <c r="BH8" s="229">
        <v>-0.48459999999999998</v>
      </c>
      <c r="BI8" s="230">
        <v>3972</v>
      </c>
      <c r="BJ8" s="230">
        <v>4341</v>
      </c>
      <c r="BK8" s="228">
        <v>-369</v>
      </c>
      <c r="BL8" s="229">
        <v>-8.5000000000000006E-2</v>
      </c>
      <c r="BM8" s="230">
        <v>1910</v>
      </c>
      <c r="BN8" s="230">
        <v>1887</v>
      </c>
      <c r="BO8" s="228">
        <v>23</v>
      </c>
      <c r="BP8" s="229">
        <v>1.24E-2</v>
      </c>
      <c r="BQ8" s="230">
        <v>6509</v>
      </c>
      <c r="BR8" s="230">
        <v>7023</v>
      </c>
      <c r="BS8" s="228">
        <v>-513</v>
      </c>
      <c r="BT8" s="229">
        <v>-7.3099999999999998E-2</v>
      </c>
      <c r="BU8" s="230">
        <v>6270922</v>
      </c>
      <c r="BV8" s="230">
        <v>7717756</v>
      </c>
      <c r="BW8" s="230">
        <v>-1446834</v>
      </c>
      <c r="BX8" s="229">
        <v>-0.1875</v>
      </c>
      <c r="BY8" s="230">
        <v>3122</v>
      </c>
      <c r="BZ8" s="230">
        <v>3134</v>
      </c>
      <c r="CA8" s="228">
        <v>-12</v>
      </c>
      <c r="CB8" s="229">
        <v>-3.8999999999999998E-3</v>
      </c>
      <c r="CC8" s="230">
        <v>2664</v>
      </c>
      <c r="CD8" s="230">
        <v>2692</v>
      </c>
      <c r="CE8" s="228">
        <v>-28</v>
      </c>
      <c r="CF8" s="229">
        <v>-1.03E-2</v>
      </c>
      <c r="CG8" s="228">
        <v>438</v>
      </c>
      <c r="CH8" s="228">
        <v>423</v>
      </c>
      <c r="CI8" s="228">
        <v>14</v>
      </c>
      <c r="CJ8" s="229">
        <v>3.4099999999999998E-2</v>
      </c>
      <c r="CK8" s="228">
        <v>20</v>
      </c>
      <c r="CL8" s="228">
        <v>19</v>
      </c>
      <c r="CM8" s="228">
        <v>1</v>
      </c>
      <c r="CN8" s="229">
        <v>5.0599999999999999E-2</v>
      </c>
      <c r="CO8" s="230">
        <v>1480</v>
      </c>
      <c r="CP8" s="230">
        <v>1324</v>
      </c>
      <c r="CQ8" s="228">
        <v>156</v>
      </c>
      <c r="CR8" s="229">
        <v>0.1181</v>
      </c>
      <c r="CS8" s="230">
        <v>1244</v>
      </c>
      <c r="CT8" s="230">
        <v>1111</v>
      </c>
      <c r="CU8" s="228">
        <v>133</v>
      </c>
      <c r="CV8" s="229">
        <v>0.11990000000000001</v>
      </c>
      <c r="CW8" s="230">
        <v>5847</v>
      </c>
      <c r="CX8" s="230">
        <v>5569</v>
      </c>
      <c r="CY8" s="228">
        <v>277</v>
      </c>
      <c r="CZ8" s="229">
        <v>4.9799999999999997E-2</v>
      </c>
      <c r="DA8" s="228">
        <v>33.14</v>
      </c>
      <c r="DB8" s="228">
        <v>32.92</v>
      </c>
      <c r="DC8" s="228">
        <v>0.22</v>
      </c>
      <c r="DD8" s="228">
        <v>0.22</v>
      </c>
      <c r="DE8" s="228">
        <v>40.31</v>
      </c>
      <c r="DF8" s="228">
        <v>40.36</v>
      </c>
      <c r="DG8" s="228">
        <v>-7.17</v>
      </c>
      <c r="DH8" s="228">
        <v>-0.05</v>
      </c>
      <c r="DI8" s="228">
        <v>31.94</v>
      </c>
      <c r="DJ8" s="228">
        <v>31.5</v>
      </c>
      <c r="DK8" s="228">
        <v>0.44</v>
      </c>
      <c r="DL8" s="228">
        <v>0.44</v>
      </c>
      <c r="DM8" s="228">
        <v>35.630000000000003</v>
      </c>
      <c r="DN8" s="228">
        <v>36.18</v>
      </c>
      <c r="DO8" s="228">
        <v>-0.55000000000000004</v>
      </c>
      <c r="DP8" s="228">
        <v>-0.55000000000000004</v>
      </c>
      <c r="DQ8" s="228">
        <v>0.84</v>
      </c>
      <c r="DR8" s="228">
        <v>0.84</v>
      </c>
      <c r="DS8" s="228">
        <v>0</v>
      </c>
      <c r="DT8" s="229">
        <v>0</v>
      </c>
      <c r="DU8" s="231">
        <v>1500</v>
      </c>
      <c r="DV8" s="231">
        <v>1500</v>
      </c>
      <c r="DW8" s="228">
        <v>0.48</v>
      </c>
      <c r="DX8" s="228">
        <v>0.43</v>
      </c>
      <c r="DY8" s="228">
        <v>0.05</v>
      </c>
      <c r="DZ8" s="229">
        <v>0.1163</v>
      </c>
      <c r="EA8" s="229">
        <v>0.1467</v>
      </c>
      <c r="EB8" s="230">
        <v>2813900</v>
      </c>
      <c r="EC8" s="229">
        <v>5.7999999999999996E-3</v>
      </c>
      <c r="ED8" s="229">
        <v>0.1467</v>
      </c>
      <c r="EE8" s="228">
        <v>9.39</v>
      </c>
      <c r="EF8" s="229">
        <v>6.0000000000000001E-3</v>
      </c>
      <c r="EG8" s="230">
        <v>3966999</v>
      </c>
      <c r="EH8" s="230">
        <v>4802681</v>
      </c>
      <c r="EI8" s="229">
        <v>-0.17399999999999999</v>
      </c>
      <c r="EJ8" s="229">
        <v>0.63260000000000005</v>
      </c>
      <c r="EK8" s="231">
        <v>4111.38</v>
      </c>
      <c r="EL8" s="231">
        <v>1858</v>
      </c>
      <c r="EM8" s="228">
        <v>625.70000000000005</v>
      </c>
      <c r="EN8" s="228">
        <v>82.02</v>
      </c>
      <c r="EO8" s="231">
        <v>6595.08</v>
      </c>
      <c r="EP8" s="231">
        <v>6984.65</v>
      </c>
      <c r="EQ8" s="228">
        <v>-389.57</v>
      </c>
      <c r="ER8" s="229">
        <v>-5.5800000000000002E-2</v>
      </c>
      <c r="ES8" s="231">
        <v>1442.23</v>
      </c>
      <c r="ET8" s="231">
        <v>1130.25</v>
      </c>
      <c r="EU8" s="231">
        <v>3124.55</v>
      </c>
      <c r="EV8" s="231">
        <v>88142691</v>
      </c>
      <c r="EW8" s="231">
        <v>5697.04</v>
      </c>
      <c r="EX8" s="231">
        <v>5362.18</v>
      </c>
      <c r="EY8" s="228">
        <v>334.86</v>
      </c>
      <c r="EZ8" s="229">
        <v>6.2399999999999997E-2</v>
      </c>
      <c r="FA8" s="229">
        <v>0.42159999999999997</v>
      </c>
      <c r="FB8" s="227" t="s">
        <v>693</v>
      </c>
      <c r="FC8">
        <f t="shared" si="0"/>
        <v>458</v>
      </c>
    </row>
    <row r="9" spans="1:159" ht="17.25" thickBot="1" x14ac:dyDescent="0.3">
      <c r="A9" s="226">
        <v>46129</v>
      </c>
      <c r="B9" s="227" t="s">
        <v>161</v>
      </c>
      <c r="C9" s="227" t="s">
        <v>695</v>
      </c>
      <c r="D9" s="228">
        <v>3550</v>
      </c>
      <c r="E9" s="228">
        <v>11</v>
      </c>
      <c r="F9" s="228">
        <v>199.23</v>
      </c>
      <c r="G9" s="228">
        <v>193.68</v>
      </c>
      <c r="H9" s="228">
        <v>5.55</v>
      </c>
      <c r="I9" s="229">
        <v>2.87E-2</v>
      </c>
      <c r="J9" s="228">
        <v>198.5</v>
      </c>
      <c r="K9" s="228">
        <v>193.19</v>
      </c>
      <c r="L9" s="228">
        <v>5.31</v>
      </c>
      <c r="M9" s="229">
        <v>2.75E-2</v>
      </c>
      <c r="N9" s="228">
        <v>199.23</v>
      </c>
      <c r="O9" s="228">
        <v>193.68</v>
      </c>
      <c r="P9" s="228">
        <v>5.55</v>
      </c>
      <c r="Q9" s="229">
        <v>2.87E-2</v>
      </c>
      <c r="R9" s="228">
        <v>199.81</v>
      </c>
      <c r="S9" s="228">
        <v>194.65</v>
      </c>
      <c r="T9" s="228">
        <v>5.16</v>
      </c>
      <c r="U9" s="229">
        <v>2.6499999999999999E-2</v>
      </c>
      <c r="V9" s="228">
        <v>200.52</v>
      </c>
      <c r="W9" s="228">
        <v>195.37</v>
      </c>
      <c r="X9" s="228">
        <v>5.15</v>
      </c>
      <c r="Y9" s="229">
        <v>2.64E-2</v>
      </c>
      <c r="Z9" s="228">
        <v>0.73</v>
      </c>
      <c r="AA9" s="228">
        <v>0.49</v>
      </c>
      <c r="AB9" s="228">
        <v>0.24</v>
      </c>
      <c r="AC9" s="229">
        <v>3.7000000000000002E-3</v>
      </c>
      <c r="AD9" s="228">
        <v>0.73</v>
      </c>
      <c r="AE9" s="228">
        <v>0.49</v>
      </c>
      <c r="AF9" s="228">
        <v>0.24</v>
      </c>
      <c r="AG9" s="229">
        <v>3.7000000000000002E-3</v>
      </c>
      <c r="AH9" s="228">
        <v>1.31</v>
      </c>
      <c r="AI9" s="228">
        <v>1.46</v>
      </c>
      <c r="AJ9" s="228">
        <v>-0.15</v>
      </c>
      <c r="AK9" s="229">
        <v>6.6E-3</v>
      </c>
      <c r="AL9" s="228">
        <v>2.02</v>
      </c>
      <c r="AM9" s="228">
        <v>2.1800000000000002</v>
      </c>
      <c r="AN9" s="228">
        <v>-0.16</v>
      </c>
      <c r="AO9" s="229">
        <v>1.0200000000000001E-2</v>
      </c>
      <c r="AP9" s="228">
        <v>196.23</v>
      </c>
      <c r="AQ9" s="228">
        <v>196.27</v>
      </c>
      <c r="AR9" s="228">
        <v>0</v>
      </c>
      <c r="AS9" s="230">
        <v>1254</v>
      </c>
      <c r="AT9" s="228">
        <v>893</v>
      </c>
      <c r="AU9" s="228">
        <v>361</v>
      </c>
      <c r="AV9" s="229">
        <v>0.40439999999999998</v>
      </c>
      <c r="AW9" s="230">
        <v>1125</v>
      </c>
      <c r="AX9" s="228">
        <v>763</v>
      </c>
      <c r="AY9" s="228">
        <v>362</v>
      </c>
      <c r="AZ9" s="229">
        <v>0.4738</v>
      </c>
      <c r="BA9" s="228">
        <v>118</v>
      </c>
      <c r="BB9" s="228">
        <v>120</v>
      </c>
      <c r="BC9" s="228">
        <v>-2</v>
      </c>
      <c r="BD9" s="229">
        <v>-1.4800000000000001E-2</v>
      </c>
      <c r="BE9" s="228">
        <v>11</v>
      </c>
      <c r="BF9" s="228">
        <v>10</v>
      </c>
      <c r="BG9" s="228">
        <v>1</v>
      </c>
      <c r="BH9" s="229">
        <v>0.1135</v>
      </c>
      <c r="BI9" s="230">
        <v>2587</v>
      </c>
      <c r="BJ9" s="230">
        <v>2158</v>
      </c>
      <c r="BK9" s="228">
        <v>429</v>
      </c>
      <c r="BL9" s="229">
        <v>0.19869999999999999</v>
      </c>
      <c r="BM9" s="228">
        <v>955</v>
      </c>
      <c r="BN9" s="228">
        <v>746</v>
      </c>
      <c r="BO9" s="228">
        <v>209</v>
      </c>
      <c r="BP9" s="229">
        <v>0.28039999999999998</v>
      </c>
      <c r="BQ9" s="230">
        <v>4796</v>
      </c>
      <c r="BR9" s="230">
        <v>3797</v>
      </c>
      <c r="BS9" s="228">
        <v>999</v>
      </c>
      <c r="BT9" s="229">
        <v>0.2631</v>
      </c>
      <c r="BU9" s="230">
        <v>98947986</v>
      </c>
      <c r="BV9" s="230">
        <v>72919102</v>
      </c>
      <c r="BW9" s="230">
        <v>26028884</v>
      </c>
      <c r="BX9" s="229">
        <v>0.35699999999999998</v>
      </c>
      <c r="BY9" s="230">
        <v>1660</v>
      </c>
      <c r="BZ9" s="230">
        <v>1408</v>
      </c>
      <c r="CA9" s="228">
        <v>252</v>
      </c>
      <c r="CB9" s="229">
        <v>0.1794</v>
      </c>
      <c r="CC9" s="230">
        <v>1538</v>
      </c>
      <c r="CD9" s="230">
        <v>1300</v>
      </c>
      <c r="CE9" s="228">
        <v>238</v>
      </c>
      <c r="CF9" s="229">
        <v>0.1827</v>
      </c>
      <c r="CG9" s="228">
        <v>113</v>
      </c>
      <c r="CH9" s="228">
        <v>99</v>
      </c>
      <c r="CI9" s="228">
        <v>13</v>
      </c>
      <c r="CJ9" s="229">
        <v>0.1353</v>
      </c>
      <c r="CK9" s="228">
        <v>10</v>
      </c>
      <c r="CL9" s="228">
        <v>8</v>
      </c>
      <c r="CM9" s="228">
        <v>1</v>
      </c>
      <c r="CN9" s="229">
        <v>0.18260000000000001</v>
      </c>
      <c r="CO9" s="228">
        <v>589</v>
      </c>
      <c r="CP9" s="228">
        <v>556</v>
      </c>
      <c r="CQ9" s="228">
        <v>33</v>
      </c>
      <c r="CR9" s="229">
        <v>5.9900000000000002E-2</v>
      </c>
      <c r="CS9" s="228">
        <v>437</v>
      </c>
      <c r="CT9" s="228">
        <v>354</v>
      </c>
      <c r="CU9" s="228">
        <v>82</v>
      </c>
      <c r="CV9" s="229">
        <v>0.23250000000000001</v>
      </c>
      <c r="CW9" s="230">
        <v>2686</v>
      </c>
      <c r="CX9" s="230">
        <v>2318</v>
      </c>
      <c r="CY9" s="228">
        <v>368</v>
      </c>
      <c r="CZ9" s="229">
        <v>0.15890000000000001</v>
      </c>
      <c r="DA9" s="228">
        <v>53.27</v>
      </c>
      <c r="DB9" s="228">
        <v>54.75</v>
      </c>
      <c r="DC9" s="228">
        <v>-1.48</v>
      </c>
      <c r="DD9" s="228">
        <v>-1.48</v>
      </c>
      <c r="DE9" s="228">
        <v>52.67</v>
      </c>
      <c r="DF9" s="228">
        <v>52.67</v>
      </c>
      <c r="DG9" s="228">
        <v>0.6</v>
      </c>
      <c r="DH9" s="228">
        <v>0</v>
      </c>
      <c r="DI9" s="228">
        <v>52.55</v>
      </c>
      <c r="DJ9" s="228">
        <v>54.27</v>
      </c>
      <c r="DK9" s="228">
        <v>-1.72</v>
      </c>
      <c r="DL9" s="228">
        <v>-1.72</v>
      </c>
      <c r="DM9" s="228">
        <v>55.23</v>
      </c>
      <c r="DN9" s="228">
        <v>56.16</v>
      </c>
      <c r="DO9" s="228">
        <v>-0.93</v>
      </c>
      <c r="DP9" s="228">
        <v>-0.93</v>
      </c>
      <c r="DQ9" s="228">
        <v>0.74</v>
      </c>
      <c r="DR9" s="228">
        <v>0.64</v>
      </c>
      <c r="DS9" s="228">
        <v>0.1</v>
      </c>
      <c r="DT9" s="229">
        <v>0.15620000000000001</v>
      </c>
      <c r="DU9" s="228">
        <v>180</v>
      </c>
      <c r="DV9" s="228">
        <v>185</v>
      </c>
      <c r="DW9" s="228">
        <v>0.37</v>
      </c>
      <c r="DX9" s="228">
        <v>0.35</v>
      </c>
      <c r="DY9" s="228">
        <v>0.02</v>
      </c>
      <c r="DZ9" s="229">
        <v>5.7099999999999998E-2</v>
      </c>
      <c r="EA9" s="229">
        <v>7.3700000000000002E-2</v>
      </c>
      <c r="EB9" s="230">
        <v>5392450</v>
      </c>
      <c r="EC9" s="229">
        <v>2.8999999999999998E-3</v>
      </c>
      <c r="ED9" s="229">
        <v>7.3700000000000002E-2</v>
      </c>
      <c r="EE9" s="228">
        <v>0.04</v>
      </c>
      <c r="EF9" s="229">
        <v>2.0000000000000001E-4</v>
      </c>
      <c r="EG9" s="230">
        <v>26866341</v>
      </c>
      <c r="EH9" s="230">
        <v>21159168</v>
      </c>
      <c r="EI9" s="229">
        <v>0.2697</v>
      </c>
      <c r="EJ9" s="229">
        <v>0.27150000000000002</v>
      </c>
      <c r="EK9" s="231">
        <v>2687.58</v>
      </c>
      <c r="EL9" s="228">
        <v>904.11</v>
      </c>
      <c r="EM9" s="231">
        <v>1235.31</v>
      </c>
      <c r="EN9" s="228">
        <v>102.08</v>
      </c>
      <c r="EO9" s="231">
        <v>4827.01</v>
      </c>
      <c r="EP9" s="231">
        <v>3710.92</v>
      </c>
      <c r="EQ9" s="231">
        <v>1116.08</v>
      </c>
      <c r="ER9" s="229">
        <v>0.30080000000000001</v>
      </c>
      <c r="ES9" s="228">
        <v>560.16999999999996</v>
      </c>
      <c r="ET9" s="228">
        <v>389.58</v>
      </c>
      <c r="EU9" s="231">
        <v>1660.49</v>
      </c>
      <c r="EV9" s="231">
        <v>482906787</v>
      </c>
      <c r="EW9" s="231">
        <v>2610.2399999999998</v>
      </c>
      <c r="EX9" s="231">
        <v>2198.65</v>
      </c>
      <c r="EY9" s="228">
        <v>411.59</v>
      </c>
      <c r="EZ9" s="229">
        <v>0.18720000000000001</v>
      </c>
      <c r="FA9" s="229">
        <v>0.2792</v>
      </c>
      <c r="FB9" s="227" t="s">
        <v>555</v>
      </c>
      <c r="FC9">
        <f t="shared" si="0"/>
        <v>122</v>
      </c>
    </row>
    <row r="10" spans="1:159" ht="17.25" thickBot="1" x14ac:dyDescent="0.3">
      <c r="A10" s="226">
        <v>46129</v>
      </c>
      <c r="B10" s="227" t="s">
        <v>170</v>
      </c>
      <c r="C10" s="227" t="s">
        <v>497</v>
      </c>
      <c r="D10" s="228">
        <v>125</v>
      </c>
      <c r="E10" s="228">
        <v>11</v>
      </c>
      <c r="F10" s="231">
        <v>5579</v>
      </c>
      <c r="G10" s="231">
        <v>5565.5</v>
      </c>
      <c r="H10" s="228">
        <v>13.5</v>
      </c>
      <c r="I10" s="229">
        <v>2.3999999999999998E-3</v>
      </c>
      <c r="J10" s="231">
        <v>5582</v>
      </c>
      <c r="K10" s="231">
        <v>5570</v>
      </c>
      <c r="L10" s="228">
        <v>12</v>
      </c>
      <c r="M10" s="229">
        <v>2.2000000000000001E-3</v>
      </c>
      <c r="N10" s="231">
        <v>5579</v>
      </c>
      <c r="O10" s="231">
        <v>5565.5</v>
      </c>
      <c r="P10" s="228">
        <v>13.5</v>
      </c>
      <c r="Q10" s="229">
        <v>2.3999999999999998E-3</v>
      </c>
      <c r="R10" s="231">
        <v>5608.5</v>
      </c>
      <c r="S10" s="231">
        <v>5591.5</v>
      </c>
      <c r="T10" s="228">
        <v>17</v>
      </c>
      <c r="U10" s="229">
        <v>3.0000000000000001E-3</v>
      </c>
      <c r="V10" s="231">
        <v>5482</v>
      </c>
      <c r="W10" s="231">
        <v>5482</v>
      </c>
      <c r="X10" s="228">
        <v>0</v>
      </c>
      <c r="Y10" s="229">
        <v>0</v>
      </c>
      <c r="Z10" s="228">
        <v>-3</v>
      </c>
      <c r="AA10" s="228">
        <v>-4.5</v>
      </c>
      <c r="AB10" s="228">
        <v>1.5</v>
      </c>
      <c r="AC10" s="229">
        <v>-5.0000000000000001E-4</v>
      </c>
      <c r="AD10" s="228">
        <v>-3</v>
      </c>
      <c r="AE10" s="228">
        <v>-4.5</v>
      </c>
      <c r="AF10" s="228">
        <v>1.5</v>
      </c>
      <c r="AG10" s="229">
        <v>-5.0000000000000001E-4</v>
      </c>
      <c r="AH10" s="228">
        <v>26.5</v>
      </c>
      <c r="AI10" s="228">
        <v>21.5</v>
      </c>
      <c r="AJ10" s="228">
        <v>5</v>
      </c>
      <c r="AK10" s="229">
        <v>4.7000000000000002E-3</v>
      </c>
      <c r="AL10" s="228">
        <v>-100</v>
      </c>
      <c r="AM10" s="228">
        <v>-88</v>
      </c>
      <c r="AN10" s="228">
        <v>-12</v>
      </c>
      <c r="AO10" s="229">
        <v>-1.7899999999999999E-2</v>
      </c>
      <c r="AP10" s="231">
        <v>5566.65</v>
      </c>
      <c r="AQ10" s="231">
        <v>5588</v>
      </c>
      <c r="AR10" s="228">
        <v>0</v>
      </c>
      <c r="AS10" s="228">
        <v>58</v>
      </c>
      <c r="AT10" s="228">
        <v>96</v>
      </c>
      <c r="AU10" s="228">
        <v>-38</v>
      </c>
      <c r="AV10" s="229">
        <v>-0.39650000000000002</v>
      </c>
      <c r="AW10" s="228">
        <v>55</v>
      </c>
      <c r="AX10" s="228">
        <v>92</v>
      </c>
      <c r="AY10" s="228">
        <v>-37</v>
      </c>
      <c r="AZ10" s="229">
        <v>-0.40579999999999999</v>
      </c>
      <c r="BA10" s="228">
        <v>3</v>
      </c>
      <c r="BB10" s="228">
        <v>4</v>
      </c>
      <c r="BC10" s="228">
        <v>-1</v>
      </c>
      <c r="BD10" s="229">
        <v>-0.17860000000000001</v>
      </c>
      <c r="BE10" s="228">
        <v>0</v>
      </c>
      <c r="BF10" s="228">
        <v>0</v>
      </c>
      <c r="BG10" s="228">
        <v>0</v>
      </c>
      <c r="BH10" s="229">
        <v>0</v>
      </c>
      <c r="BI10" s="228">
        <v>157</v>
      </c>
      <c r="BJ10" s="228">
        <v>223</v>
      </c>
      <c r="BK10" s="228">
        <v>-65</v>
      </c>
      <c r="BL10" s="229">
        <v>-0.29330000000000001</v>
      </c>
      <c r="BM10" s="228">
        <v>52</v>
      </c>
      <c r="BN10" s="228">
        <v>81</v>
      </c>
      <c r="BO10" s="228">
        <v>-29</v>
      </c>
      <c r="BP10" s="229">
        <v>-0.36220000000000002</v>
      </c>
      <c r="BQ10" s="228">
        <v>267</v>
      </c>
      <c r="BR10" s="228">
        <v>400</v>
      </c>
      <c r="BS10" s="228">
        <v>-133</v>
      </c>
      <c r="BT10" s="229">
        <v>-0.33210000000000001</v>
      </c>
      <c r="BU10" s="230">
        <v>126859</v>
      </c>
      <c r="BV10" s="230">
        <v>117529</v>
      </c>
      <c r="BW10" s="230">
        <v>9330</v>
      </c>
      <c r="BX10" s="229">
        <v>7.9399999999999998E-2</v>
      </c>
      <c r="BY10" s="228">
        <v>655</v>
      </c>
      <c r="BZ10" s="228">
        <v>646</v>
      </c>
      <c r="CA10" s="228">
        <v>10</v>
      </c>
      <c r="CB10" s="229">
        <v>1.52E-2</v>
      </c>
      <c r="CC10" s="228">
        <v>649</v>
      </c>
      <c r="CD10" s="228">
        <v>640</v>
      </c>
      <c r="CE10" s="228">
        <v>9</v>
      </c>
      <c r="CF10" s="229">
        <v>1.43E-2</v>
      </c>
      <c r="CG10" s="228">
        <v>6</v>
      </c>
      <c r="CH10" s="228">
        <v>6</v>
      </c>
      <c r="CI10" s="228">
        <v>1</v>
      </c>
      <c r="CJ10" s="229">
        <v>0.125</v>
      </c>
      <c r="CK10" s="228">
        <v>0</v>
      </c>
      <c r="CL10" s="228">
        <v>0</v>
      </c>
      <c r="CM10" s="228">
        <v>0</v>
      </c>
      <c r="CN10" s="229">
        <v>0</v>
      </c>
      <c r="CO10" s="228">
        <v>156</v>
      </c>
      <c r="CP10" s="228">
        <v>139</v>
      </c>
      <c r="CQ10" s="228">
        <v>17</v>
      </c>
      <c r="CR10" s="229">
        <v>0.1211</v>
      </c>
      <c r="CS10" s="228">
        <v>85</v>
      </c>
      <c r="CT10" s="228">
        <v>84</v>
      </c>
      <c r="CU10" s="228">
        <v>1</v>
      </c>
      <c r="CV10" s="229">
        <v>1.1599999999999999E-2</v>
      </c>
      <c r="CW10" s="228">
        <v>896</v>
      </c>
      <c r="CX10" s="228">
        <v>869</v>
      </c>
      <c r="CY10" s="228">
        <v>28</v>
      </c>
      <c r="CZ10" s="229">
        <v>3.1899999999999998E-2</v>
      </c>
      <c r="DA10" s="228">
        <v>25.99</v>
      </c>
      <c r="DB10" s="228">
        <v>26.88</v>
      </c>
      <c r="DC10" s="228">
        <v>-0.89</v>
      </c>
      <c r="DD10" s="228">
        <v>-0.89</v>
      </c>
      <c r="DE10" s="228">
        <v>28.53</v>
      </c>
      <c r="DF10" s="228">
        <v>28.6</v>
      </c>
      <c r="DG10" s="228">
        <v>-2.54</v>
      </c>
      <c r="DH10" s="228">
        <v>-7.0000000000000007E-2</v>
      </c>
      <c r="DI10" s="228">
        <v>25.6</v>
      </c>
      <c r="DJ10" s="228">
        <v>26.58</v>
      </c>
      <c r="DK10" s="228">
        <v>-0.98</v>
      </c>
      <c r="DL10" s="228">
        <v>-0.98</v>
      </c>
      <c r="DM10" s="228">
        <v>27.19</v>
      </c>
      <c r="DN10" s="228">
        <v>27.7</v>
      </c>
      <c r="DO10" s="228">
        <v>-0.51</v>
      </c>
      <c r="DP10" s="228">
        <v>-0.51</v>
      </c>
      <c r="DQ10" s="228">
        <v>0.54</v>
      </c>
      <c r="DR10" s="228">
        <v>0.6</v>
      </c>
      <c r="DS10" s="228">
        <v>-0.06</v>
      </c>
      <c r="DT10" s="229">
        <v>-0.1</v>
      </c>
      <c r="DU10" s="231">
        <v>5900</v>
      </c>
      <c r="DV10" s="231">
        <v>5200</v>
      </c>
      <c r="DW10" s="228">
        <v>0.33</v>
      </c>
      <c r="DX10" s="228">
        <v>0.36</v>
      </c>
      <c r="DY10" s="228">
        <v>-0.03</v>
      </c>
      <c r="DZ10" s="229">
        <v>-8.3299999999999999E-2</v>
      </c>
      <c r="EA10" s="229">
        <v>9.7000000000000003E-3</v>
      </c>
      <c r="EB10" s="230">
        <v>10125</v>
      </c>
      <c r="EC10" s="229">
        <v>5.3E-3</v>
      </c>
      <c r="ED10" s="229">
        <v>9.7000000000000003E-3</v>
      </c>
      <c r="EE10" s="228">
        <v>21.35</v>
      </c>
      <c r="EF10" s="229">
        <v>3.8E-3</v>
      </c>
      <c r="EG10" s="230">
        <v>85180</v>
      </c>
      <c r="EH10" s="230">
        <v>67181</v>
      </c>
      <c r="EI10" s="229">
        <v>0.26790000000000003</v>
      </c>
      <c r="EJ10" s="229">
        <v>0.67149999999999999</v>
      </c>
      <c r="EK10" s="228">
        <v>162.56</v>
      </c>
      <c r="EL10" s="228">
        <v>50.84</v>
      </c>
      <c r="EM10" s="228">
        <v>57.84</v>
      </c>
      <c r="EN10" s="228">
        <v>11.59</v>
      </c>
      <c r="EO10" s="228">
        <v>271.23</v>
      </c>
      <c r="EP10" s="228">
        <v>408.51</v>
      </c>
      <c r="EQ10" s="228">
        <v>-137.28</v>
      </c>
      <c r="ER10" s="229">
        <v>-0.33600000000000002</v>
      </c>
      <c r="ES10" s="228">
        <v>158.1</v>
      </c>
      <c r="ET10" s="228">
        <v>80.05</v>
      </c>
      <c r="EU10" s="228">
        <v>655.42</v>
      </c>
      <c r="EV10" s="231">
        <v>5873365</v>
      </c>
      <c r="EW10" s="228">
        <v>893.58</v>
      </c>
      <c r="EX10" s="228">
        <v>863.08</v>
      </c>
      <c r="EY10" s="228">
        <v>30.5</v>
      </c>
      <c r="EZ10" s="229">
        <v>3.5299999999999998E-2</v>
      </c>
      <c r="FA10" s="229">
        <v>0.27360000000000001</v>
      </c>
      <c r="FB10" s="227" t="s">
        <v>555</v>
      </c>
      <c r="FC10">
        <f t="shared" si="0"/>
        <v>6</v>
      </c>
    </row>
    <row r="11" spans="1:159" ht="17.25" thickBot="1" x14ac:dyDescent="0.3">
      <c r="A11" s="226">
        <v>46129</v>
      </c>
      <c r="B11" s="227" t="s">
        <v>184</v>
      </c>
      <c r="C11" s="227" t="s">
        <v>679</v>
      </c>
      <c r="D11" s="228">
        <v>100</v>
      </c>
      <c r="E11" s="228">
        <v>11</v>
      </c>
      <c r="F11" s="231">
        <v>7941.5</v>
      </c>
      <c r="G11" s="231">
        <v>7734.5</v>
      </c>
      <c r="H11" s="228">
        <v>207</v>
      </c>
      <c r="I11" s="229">
        <v>2.6800000000000001E-2</v>
      </c>
      <c r="J11" s="231">
        <v>7958.5</v>
      </c>
      <c r="K11" s="231">
        <v>7714.5</v>
      </c>
      <c r="L11" s="228">
        <v>244</v>
      </c>
      <c r="M11" s="229">
        <v>3.1600000000000003E-2</v>
      </c>
      <c r="N11" s="231">
        <v>7941.5</v>
      </c>
      <c r="O11" s="231">
        <v>7734.5</v>
      </c>
      <c r="P11" s="228">
        <v>207</v>
      </c>
      <c r="Q11" s="229">
        <v>2.6800000000000001E-2</v>
      </c>
      <c r="R11" s="231">
        <v>7863</v>
      </c>
      <c r="S11" s="231">
        <v>7675</v>
      </c>
      <c r="T11" s="228">
        <v>188</v>
      </c>
      <c r="U11" s="229">
        <v>2.4500000000000001E-2</v>
      </c>
      <c r="V11" s="231">
        <v>7835</v>
      </c>
      <c r="W11" s="231">
        <v>7643.5</v>
      </c>
      <c r="X11" s="228">
        <v>191.5</v>
      </c>
      <c r="Y11" s="229">
        <v>2.5100000000000001E-2</v>
      </c>
      <c r="Z11" s="228">
        <v>-17</v>
      </c>
      <c r="AA11" s="228">
        <v>20</v>
      </c>
      <c r="AB11" s="228">
        <v>-37</v>
      </c>
      <c r="AC11" s="229">
        <v>-2.0999999999999999E-3</v>
      </c>
      <c r="AD11" s="228">
        <v>-17</v>
      </c>
      <c r="AE11" s="228">
        <v>20</v>
      </c>
      <c r="AF11" s="228">
        <v>-37</v>
      </c>
      <c r="AG11" s="229">
        <v>-2.0999999999999999E-3</v>
      </c>
      <c r="AH11" s="228">
        <v>-95.5</v>
      </c>
      <c r="AI11" s="228">
        <v>-39.5</v>
      </c>
      <c r="AJ11" s="228">
        <v>-56</v>
      </c>
      <c r="AK11" s="229">
        <v>-1.2E-2</v>
      </c>
      <c r="AL11" s="228">
        <v>-123.5</v>
      </c>
      <c r="AM11" s="228">
        <v>-71</v>
      </c>
      <c r="AN11" s="228">
        <v>-52.5</v>
      </c>
      <c r="AO11" s="229">
        <v>-1.55E-2</v>
      </c>
      <c r="AP11" s="231">
        <v>7849.67</v>
      </c>
      <c r="AQ11" s="231">
        <v>7775.93</v>
      </c>
      <c r="AR11" s="228">
        <v>0</v>
      </c>
      <c r="AS11" s="228">
        <v>347</v>
      </c>
      <c r="AT11" s="228">
        <v>457</v>
      </c>
      <c r="AU11" s="228">
        <v>-111</v>
      </c>
      <c r="AV11" s="229">
        <v>-0.24210000000000001</v>
      </c>
      <c r="AW11" s="228">
        <v>318</v>
      </c>
      <c r="AX11" s="228">
        <v>421</v>
      </c>
      <c r="AY11" s="228">
        <v>-103</v>
      </c>
      <c r="AZ11" s="229">
        <v>-0.24399999999999999</v>
      </c>
      <c r="BA11" s="228">
        <v>24</v>
      </c>
      <c r="BB11" s="228">
        <v>34</v>
      </c>
      <c r="BC11" s="228">
        <v>-10</v>
      </c>
      <c r="BD11" s="229">
        <v>-0.28599999999999998</v>
      </c>
      <c r="BE11" s="228">
        <v>4</v>
      </c>
      <c r="BF11" s="228">
        <v>3</v>
      </c>
      <c r="BG11" s="228">
        <v>2</v>
      </c>
      <c r="BH11" s="229">
        <v>0.65629999999999999</v>
      </c>
      <c r="BI11" s="230">
        <v>1892</v>
      </c>
      <c r="BJ11" s="230">
        <v>2967</v>
      </c>
      <c r="BK11" s="230">
        <v>-1074</v>
      </c>
      <c r="BL11" s="229">
        <v>-0.36220000000000002</v>
      </c>
      <c r="BM11" s="230">
        <v>1039</v>
      </c>
      <c r="BN11" s="230">
        <v>1300</v>
      </c>
      <c r="BO11" s="228">
        <v>-261</v>
      </c>
      <c r="BP11" s="229">
        <v>-0.20050000000000001</v>
      </c>
      <c r="BQ11" s="230">
        <v>3278</v>
      </c>
      <c r="BR11" s="230">
        <v>4724</v>
      </c>
      <c r="BS11" s="230">
        <v>-1446</v>
      </c>
      <c r="BT11" s="229">
        <v>-0.30609999999999998</v>
      </c>
      <c r="BU11" s="230">
        <v>407726</v>
      </c>
      <c r="BV11" s="230">
        <v>412714</v>
      </c>
      <c r="BW11" s="230">
        <v>-4988</v>
      </c>
      <c r="BX11" s="229">
        <v>-1.21E-2</v>
      </c>
      <c r="BY11" s="230">
        <v>1013</v>
      </c>
      <c r="BZ11" s="230">
        <v>1053</v>
      </c>
      <c r="CA11" s="228">
        <v>-39</v>
      </c>
      <c r="CB11" s="229">
        <v>-3.73E-2</v>
      </c>
      <c r="CC11" s="228">
        <v>951</v>
      </c>
      <c r="CD11" s="228">
        <v>993</v>
      </c>
      <c r="CE11" s="228">
        <v>-42</v>
      </c>
      <c r="CF11" s="229">
        <v>-4.2099999999999999E-2</v>
      </c>
      <c r="CG11" s="228">
        <v>56</v>
      </c>
      <c r="CH11" s="228">
        <v>55</v>
      </c>
      <c r="CI11" s="228">
        <v>0</v>
      </c>
      <c r="CJ11" s="229">
        <v>5.7999999999999996E-3</v>
      </c>
      <c r="CK11" s="228">
        <v>7</v>
      </c>
      <c r="CL11" s="228">
        <v>5</v>
      </c>
      <c r="CM11" s="228">
        <v>2</v>
      </c>
      <c r="CN11" s="229">
        <v>0.46550000000000002</v>
      </c>
      <c r="CO11" s="228">
        <v>798</v>
      </c>
      <c r="CP11" s="228">
        <v>766</v>
      </c>
      <c r="CQ11" s="228">
        <v>32</v>
      </c>
      <c r="CR11" s="229">
        <v>4.2099999999999999E-2</v>
      </c>
      <c r="CS11" s="228">
        <v>622</v>
      </c>
      <c r="CT11" s="228">
        <v>568</v>
      </c>
      <c r="CU11" s="228">
        <v>54</v>
      </c>
      <c r="CV11" s="229">
        <v>9.4899999999999998E-2</v>
      </c>
      <c r="CW11" s="230">
        <v>2433</v>
      </c>
      <c r="CX11" s="230">
        <v>2386</v>
      </c>
      <c r="CY11" s="228">
        <v>47</v>
      </c>
      <c r="CZ11" s="229">
        <v>1.9599999999999999E-2</v>
      </c>
      <c r="DA11" s="228">
        <v>44.29</v>
      </c>
      <c r="DB11" s="228">
        <v>45.88</v>
      </c>
      <c r="DC11" s="228">
        <v>-1.59</v>
      </c>
      <c r="DD11" s="228">
        <v>-1.59</v>
      </c>
      <c r="DE11" s="228">
        <v>54.33</v>
      </c>
      <c r="DF11" s="228">
        <v>54.35</v>
      </c>
      <c r="DG11" s="228">
        <v>-10.039999999999999</v>
      </c>
      <c r="DH11" s="228">
        <v>-0.02</v>
      </c>
      <c r="DI11" s="228">
        <v>43.48</v>
      </c>
      <c r="DJ11" s="228">
        <v>45.09</v>
      </c>
      <c r="DK11" s="228">
        <v>-1.61</v>
      </c>
      <c r="DL11" s="228">
        <v>-1.61</v>
      </c>
      <c r="DM11" s="228">
        <v>45.75</v>
      </c>
      <c r="DN11" s="228">
        <v>47.7</v>
      </c>
      <c r="DO11" s="228">
        <v>-1.95</v>
      </c>
      <c r="DP11" s="228">
        <v>-1.95</v>
      </c>
      <c r="DQ11" s="228">
        <v>0.78</v>
      </c>
      <c r="DR11" s="228">
        <v>0.74</v>
      </c>
      <c r="DS11" s="228">
        <v>0.04</v>
      </c>
      <c r="DT11" s="229">
        <v>5.4100000000000002E-2</v>
      </c>
      <c r="DU11" s="231">
        <v>8000</v>
      </c>
      <c r="DV11" s="231">
        <v>7000</v>
      </c>
      <c r="DW11" s="228">
        <v>0.55000000000000004</v>
      </c>
      <c r="DX11" s="228">
        <v>0.44</v>
      </c>
      <c r="DY11" s="228">
        <v>0.11</v>
      </c>
      <c r="DZ11" s="229">
        <v>0.25</v>
      </c>
      <c r="EA11" s="229">
        <v>6.1400000000000003E-2</v>
      </c>
      <c r="EB11" s="230">
        <v>75300</v>
      </c>
      <c r="EC11" s="229">
        <v>-9.9000000000000008E-3</v>
      </c>
      <c r="ED11" s="229">
        <v>6.1400000000000003E-2</v>
      </c>
      <c r="EE11" s="228">
        <v>-73.739999999999995</v>
      </c>
      <c r="EF11" s="229">
        <v>-9.4000000000000004E-3</v>
      </c>
      <c r="EG11" s="230">
        <v>137757</v>
      </c>
      <c r="EH11" s="230">
        <v>65403</v>
      </c>
      <c r="EI11" s="229">
        <v>1.1063000000000001</v>
      </c>
      <c r="EJ11" s="229">
        <v>0.33789999999999998</v>
      </c>
      <c r="EK11" s="231">
        <v>1964.77</v>
      </c>
      <c r="EL11" s="228">
        <v>970.23</v>
      </c>
      <c r="EM11" s="228">
        <v>342.3</v>
      </c>
      <c r="EN11" s="228">
        <v>58.39</v>
      </c>
      <c r="EO11" s="231">
        <v>3277.3</v>
      </c>
      <c r="EP11" s="231">
        <v>4638.47</v>
      </c>
      <c r="EQ11" s="231">
        <v>-1361.16</v>
      </c>
      <c r="ER11" s="229">
        <v>-0.29349999999999998</v>
      </c>
      <c r="ES11" s="228">
        <v>776.42</v>
      </c>
      <c r="ET11" s="228">
        <v>550.65</v>
      </c>
      <c r="EU11" s="231">
        <v>1012.7</v>
      </c>
      <c r="EV11" s="231">
        <v>3260820</v>
      </c>
      <c r="EW11" s="231">
        <v>2339.77</v>
      </c>
      <c r="EX11" s="231">
        <v>2256.86</v>
      </c>
      <c r="EY11" s="228">
        <v>82.91</v>
      </c>
      <c r="EZ11" s="229">
        <v>3.6700000000000003E-2</v>
      </c>
      <c r="FA11" s="229">
        <v>0.93959999999999999</v>
      </c>
      <c r="FB11" s="227" t="s">
        <v>693</v>
      </c>
      <c r="FC11">
        <f t="shared" si="0"/>
        <v>62</v>
      </c>
    </row>
    <row r="12" spans="1:159" ht="17.25" thickBot="1" x14ac:dyDescent="0.3">
      <c r="A12" s="226">
        <v>46129</v>
      </c>
      <c r="B12" s="227" t="s">
        <v>157</v>
      </c>
      <c r="C12" s="227" t="s">
        <v>164</v>
      </c>
      <c r="D12" s="228">
        <v>1050</v>
      </c>
      <c r="E12" s="228">
        <v>11</v>
      </c>
      <c r="F12" s="228">
        <v>458.8</v>
      </c>
      <c r="G12" s="228">
        <v>459.45</v>
      </c>
      <c r="H12" s="228">
        <v>-0.65</v>
      </c>
      <c r="I12" s="229">
        <v>-1.4E-3</v>
      </c>
      <c r="J12" s="228">
        <v>459</v>
      </c>
      <c r="K12" s="228">
        <v>458.05</v>
      </c>
      <c r="L12" s="228">
        <v>0.95</v>
      </c>
      <c r="M12" s="229">
        <v>2.0999999999999999E-3</v>
      </c>
      <c r="N12" s="228">
        <v>458.8</v>
      </c>
      <c r="O12" s="228">
        <v>459.45</v>
      </c>
      <c r="P12" s="228">
        <v>-0.65</v>
      </c>
      <c r="Q12" s="229">
        <v>-1.4E-3</v>
      </c>
      <c r="R12" s="228">
        <v>461.65</v>
      </c>
      <c r="S12" s="228">
        <v>461.9</v>
      </c>
      <c r="T12" s="228">
        <v>-0.25</v>
      </c>
      <c r="U12" s="229">
        <v>-5.0000000000000001E-4</v>
      </c>
      <c r="V12" s="228">
        <v>463.1</v>
      </c>
      <c r="W12" s="228">
        <v>463.85</v>
      </c>
      <c r="X12" s="228">
        <v>-0.75</v>
      </c>
      <c r="Y12" s="229">
        <v>-1.6000000000000001E-3</v>
      </c>
      <c r="Z12" s="228">
        <v>-0.2</v>
      </c>
      <c r="AA12" s="228">
        <v>1.4</v>
      </c>
      <c r="AB12" s="228">
        <v>-1.6</v>
      </c>
      <c r="AC12" s="229">
        <v>-4.0000000000000002E-4</v>
      </c>
      <c r="AD12" s="228">
        <v>-0.2</v>
      </c>
      <c r="AE12" s="228">
        <v>1.4</v>
      </c>
      <c r="AF12" s="228">
        <v>-1.6</v>
      </c>
      <c r="AG12" s="229">
        <v>-4.0000000000000002E-4</v>
      </c>
      <c r="AH12" s="228">
        <v>2.65</v>
      </c>
      <c r="AI12" s="228">
        <v>3.85</v>
      </c>
      <c r="AJ12" s="228">
        <v>-1.2</v>
      </c>
      <c r="AK12" s="229">
        <v>5.7999999999999996E-3</v>
      </c>
      <c r="AL12" s="228">
        <v>4.0999999999999996</v>
      </c>
      <c r="AM12" s="228">
        <v>5.8</v>
      </c>
      <c r="AN12" s="228">
        <v>-1.7</v>
      </c>
      <c r="AO12" s="229">
        <v>8.8999999999999999E-3</v>
      </c>
      <c r="AP12" s="228">
        <v>459.46</v>
      </c>
      <c r="AQ12" s="228">
        <v>461.97</v>
      </c>
      <c r="AR12" s="228">
        <v>0</v>
      </c>
      <c r="AS12" s="228">
        <v>187</v>
      </c>
      <c r="AT12" s="228">
        <v>225</v>
      </c>
      <c r="AU12" s="228">
        <v>-38</v>
      </c>
      <c r="AV12" s="229">
        <v>-0.17050000000000001</v>
      </c>
      <c r="AW12" s="228">
        <v>166</v>
      </c>
      <c r="AX12" s="228">
        <v>188</v>
      </c>
      <c r="AY12" s="228">
        <v>-22</v>
      </c>
      <c r="AZ12" s="229">
        <v>-0.1193</v>
      </c>
      <c r="BA12" s="228">
        <v>20</v>
      </c>
      <c r="BB12" s="228">
        <v>35</v>
      </c>
      <c r="BC12" s="228">
        <v>-15</v>
      </c>
      <c r="BD12" s="229">
        <v>-0.42899999999999999</v>
      </c>
      <c r="BE12" s="228">
        <v>1</v>
      </c>
      <c r="BF12" s="228">
        <v>2</v>
      </c>
      <c r="BG12" s="228">
        <v>-1</v>
      </c>
      <c r="BH12" s="229">
        <v>-0.4375</v>
      </c>
      <c r="BI12" s="228">
        <v>304</v>
      </c>
      <c r="BJ12" s="228">
        <v>463</v>
      </c>
      <c r="BK12" s="228">
        <v>-159</v>
      </c>
      <c r="BL12" s="229">
        <v>-0.34389999999999998</v>
      </c>
      <c r="BM12" s="228">
        <v>170</v>
      </c>
      <c r="BN12" s="228">
        <v>256</v>
      </c>
      <c r="BO12" s="228">
        <v>-87</v>
      </c>
      <c r="BP12" s="229">
        <v>-0.33779999999999999</v>
      </c>
      <c r="BQ12" s="228">
        <v>661</v>
      </c>
      <c r="BR12" s="228">
        <v>945</v>
      </c>
      <c r="BS12" s="228">
        <v>-284</v>
      </c>
      <c r="BT12" s="229">
        <v>-0.3009</v>
      </c>
      <c r="BU12" s="230">
        <v>2035940</v>
      </c>
      <c r="BV12" s="230">
        <v>2161245</v>
      </c>
      <c r="BW12" s="230">
        <v>-125305</v>
      </c>
      <c r="BX12" s="229">
        <v>-5.8000000000000003E-2</v>
      </c>
      <c r="BY12" s="230">
        <v>2737</v>
      </c>
      <c r="BZ12" s="230">
        <v>2746</v>
      </c>
      <c r="CA12" s="228">
        <v>-9</v>
      </c>
      <c r="CB12" s="229">
        <v>-3.3999999999999998E-3</v>
      </c>
      <c r="CC12" s="230">
        <v>2352</v>
      </c>
      <c r="CD12" s="230">
        <v>2371</v>
      </c>
      <c r="CE12" s="228">
        <v>-19</v>
      </c>
      <c r="CF12" s="229">
        <v>-8.0000000000000002E-3</v>
      </c>
      <c r="CG12" s="228">
        <v>379</v>
      </c>
      <c r="CH12" s="228">
        <v>370</v>
      </c>
      <c r="CI12" s="228">
        <v>9</v>
      </c>
      <c r="CJ12" s="229">
        <v>2.3800000000000002E-2</v>
      </c>
      <c r="CK12" s="228">
        <v>6</v>
      </c>
      <c r="CL12" s="228">
        <v>5</v>
      </c>
      <c r="CM12" s="228">
        <v>1</v>
      </c>
      <c r="CN12" s="229">
        <v>0.15179999999999999</v>
      </c>
      <c r="CO12" s="228">
        <v>487</v>
      </c>
      <c r="CP12" s="228">
        <v>488</v>
      </c>
      <c r="CQ12" s="228">
        <v>-1</v>
      </c>
      <c r="CR12" s="229">
        <v>-1.5E-3</v>
      </c>
      <c r="CS12" s="228">
        <v>459</v>
      </c>
      <c r="CT12" s="228">
        <v>459</v>
      </c>
      <c r="CU12" s="228">
        <v>0</v>
      </c>
      <c r="CV12" s="229">
        <v>-8.0000000000000004E-4</v>
      </c>
      <c r="CW12" s="230">
        <v>3683</v>
      </c>
      <c r="CX12" s="230">
        <v>3694</v>
      </c>
      <c r="CY12" s="228">
        <v>-11</v>
      </c>
      <c r="CZ12" s="229">
        <v>-2.8999999999999998E-3</v>
      </c>
      <c r="DA12" s="228">
        <v>35.770000000000003</v>
      </c>
      <c r="DB12" s="228">
        <v>35.69</v>
      </c>
      <c r="DC12" s="228">
        <v>0.08</v>
      </c>
      <c r="DD12" s="228">
        <v>0.08</v>
      </c>
      <c r="DE12" s="228">
        <v>36.78</v>
      </c>
      <c r="DF12" s="228">
        <v>36.880000000000003</v>
      </c>
      <c r="DG12" s="228">
        <v>-1.01</v>
      </c>
      <c r="DH12" s="228">
        <v>-0.1</v>
      </c>
      <c r="DI12" s="228">
        <v>34.51</v>
      </c>
      <c r="DJ12" s="228">
        <v>34.57</v>
      </c>
      <c r="DK12" s="228">
        <v>-0.06</v>
      </c>
      <c r="DL12" s="228">
        <v>-0.06</v>
      </c>
      <c r="DM12" s="228">
        <v>38.01</v>
      </c>
      <c r="DN12" s="228">
        <v>37.729999999999997</v>
      </c>
      <c r="DO12" s="228">
        <v>0.28000000000000003</v>
      </c>
      <c r="DP12" s="228">
        <v>0.28000000000000003</v>
      </c>
      <c r="DQ12" s="228">
        <v>0.94</v>
      </c>
      <c r="DR12" s="228">
        <v>0.94</v>
      </c>
      <c r="DS12" s="228">
        <v>0</v>
      </c>
      <c r="DT12" s="229">
        <v>0</v>
      </c>
      <c r="DU12" s="228">
        <v>500</v>
      </c>
      <c r="DV12" s="228">
        <v>500</v>
      </c>
      <c r="DW12" s="228">
        <v>0.56000000000000005</v>
      </c>
      <c r="DX12" s="228">
        <v>0.55000000000000004</v>
      </c>
      <c r="DY12" s="228">
        <v>0.01</v>
      </c>
      <c r="DZ12" s="229">
        <v>1.8200000000000001E-2</v>
      </c>
      <c r="EA12" s="229">
        <v>0.14069999999999999</v>
      </c>
      <c r="EB12" s="230">
        <v>8180550</v>
      </c>
      <c r="EC12" s="229">
        <v>6.1999999999999998E-3</v>
      </c>
      <c r="ED12" s="229">
        <v>0.14069999999999999</v>
      </c>
      <c r="EE12" s="228">
        <v>2.5099999999999998</v>
      </c>
      <c r="EF12" s="229">
        <v>5.4999999999999997E-3</v>
      </c>
      <c r="EG12" s="230">
        <v>1015021</v>
      </c>
      <c r="EH12" s="230">
        <v>913187</v>
      </c>
      <c r="EI12" s="229">
        <v>0.1115</v>
      </c>
      <c r="EJ12" s="229">
        <v>0.49859999999999999</v>
      </c>
      <c r="EK12" s="228">
        <v>317.47000000000003</v>
      </c>
      <c r="EL12" s="228">
        <v>165</v>
      </c>
      <c r="EM12" s="228">
        <v>187.36</v>
      </c>
      <c r="EN12" s="228">
        <v>52.9</v>
      </c>
      <c r="EO12" s="228">
        <v>669.83</v>
      </c>
      <c r="EP12" s="228">
        <v>956.57</v>
      </c>
      <c r="EQ12" s="228">
        <v>-286.74</v>
      </c>
      <c r="ER12" s="229">
        <v>-0.29980000000000001</v>
      </c>
      <c r="ES12" s="228">
        <v>483.83</v>
      </c>
      <c r="ET12" s="228">
        <v>460.59</v>
      </c>
      <c r="EU12" s="231">
        <v>2739.32</v>
      </c>
      <c r="EV12" s="231">
        <v>97233107</v>
      </c>
      <c r="EW12" s="231">
        <v>3683.74</v>
      </c>
      <c r="EX12" s="231">
        <v>3696.49</v>
      </c>
      <c r="EY12" s="228">
        <v>-12.75</v>
      </c>
      <c r="EZ12" s="229">
        <v>-3.3999999999999998E-3</v>
      </c>
      <c r="FA12" s="229">
        <v>0.8256</v>
      </c>
      <c r="FB12" s="227" t="s">
        <v>567</v>
      </c>
      <c r="FC12">
        <f t="shared" si="0"/>
        <v>385</v>
      </c>
    </row>
    <row r="13" spans="1:159" ht="17.25" thickBot="1" x14ac:dyDescent="0.3">
      <c r="A13" s="226">
        <v>46129</v>
      </c>
      <c r="B13" s="227" t="s">
        <v>175</v>
      </c>
      <c r="C13" s="227" t="s">
        <v>608</v>
      </c>
      <c r="D13" s="228">
        <v>2500</v>
      </c>
      <c r="E13" s="228">
        <v>11</v>
      </c>
      <c r="F13" s="228">
        <v>322.60000000000002</v>
      </c>
      <c r="G13" s="228">
        <v>289.8</v>
      </c>
      <c r="H13" s="228">
        <v>32.799999999999997</v>
      </c>
      <c r="I13" s="229">
        <v>0.1132</v>
      </c>
      <c r="J13" s="228">
        <v>322.47000000000003</v>
      </c>
      <c r="K13" s="228">
        <v>292.61</v>
      </c>
      <c r="L13" s="228">
        <v>29.86</v>
      </c>
      <c r="M13" s="229">
        <v>0.10199999999999999</v>
      </c>
      <c r="N13" s="228">
        <v>322.60000000000002</v>
      </c>
      <c r="O13" s="228">
        <v>289.8</v>
      </c>
      <c r="P13" s="228">
        <v>32.799999999999997</v>
      </c>
      <c r="Q13" s="229">
        <v>0.1132</v>
      </c>
      <c r="R13" s="228">
        <v>317.45999999999998</v>
      </c>
      <c r="S13" s="228">
        <v>286.57</v>
      </c>
      <c r="T13" s="228">
        <v>30.89</v>
      </c>
      <c r="U13" s="229">
        <v>0.10780000000000001</v>
      </c>
      <c r="V13" s="228">
        <v>314.64999999999998</v>
      </c>
      <c r="W13" s="228">
        <v>284.27999999999997</v>
      </c>
      <c r="X13" s="228">
        <v>30.37</v>
      </c>
      <c r="Y13" s="229">
        <v>0.10680000000000001</v>
      </c>
      <c r="Z13" s="228">
        <v>0.13</v>
      </c>
      <c r="AA13" s="228">
        <v>-2.81</v>
      </c>
      <c r="AB13" s="228">
        <v>2.94</v>
      </c>
      <c r="AC13" s="229">
        <v>4.0000000000000002E-4</v>
      </c>
      <c r="AD13" s="228">
        <v>0.13</v>
      </c>
      <c r="AE13" s="228">
        <v>-2.81</v>
      </c>
      <c r="AF13" s="228">
        <v>2.94</v>
      </c>
      <c r="AG13" s="229">
        <v>4.0000000000000002E-4</v>
      </c>
      <c r="AH13" s="228">
        <v>-5.01</v>
      </c>
      <c r="AI13" s="228">
        <v>-6.04</v>
      </c>
      <c r="AJ13" s="228">
        <v>1.03</v>
      </c>
      <c r="AK13" s="229">
        <v>-1.55E-2</v>
      </c>
      <c r="AL13" s="228">
        <v>-7.82</v>
      </c>
      <c r="AM13" s="228">
        <v>-8.33</v>
      </c>
      <c r="AN13" s="228">
        <v>0.51</v>
      </c>
      <c r="AO13" s="229">
        <v>-2.4299999999999999E-2</v>
      </c>
      <c r="AP13" s="228">
        <v>308.36</v>
      </c>
      <c r="AQ13" s="228">
        <v>303.64</v>
      </c>
      <c r="AR13" s="228">
        <v>0</v>
      </c>
      <c r="AS13" s="230">
        <v>1906</v>
      </c>
      <c r="AT13" s="228">
        <v>817</v>
      </c>
      <c r="AU13" s="230">
        <v>1089</v>
      </c>
      <c r="AV13" s="229">
        <v>1.3343</v>
      </c>
      <c r="AW13" s="230">
        <v>1612</v>
      </c>
      <c r="AX13" s="228">
        <v>650</v>
      </c>
      <c r="AY13" s="228">
        <v>962</v>
      </c>
      <c r="AZ13" s="229">
        <v>1.4804999999999999</v>
      </c>
      <c r="BA13" s="228">
        <v>268</v>
      </c>
      <c r="BB13" s="228">
        <v>162</v>
      </c>
      <c r="BC13" s="228">
        <v>106</v>
      </c>
      <c r="BD13" s="229">
        <v>0.65139999999999998</v>
      </c>
      <c r="BE13" s="228">
        <v>26</v>
      </c>
      <c r="BF13" s="228">
        <v>5</v>
      </c>
      <c r="BG13" s="228">
        <v>22</v>
      </c>
      <c r="BH13" s="229">
        <v>4.7544000000000004</v>
      </c>
      <c r="BI13" s="230">
        <v>13683</v>
      </c>
      <c r="BJ13" s="230">
        <v>2057</v>
      </c>
      <c r="BK13" s="230">
        <v>11626</v>
      </c>
      <c r="BL13" s="229">
        <v>5.6513</v>
      </c>
      <c r="BM13" s="230">
        <v>6625</v>
      </c>
      <c r="BN13" s="230">
        <v>1610</v>
      </c>
      <c r="BO13" s="230">
        <v>5015</v>
      </c>
      <c r="BP13" s="229">
        <v>3.1137999999999999</v>
      </c>
      <c r="BQ13" s="230">
        <v>22214</v>
      </c>
      <c r="BR13" s="230">
        <v>4484</v>
      </c>
      <c r="BS13" s="230">
        <v>17730</v>
      </c>
      <c r="BT13" s="229">
        <v>3.9539</v>
      </c>
      <c r="BU13" s="230">
        <v>83526215</v>
      </c>
      <c r="BV13" s="230">
        <v>14966857</v>
      </c>
      <c r="BW13" s="230">
        <v>68559358</v>
      </c>
      <c r="BX13" s="229">
        <v>4.5807000000000002</v>
      </c>
      <c r="BY13" s="230">
        <v>1027</v>
      </c>
      <c r="BZ13" s="228">
        <v>994</v>
      </c>
      <c r="CA13" s="228">
        <v>33</v>
      </c>
      <c r="CB13" s="229">
        <v>3.3000000000000002E-2</v>
      </c>
      <c r="CC13" s="228">
        <v>851</v>
      </c>
      <c r="CD13" s="228">
        <v>840</v>
      </c>
      <c r="CE13" s="228">
        <v>11</v>
      </c>
      <c r="CF13" s="229">
        <v>1.2699999999999999E-2</v>
      </c>
      <c r="CG13" s="228">
        <v>162</v>
      </c>
      <c r="CH13" s="228">
        <v>145</v>
      </c>
      <c r="CI13" s="228">
        <v>17</v>
      </c>
      <c r="CJ13" s="229">
        <v>0.1152</v>
      </c>
      <c r="CK13" s="228">
        <v>14</v>
      </c>
      <c r="CL13" s="228">
        <v>8</v>
      </c>
      <c r="CM13" s="228">
        <v>5</v>
      </c>
      <c r="CN13" s="229">
        <v>0.64759999999999995</v>
      </c>
      <c r="CO13" s="230">
        <v>1046</v>
      </c>
      <c r="CP13" s="228">
        <v>964</v>
      </c>
      <c r="CQ13" s="228">
        <v>82</v>
      </c>
      <c r="CR13" s="229">
        <v>8.4699999999999998E-2</v>
      </c>
      <c r="CS13" s="230">
        <v>1283</v>
      </c>
      <c r="CT13" s="228">
        <v>694</v>
      </c>
      <c r="CU13" s="228">
        <v>589</v>
      </c>
      <c r="CV13" s="229">
        <v>0.84950000000000003</v>
      </c>
      <c r="CW13" s="230">
        <v>3355</v>
      </c>
      <c r="CX13" s="230">
        <v>2652</v>
      </c>
      <c r="CY13" s="228">
        <v>704</v>
      </c>
      <c r="CZ13" s="229">
        <v>0.26540000000000002</v>
      </c>
      <c r="DA13" s="228">
        <v>47.43</v>
      </c>
      <c r="DB13" s="228">
        <v>56.57</v>
      </c>
      <c r="DC13" s="228">
        <v>-9.14</v>
      </c>
      <c r="DD13" s="228">
        <v>-9.14</v>
      </c>
      <c r="DE13" s="228">
        <v>57.5</v>
      </c>
      <c r="DF13" s="228">
        <v>55.99</v>
      </c>
      <c r="DG13" s="228">
        <v>-10.07</v>
      </c>
      <c r="DH13" s="228">
        <v>1.51</v>
      </c>
      <c r="DI13" s="228">
        <v>45.23</v>
      </c>
      <c r="DJ13" s="228">
        <v>56.45</v>
      </c>
      <c r="DK13" s="228">
        <v>-11.22</v>
      </c>
      <c r="DL13" s="228">
        <v>-11.22</v>
      </c>
      <c r="DM13" s="228">
        <v>51.98</v>
      </c>
      <c r="DN13" s="228">
        <v>56.72</v>
      </c>
      <c r="DO13" s="228">
        <v>-4.74</v>
      </c>
      <c r="DP13" s="228">
        <v>-4.74</v>
      </c>
      <c r="DQ13" s="228">
        <v>1.23</v>
      </c>
      <c r="DR13" s="228">
        <v>0.72</v>
      </c>
      <c r="DS13" s="228">
        <v>0.51</v>
      </c>
      <c r="DT13" s="229">
        <v>0.70830000000000004</v>
      </c>
      <c r="DU13" s="228">
        <v>300</v>
      </c>
      <c r="DV13" s="228">
        <v>300</v>
      </c>
      <c r="DW13" s="228">
        <v>0.48</v>
      </c>
      <c r="DX13" s="228">
        <v>0.78</v>
      </c>
      <c r="DY13" s="228">
        <v>-0.3</v>
      </c>
      <c r="DZ13" s="229">
        <v>-0.3846</v>
      </c>
      <c r="EA13" s="229">
        <v>0.17100000000000001</v>
      </c>
      <c r="EB13" s="230">
        <v>4755000</v>
      </c>
      <c r="EC13" s="229">
        <v>-1.5900000000000001E-2</v>
      </c>
      <c r="ED13" s="229">
        <v>0.17100000000000001</v>
      </c>
      <c r="EE13" s="228">
        <v>-4.72</v>
      </c>
      <c r="EF13" s="229">
        <v>-1.5299999999999999E-2</v>
      </c>
      <c r="EG13" s="230">
        <v>14991728</v>
      </c>
      <c r="EH13" s="230">
        <v>4136952</v>
      </c>
      <c r="EI13" s="229">
        <v>2.6238999999999999</v>
      </c>
      <c r="EJ13" s="229">
        <v>0.17949999999999999</v>
      </c>
      <c r="EK13" s="231">
        <v>13825.05</v>
      </c>
      <c r="EL13" s="231">
        <v>6144.62</v>
      </c>
      <c r="EM13" s="231">
        <v>1817.55</v>
      </c>
      <c r="EN13" s="228">
        <v>67.63</v>
      </c>
      <c r="EO13" s="231">
        <v>21787.22</v>
      </c>
      <c r="EP13" s="231">
        <v>4148.04</v>
      </c>
      <c r="EQ13" s="231">
        <v>17639.18</v>
      </c>
      <c r="ER13" s="229">
        <v>4.2523999999999997</v>
      </c>
      <c r="ES13" s="231">
        <v>1001.12</v>
      </c>
      <c r="ET13" s="231">
        <v>1137.5899999999999</v>
      </c>
      <c r="EU13" s="231">
        <v>1023.59</v>
      </c>
      <c r="EV13" s="231">
        <v>96940911</v>
      </c>
      <c r="EW13" s="231">
        <v>3162.3</v>
      </c>
      <c r="EX13" s="231">
        <v>2339</v>
      </c>
      <c r="EY13" s="228">
        <v>823.3</v>
      </c>
      <c r="EZ13" s="229">
        <v>0.35199999999999998</v>
      </c>
      <c r="FA13" s="229">
        <v>1.0729</v>
      </c>
      <c r="FB13" s="227" t="s">
        <v>555</v>
      </c>
      <c r="FC13">
        <f t="shared" si="0"/>
        <v>176</v>
      </c>
    </row>
    <row r="14" spans="1:159" ht="17.25" thickBot="1" x14ac:dyDescent="0.3">
      <c r="A14" s="226">
        <v>46129</v>
      </c>
      <c r="B14" s="227" t="s">
        <v>227</v>
      </c>
      <c r="C14" s="227" t="s">
        <v>597</v>
      </c>
      <c r="D14" s="228">
        <v>350</v>
      </c>
      <c r="E14" s="228">
        <v>11</v>
      </c>
      <c r="F14" s="231">
        <v>2105.9</v>
      </c>
      <c r="G14" s="231">
        <v>2053.1</v>
      </c>
      <c r="H14" s="228">
        <v>52.8</v>
      </c>
      <c r="I14" s="229">
        <v>2.5700000000000001E-2</v>
      </c>
      <c r="J14" s="231">
        <v>2105.6999999999998</v>
      </c>
      <c r="K14" s="231">
        <v>2045.3</v>
      </c>
      <c r="L14" s="228">
        <v>60.4</v>
      </c>
      <c r="M14" s="229">
        <v>2.9499999999999998E-2</v>
      </c>
      <c r="N14" s="231">
        <v>2105.9</v>
      </c>
      <c r="O14" s="231">
        <v>2053.1</v>
      </c>
      <c r="P14" s="228">
        <v>52.8</v>
      </c>
      <c r="Q14" s="229">
        <v>2.5700000000000001E-2</v>
      </c>
      <c r="R14" s="231">
        <v>2115.6</v>
      </c>
      <c r="S14" s="231">
        <v>2059.4</v>
      </c>
      <c r="T14" s="228">
        <v>56.2</v>
      </c>
      <c r="U14" s="229">
        <v>2.7300000000000001E-2</v>
      </c>
      <c r="V14" s="231">
        <v>2126.5</v>
      </c>
      <c r="W14" s="231">
        <v>2078.4</v>
      </c>
      <c r="X14" s="228">
        <v>48.1</v>
      </c>
      <c r="Y14" s="229">
        <v>2.3099999999999999E-2</v>
      </c>
      <c r="Z14" s="228">
        <v>0.2</v>
      </c>
      <c r="AA14" s="228">
        <v>7.8</v>
      </c>
      <c r="AB14" s="228">
        <v>-7.6</v>
      </c>
      <c r="AC14" s="229">
        <v>1E-4</v>
      </c>
      <c r="AD14" s="228">
        <v>0.2</v>
      </c>
      <c r="AE14" s="228">
        <v>7.8</v>
      </c>
      <c r="AF14" s="228">
        <v>-7.6</v>
      </c>
      <c r="AG14" s="229">
        <v>1E-4</v>
      </c>
      <c r="AH14" s="228">
        <v>9.9</v>
      </c>
      <c r="AI14" s="228">
        <v>14.1</v>
      </c>
      <c r="AJ14" s="228">
        <v>-4.2</v>
      </c>
      <c r="AK14" s="229">
        <v>4.7000000000000002E-3</v>
      </c>
      <c r="AL14" s="228">
        <v>20.8</v>
      </c>
      <c r="AM14" s="228">
        <v>33.1</v>
      </c>
      <c r="AN14" s="228">
        <v>-12.3</v>
      </c>
      <c r="AO14" s="229">
        <v>9.9000000000000008E-3</v>
      </c>
      <c r="AP14" s="231">
        <v>2092.5100000000002</v>
      </c>
      <c r="AQ14" s="231">
        <v>2103.9899999999998</v>
      </c>
      <c r="AR14" s="228">
        <v>0</v>
      </c>
      <c r="AS14" s="228">
        <v>158</v>
      </c>
      <c r="AT14" s="228">
        <v>299</v>
      </c>
      <c r="AU14" s="228">
        <v>-140</v>
      </c>
      <c r="AV14" s="229">
        <v>-0.46989999999999998</v>
      </c>
      <c r="AW14" s="228">
        <v>148</v>
      </c>
      <c r="AX14" s="228">
        <v>192</v>
      </c>
      <c r="AY14" s="228">
        <v>-44</v>
      </c>
      <c r="AZ14" s="229">
        <v>-0.2303</v>
      </c>
      <c r="BA14" s="228">
        <v>10</v>
      </c>
      <c r="BB14" s="228">
        <v>5</v>
      </c>
      <c r="BC14" s="228">
        <v>5</v>
      </c>
      <c r="BD14" s="229">
        <v>0.95450000000000002</v>
      </c>
      <c r="BE14" s="228">
        <v>1</v>
      </c>
      <c r="BF14" s="228">
        <v>102</v>
      </c>
      <c r="BG14" s="228">
        <v>-101</v>
      </c>
      <c r="BH14" s="229">
        <v>-0.98839999999999995</v>
      </c>
      <c r="BI14" s="228">
        <v>817</v>
      </c>
      <c r="BJ14" s="228">
        <v>339</v>
      </c>
      <c r="BK14" s="228">
        <v>478</v>
      </c>
      <c r="BL14" s="229">
        <v>1.4069</v>
      </c>
      <c r="BM14" s="228">
        <v>228</v>
      </c>
      <c r="BN14" s="228">
        <v>103</v>
      </c>
      <c r="BO14" s="228">
        <v>124</v>
      </c>
      <c r="BP14" s="229">
        <v>1.1994</v>
      </c>
      <c r="BQ14" s="230">
        <v>1203</v>
      </c>
      <c r="BR14" s="228">
        <v>742</v>
      </c>
      <c r="BS14" s="228">
        <v>461</v>
      </c>
      <c r="BT14" s="229">
        <v>0.62170000000000003</v>
      </c>
      <c r="BU14" s="230">
        <v>757328</v>
      </c>
      <c r="BV14" s="230">
        <v>553891</v>
      </c>
      <c r="BW14" s="230">
        <v>203437</v>
      </c>
      <c r="BX14" s="229">
        <v>0.36730000000000002</v>
      </c>
      <c r="BY14" s="230">
        <v>1071</v>
      </c>
      <c r="BZ14" s="230">
        <v>1078</v>
      </c>
      <c r="CA14" s="228">
        <v>-7</v>
      </c>
      <c r="CB14" s="229">
        <v>-6.1999999999999998E-3</v>
      </c>
      <c r="CC14" s="228">
        <v>951</v>
      </c>
      <c r="CD14" s="228">
        <v>960</v>
      </c>
      <c r="CE14" s="228">
        <v>-9</v>
      </c>
      <c r="CF14" s="229">
        <v>-8.8999999999999999E-3</v>
      </c>
      <c r="CG14" s="228">
        <v>17</v>
      </c>
      <c r="CH14" s="228">
        <v>15</v>
      </c>
      <c r="CI14" s="228">
        <v>2</v>
      </c>
      <c r="CJ14" s="229">
        <v>0.12620000000000001</v>
      </c>
      <c r="CK14" s="228">
        <v>103</v>
      </c>
      <c r="CL14" s="228">
        <v>103</v>
      </c>
      <c r="CM14" s="228">
        <v>0</v>
      </c>
      <c r="CN14" s="229">
        <v>-6.9999999999999999E-4</v>
      </c>
      <c r="CO14" s="228">
        <v>271</v>
      </c>
      <c r="CP14" s="228">
        <v>251</v>
      </c>
      <c r="CQ14" s="228">
        <v>20</v>
      </c>
      <c r="CR14" s="229">
        <v>8.1100000000000005E-2</v>
      </c>
      <c r="CS14" s="228">
        <v>183</v>
      </c>
      <c r="CT14" s="228">
        <v>176</v>
      </c>
      <c r="CU14" s="228">
        <v>7</v>
      </c>
      <c r="CV14" s="229">
        <v>3.9399999999999998E-2</v>
      </c>
      <c r="CW14" s="230">
        <v>1526</v>
      </c>
      <c r="CX14" s="230">
        <v>1505</v>
      </c>
      <c r="CY14" s="228">
        <v>21</v>
      </c>
      <c r="CZ14" s="229">
        <v>1.37E-2</v>
      </c>
      <c r="DA14" s="228">
        <v>32.42</v>
      </c>
      <c r="DB14" s="228">
        <v>33.15</v>
      </c>
      <c r="DC14" s="228">
        <v>-0.73</v>
      </c>
      <c r="DD14" s="228">
        <v>-0.73</v>
      </c>
      <c r="DE14" s="228">
        <v>36.049999999999997</v>
      </c>
      <c r="DF14" s="228">
        <v>35.92</v>
      </c>
      <c r="DG14" s="228">
        <v>-3.63</v>
      </c>
      <c r="DH14" s="228">
        <v>0.13</v>
      </c>
      <c r="DI14" s="228">
        <v>31.58</v>
      </c>
      <c r="DJ14" s="228">
        <v>32.340000000000003</v>
      </c>
      <c r="DK14" s="228">
        <v>-0.76</v>
      </c>
      <c r="DL14" s="228">
        <v>-0.76</v>
      </c>
      <c r="DM14" s="228">
        <v>35.46</v>
      </c>
      <c r="DN14" s="228">
        <v>35.81</v>
      </c>
      <c r="DO14" s="228">
        <v>-0.35</v>
      </c>
      <c r="DP14" s="228">
        <v>-0.35</v>
      </c>
      <c r="DQ14" s="228">
        <v>0.67</v>
      </c>
      <c r="DR14" s="228">
        <v>0.7</v>
      </c>
      <c r="DS14" s="228">
        <v>-0.03</v>
      </c>
      <c r="DT14" s="229">
        <v>-4.2900000000000001E-2</v>
      </c>
      <c r="DU14" s="231">
        <v>2200</v>
      </c>
      <c r="DV14" s="231">
        <v>2000</v>
      </c>
      <c r="DW14" s="228">
        <v>0.28000000000000003</v>
      </c>
      <c r="DX14" s="228">
        <v>0.3</v>
      </c>
      <c r="DY14" s="228">
        <v>-0.02</v>
      </c>
      <c r="DZ14" s="229">
        <v>-6.6699999999999995E-2</v>
      </c>
      <c r="EA14" s="229">
        <v>0.1123</v>
      </c>
      <c r="EB14" s="230">
        <v>562800</v>
      </c>
      <c r="EC14" s="229">
        <v>4.5999999999999999E-3</v>
      </c>
      <c r="ED14" s="229">
        <v>0.1123</v>
      </c>
      <c r="EE14" s="228">
        <v>11.48</v>
      </c>
      <c r="EF14" s="229">
        <v>5.4999999999999997E-3</v>
      </c>
      <c r="EG14" s="230">
        <v>390685</v>
      </c>
      <c r="EH14" s="230">
        <v>309158</v>
      </c>
      <c r="EI14" s="229">
        <v>0.26369999999999999</v>
      </c>
      <c r="EJ14" s="229">
        <v>0.51590000000000003</v>
      </c>
      <c r="EK14" s="228">
        <v>840.05</v>
      </c>
      <c r="EL14" s="228">
        <v>218.3</v>
      </c>
      <c r="EM14" s="228">
        <v>157.52000000000001</v>
      </c>
      <c r="EN14" s="228">
        <v>29.93</v>
      </c>
      <c r="EO14" s="231">
        <v>1215.8699999999999</v>
      </c>
      <c r="EP14" s="228">
        <v>732.42</v>
      </c>
      <c r="EQ14" s="228">
        <v>483.45</v>
      </c>
      <c r="ER14" s="229">
        <v>0.66010000000000002</v>
      </c>
      <c r="ES14" s="228">
        <v>272.44</v>
      </c>
      <c r="ET14" s="228">
        <v>169.26</v>
      </c>
      <c r="EU14" s="231">
        <v>1072.4100000000001</v>
      </c>
      <c r="EV14" s="231">
        <v>29871221</v>
      </c>
      <c r="EW14" s="231">
        <v>1514.12</v>
      </c>
      <c r="EX14" s="231">
        <v>1463.31</v>
      </c>
      <c r="EY14" s="228">
        <v>50.81</v>
      </c>
      <c r="EZ14" s="229">
        <v>3.4700000000000002E-2</v>
      </c>
      <c r="FA14" s="229">
        <v>0.24249999999999999</v>
      </c>
      <c r="FB14" s="227" t="s">
        <v>693</v>
      </c>
      <c r="FC14">
        <f t="shared" si="0"/>
        <v>120</v>
      </c>
    </row>
    <row r="15" spans="1:159" ht="17.25" thickBot="1" x14ac:dyDescent="0.3">
      <c r="A15" s="226">
        <v>46129</v>
      </c>
      <c r="B15" s="227" t="s">
        <v>170</v>
      </c>
      <c r="C15" s="227" t="s">
        <v>165</v>
      </c>
      <c r="D15" s="228">
        <v>125</v>
      </c>
      <c r="E15" s="228">
        <v>11</v>
      </c>
      <c r="F15" s="231">
        <v>7698</v>
      </c>
      <c r="G15" s="231">
        <v>7556</v>
      </c>
      <c r="H15" s="228">
        <v>142</v>
      </c>
      <c r="I15" s="229">
        <v>1.8800000000000001E-2</v>
      </c>
      <c r="J15" s="231">
        <v>7699</v>
      </c>
      <c r="K15" s="231">
        <v>7553</v>
      </c>
      <c r="L15" s="228">
        <v>146</v>
      </c>
      <c r="M15" s="229">
        <v>1.9300000000000001E-2</v>
      </c>
      <c r="N15" s="231">
        <v>7698</v>
      </c>
      <c r="O15" s="231">
        <v>7556</v>
      </c>
      <c r="P15" s="228">
        <v>142</v>
      </c>
      <c r="Q15" s="229">
        <v>1.8800000000000001E-2</v>
      </c>
      <c r="R15" s="231">
        <v>7738.5</v>
      </c>
      <c r="S15" s="231">
        <v>7599.5</v>
      </c>
      <c r="T15" s="228">
        <v>139</v>
      </c>
      <c r="U15" s="229">
        <v>1.83E-2</v>
      </c>
      <c r="V15" s="231">
        <v>7787</v>
      </c>
      <c r="W15" s="231">
        <v>7620.5</v>
      </c>
      <c r="X15" s="228">
        <v>166.5</v>
      </c>
      <c r="Y15" s="229">
        <v>2.18E-2</v>
      </c>
      <c r="Z15" s="228">
        <v>-1</v>
      </c>
      <c r="AA15" s="228">
        <v>3</v>
      </c>
      <c r="AB15" s="228">
        <v>-4</v>
      </c>
      <c r="AC15" s="229">
        <v>-1E-4</v>
      </c>
      <c r="AD15" s="228">
        <v>-1</v>
      </c>
      <c r="AE15" s="228">
        <v>3</v>
      </c>
      <c r="AF15" s="228">
        <v>-4</v>
      </c>
      <c r="AG15" s="229">
        <v>-1E-4</v>
      </c>
      <c r="AH15" s="228">
        <v>39.5</v>
      </c>
      <c r="AI15" s="228">
        <v>46.5</v>
      </c>
      <c r="AJ15" s="228">
        <v>-7</v>
      </c>
      <c r="AK15" s="229">
        <v>5.1000000000000004E-3</v>
      </c>
      <c r="AL15" s="228">
        <v>88</v>
      </c>
      <c r="AM15" s="228">
        <v>67.5</v>
      </c>
      <c r="AN15" s="228">
        <v>20.5</v>
      </c>
      <c r="AO15" s="229">
        <v>1.14E-2</v>
      </c>
      <c r="AP15" s="231">
        <v>7658.62</v>
      </c>
      <c r="AQ15" s="231">
        <v>7682.6</v>
      </c>
      <c r="AR15" s="228">
        <v>0</v>
      </c>
      <c r="AS15" s="228">
        <v>242</v>
      </c>
      <c r="AT15" s="228">
        <v>349</v>
      </c>
      <c r="AU15" s="228">
        <v>-107</v>
      </c>
      <c r="AV15" s="229">
        <v>-0.30599999999999999</v>
      </c>
      <c r="AW15" s="228">
        <v>202</v>
      </c>
      <c r="AX15" s="228">
        <v>311</v>
      </c>
      <c r="AY15" s="228">
        <v>-109</v>
      </c>
      <c r="AZ15" s="229">
        <v>-0.35039999999999999</v>
      </c>
      <c r="BA15" s="228">
        <v>38</v>
      </c>
      <c r="BB15" s="228">
        <v>37</v>
      </c>
      <c r="BC15" s="228">
        <v>1</v>
      </c>
      <c r="BD15" s="229">
        <v>2.3400000000000001E-2</v>
      </c>
      <c r="BE15" s="228">
        <v>2</v>
      </c>
      <c r="BF15" s="228">
        <v>1</v>
      </c>
      <c r="BG15" s="228">
        <v>1</v>
      </c>
      <c r="BH15" s="229">
        <v>1.1818</v>
      </c>
      <c r="BI15" s="230">
        <v>2202</v>
      </c>
      <c r="BJ15" s="230">
        <v>1688</v>
      </c>
      <c r="BK15" s="228">
        <v>514</v>
      </c>
      <c r="BL15" s="229">
        <v>0.30420000000000003</v>
      </c>
      <c r="BM15" s="228">
        <v>819</v>
      </c>
      <c r="BN15" s="228">
        <v>973</v>
      </c>
      <c r="BO15" s="228">
        <v>-153</v>
      </c>
      <c r="BP15" s="229">
        <v>-0.15770000000000001</v>
      </c>
      <c r="BQ15" s="230">
        <v>3263</v>
      </c>
      <c r="BR15" s="230">
        <v>3010</v>
      </c>
      <c r="BS15" s="228">
        <v>253</v>
      </c>
      <c r="BT15" s="229">
        <v>8.4199999999999997E-2</v>
      </c>
      <c r="BU15" s="230">
        <v>354844</v>
      </c>
      <c r="BV15" s="230">
        <v>412795</v>
      </c>
      <c r="BW15" s="230">
        <v>-57951</v>
      </c>
      <c r="BX15" s="229">
        <v>-0.1404</v>
      </c>
      <c r="BY15" s="230">
        <v>1845</v>
      </c>
      <c r="BZ15" s="230">
        <v>1889</v>
      </c>
      <c r="CA15" s="228">
        <v>-44</v>
      </c>
      <c r="CB15" s="229">
        <v>-2.3400000000000001E-2</v>
      </c>
      <c r="CC15" s="230">
        <v>1756</v>
      </c>
      <c r="CD15" s="230">
        <v>1800</v>
      </c>
      <c r="CE15" s="228">
        <v>-43</v>
      </c>
      <c r="CF15" s="229">
        <v>-2.4199999999999999E-2</v>
      </c>
      <c r="CG15" s="228">
        <v>78</v>
      </c>
      <c r="CH15" s="228">
        <v>80</v>
      </c>
      <c r="CI15" s="228">
        <v>-1</v>
      </c>
      <c r="CJ15" s="229">
        <v>-1.6899999999999998E-2</v>
      </c>
      <c r="CK15" s="228">
        <v>10</v>
      </c>
      <c r="CL15" s="228">
        <v>10</v>
      </c>
      <c r="CM15" s="228">
        <v>1</v>
      </c>
      <c r="CN15" s="229">
        <v>0.06</v>
      </c>
      <c r="CO15" s="228">
        <v>672</v>
      </c>
      <c r="CP15" s="228">
        <v>667</v>
      </c>
      <c r="CQ15" s="228">
        <v>5</v>
      </c>
      <c r="CR15" s="229">
        <v>7.1999999999999998E-3</v>
      </c>
      <c r="CS15" s="228">
        <v>613</v>
      </c>
      <c r="CT15" s="228">
        <v>558</v>
      </c>
      <c r="CU15" s="228">
        <v>55</v>
      </c>
      <c r="CV15" s="229">
        <v>9.8199999999999996E-2</v>
      </c>
      <c r="CW15" s="230">
        <v>3130</v>
      </c>
      <c r="CX15" s="230">
        <v>3114</v>
      </c>
      <c r="CY15" s="228">
        <v>15</v>
      </c>
      <c r="CZ15" s="229">
        <v>4.8999999999999998E-3</v>
      </c>
      <c r="DA15" s="228">
        <v>22.92</v>
      </c>
      <c r="DB15" s="228">
        <v>24.51</v>
      </c>
      <c r="DC15" s="228">
        <v>-1.59</v>
      </c>
      <c r="DD15" s="228">
        <v>-1.59</v>
      </c>
      <c r="DE15" s="228">
        <v>25.23</v>
      </c>
      <c r="DF15" s="228">
        <v>25.16</v>
      </c>
      <c r="DG15" s="228">
        <v>-2.31</v>
      </c>
      <c r="DH15" s="228">
        <v>7.0000000000000007E-2</v>
      </c>
      <c r="DI15" s="228">
        <v>22.34</v>
      </c>
      <c r="DJ15" s="228">
        <v>24.08</v>
      </c>
      <c r="DK15" s="228">
        <v>-1.74</v>
      </c>
      <c r="DL15" s="228">
        <v>-1.74</v>
      </c>
      <c r="DM15" s="228">
        <v>24.48</v>
      </c>
      <c r="DN15" s="228">
        <v>25.25</v>
      </c>
      <c r="DO15" s="228">
        <v>-0.77</v>
      </c>
      <c r="DP15" s="228">
        <v>-0.77</v>
      </c>
      <c r="DQ15" s="228">
        <v>0.91</v>
      </c>
      <c r="DR15" s="228">
        <v>0.84</v>
      </c>
      <c r="DS15" s="228">
        <v>7.0000000000000007E-2</v>
      </c>
      <c r="DT15" s="229">
        <v>8.3299999999999999E-2</v>
      </c>
      <c r="DU15" s="231">
        <v>7700</v>
      </c>
      <c r="DV15" s="231">
        <v>6700</v>
      </c>
      <c r="DW15" s="228">
        <v>0.37</v>
      </c>
      <c r="DX15" s="228">
        <v>0.57999999999999996</v>
      </c>
      <c r="DY15" s="228">
        <v>-0.21</v>
      </c>
      <c r="DZ15" s="229">
        <v>-0.36209999999999998</v>
      </c>
      <c r="EA15" s="229">
        <v>4.8000000000000001E-2</v>
      </c>
      <c r="EB15" s="230">
        <v>116000</v>
      </c>
      <c r="EC15" s="229">
        <v>5.3E-3</v>
      </c>
      <c r="ED15" s="229">
        <v>4.8000000000000001E-2</v>
      </c>
      <c r="EE15" s="228">
        <v>23.98</v>
      </c>
      <c r="EF15" s="229">
        <v>3.0999999999999999E-3</v>
      </c>
      <c r="EG15" s="230">
        <v>214210</v>
      </c>
      <c r="EH15" s="230">
        <v>239992</v>
      </c>
      <c r="EI15" s="229">
        <v>-0.1074</v>
      </c>
      <c r="EJ15" s="229">
        <v>0.60370000000000001</v>
      </c>
      <c r="EK15" s="231">
        <v>2246.31</v>
      </c>
      <c r="EL15" s="228">
        <v>800.26</v>
      </c>
      <c r="EM15" s="228">
        <v>241.1</v>
      </c>
      <c r="EN15" s="228">
        <v>29.3</v>
      </c>
      <c r="EO15" s="231">
        <v>3287.67</v>
      </c>
      <c r="EP15" s="231">
        <v>2997.71</v>
      </c>
      <c r="EQ15" s="228">
        <v>289.95999999999998</v>
      </c>
      <c r="ER15" s="229">
        <v>9.6699999999999994E-2</v>
      </c>
      <c r="ES15" s="228">
        <v>677.42</v>
      </c>
      <c r="ET15" s="228">
        <v>568.63</v>
      </c>
      <c r="EU15" s="231">
        <v>1845.26</v>
      </c>
      <c r="EV15" s="231">
        <v>15524629</v>
      </c>
      <c r="EW15" s="231">
        <v>3091.31</v>
      </c>
      <c r="EX15" s="231">
        <v>3039.86</v>
      </c>
      <c r="EY15" s="228">
        <v>51.45</v>
      </c>
      <c r="EZ15" s="229">
        <v>1.6899999999999998E-2</v>
      </c>
      <c r="FA15" s="229">
        <v>0.26190000000000002</v>
      </c>
      <c r="FB15" s="227" t="s">
        <v>693</v>
      </c>
      <c r="FC15">
        <f t="shared" si="0"/>
        <v>89</v>
      </c>
    </row>
    <row r="16" spans="1:159" ht="17.25" thickBot="1" x14ac:dyDescent="0.3">
      <c r="A16" s="226">
        <v>46129</v>
      </c>
      <c r="B16" s="227" t="s">
        <v>162</v>
      </c>
      <c r="C16" s="227" t="s">
        <v>167</v>
      </c>
      <c r="D16" s="228">
        <v>5000</v>
      </c>
      <c r="E16" s="228">
        <v>11</v>
      </c>
      <c r="F16" s="228">
        <v>174.97</v>
      </c>
      <c r="G16" s="228">
        <v>176.3</v>
      </c>
      <c r="H16" s="228">
        <v>-1.33</v>
      </c>
      <c r="I16" s="229">
        <v>-7.4999999999999997E-3</v>
      </c>
      <c r="J16" s="228">
        <v>174.78</v>
      </c>
      <c r="K16" s="228">
        <v>176.73</v>
      </c>
      <c r="L16" s="228">
        <v>-1.95</v>
      </c>
      <c r="M16" s="229">
        <v>-1.0999999999999999E-2</v>
      </c>
      <c r="N16" s="228">
        <v>174.97</v>
      </c>
      <c r="O16" s="228">
        <v>176.3</v>
      </c>
      <c r="P16" s="228">
        <v>-1.33</v>
      </c>
      <c r="Q16" s="229">
        <v>-7.4999999999999997E-3</v>
      </c>
      <c r="R16" s="228">
        <v>173.24</v>
      </c>
      <c r="S16" s="228">
        <v>174.82</v>
      </c>
      <c r="T16" s="228">
        <v>-1.58</v>
      </c>
      <c r="U16" s="229">
        <v>-8.9999999999999993E-3</v>
      </c>
      <c r="V16" s="228">
        <v>172.42</v>
      </c>
      <c r="W16" s="228">
        <v>174.42</v>
      </c>
      <c r="X16" s="228">
        <v>-2</v>
      </c>
      <c r="Y16" s="229">
        <v>-1.15E-2</v>
      </c>
      <c r="Z16" s="228">
        <v>0.19</v>
      </c>
      <c r="AA16" s="228">
        <v>-0.43</v>
      </c>
      <c r="AB16" s="228">
        <v>0.62</v>
      </c>
      <c r="AC16" s="229">
        <v>1.1000000000000001E-3</v>
      </c>
      <c r="AD16" s="228">
        <v>0.19</v>
      </c>
      <c r="AE16" s="228">
        <v>-0.43</v>
      </c>
      <c r="AF16" s="228">
        <v>0.62</v>
      </c>
      <c r="AG16" s="229">
        <v>1.1000000000000001E-3</v>
      </c>
      <c r="AH16" s="228">
        <v>-1.54</v>
      </c>
      <c r="AI16" s="228">
        <v>-1.91</v>
      </c>
      <c r="AJ16" s="228">
        <v>0.37</v>
      </c>
      <c r="AK16" s="229">
        <v>-8.8000000000000005E-3</v>
      </c>
      <c r="AL16" s="228">
        <v>-2.36</v>
      </c>
      <c r="AM16" s="228">
        <v>-2.31</v>
      </c>
      <c r="AN16" s="228">
        <v>-0.05</v>
      </c>
      <c r="AO16" s="229">
        <v>-1.35E-2</v>
      </c>
      <c r="AP16" s="228">
        <v>174.62</v>
      </c>
      <c r="AQ16" s="228">
        <v>172.73</v>
      </c>
      <c r="AR16" s="228">
        <v>0</v>
      </c>
      <c r="AS16" s="228">
        <v>576</v>
      </c>
      <c r="AT16" s="228">
        <v>410</v>
      </c>
      <c r="AU16" s="228">
        <v>167</v>
      </c>
      <c r="AV16" s="229">
        <v>0.40660000000000002</v>
      </c>
      <c r="AW16" s="228">
        <v>438</v>
      </c>
      <c r="AX16" s="228">
        <v>346</v>
      </c>
      <c r="AY16" s="228">
        <v>93</v>
      </c>
      <c r="AZ16" s="229">
        <v>0.2676</v>
      </c>
      <c r="BA16" s="228">
        <v>123</v>
      </c>
      <c r="BB16" s="228">
        <v>55</v>
      </c>
      <c r="BC16" s="228">
        <v>68</v>
      </c>
      <c r="BD16" s="229">
        <v>1.236</v>
      </c>
      <c r="BE16" s="228">
        <v>15</v>
      </c>
      <c r="BF16" s="228">
        <v>9</v>
      </c>
      <c r="BG16" s="228">
        <v>6</v>
      </c>
      <c r="BH16" s="229">
        <v>0.68930000000000002</v>
      </c>
      <c r="BI16" s="230">
        <v>1330</v>
      </c>
      <c r="BJ16" s="230">
        <v>1115</v>
      </c>
      <c r="BK16" s="228">
        <v>215</v>
      </c>
      <c r="BL16" s="229">
        <v>0.19270000000000001</v>
      </c>
      <c r="BM16" s="228">
        <v>759</v>
      </c>
      <c r="BN16" s="228">
        <v>738</v>
      </c>
      <c r="BO16" s="228">
        <v>21</v>
      </c>
      <c r="BP16" s="229">
        <v>2.8899999999999999E-2</v>
      </c>
      <c r="BQ16" s="230">
        <v>2665</v>
      </c>
      <c r="BR16" s="230">
        <v>2262</v>
      </c>
      <c r="BS16" s="228">
        <v>403</v>
      </c>
      <c r="BT16" s="229">
        <v>0.17799999999999999</v>
      </c>
      <c r="BU16" s="230">
        <v>22380777</v>
      </c>
      <c r="BV16" s="230">
        <v>15766474</v>
      </c>
      <c r="BW16" s="230">
        <v>6614303</v>
      </c>
      <c r="BX16" s="229">
        <v>0.41949999999999998</v>
      </c>
      <c r="BY16" s="230">
        <v>2414</v>
      </c>
      <c r="BZ16" s="230">
        <v>2404</v>
      </c>
      <c r="CA16" s="228">
        <v>10</v>
      </c>
      <c r="CB16" s="229">
        <v>4.1000000000000003E-3</v>
      </c>
      <c r="CC16" s="230">
        <v>2172</v>
      </c>
      <c r="CD16" s="230">
        <v>2225</v>
      </c>
      <c r="CE16" s="228">
        <v>-53</v>
      </c>
      <c r="CF16" s="229">
        <v>-2.3699999999999999E-2</v>
      </c>
      <c r="CG16" s="228">
        <v>199</v>
      </c>
      <c r="CH16" s="228">
        <v>145</v>
      </c>
      <c r="CI16" s="228">
        <v>54</v>
      </c>
      <c r="CJ16" s="229">
        <v>0.37609999999999999</v>
      </c>
      <c r="CK16" s="228">
        <v>43</v>
      </c>
      <c r="CL16" s="228">
        <v>35</v>
      </c>
      <c r="CM16" s="228">
        <v>8</v>
      </c>
      <c r="CN16" s="229">
        <v>0.23430000000000001</v>
      </c>
      <c r="CO16" s="230">
        <v>1617</v>
      </c>
      <c r="CP16" s="230">
        <v>1556</v>
      </c>
      <c r="CQ16" s="228">
        <v>61</v>
      </c>
      <c r="CR16" s="229">
        <v>3.9300000000000002E-2</v>
      </c>
      <c r="CS16" s="230">
        <v>1192</v>
      </c>
      <c r="CT16" s="230">
        <v>1180</v>
      </c>
      <c r="CU16" s="228">
        <v>11</v>
      </c>
      <c r="CV16" s="229">
        <v>9.4000000000000004E-3</v>
      </c>
      <c r="CW16" s="230">
        <v>5222</v>
      </c>
      <c r="CX16" s="230">
        <v>5140</v>
      </c>
      <c r="CY16" s="228">
        <v>82</v>
      </c>
      <c r="CZ16" s="229">
        <v>1.5900000000000001E-2</v>
      </c>
      <c r="DA16" s="228">
        <v>40.729999999999997</v>
      </c>
      <c r="DB16" s="228">
        <v>41.38</v>
      </c>
      <c r="DC16" s="228">
        <v>-0.65</v>
      </c>
      <c r="DD16" s="228">
        <v>-0.65</v>
      </c>
      <c r="DE16" s="228">
        <v>42.6</v>
      </c>
      <c r="DF16" s="228">
        <v>42.68</v>
      </c>
      <c r="DG16" s="228">
        <v>-1.87</v>
      </c>
      <c r="DH16" s="228">
        <v>-0.08</v>
      </c>
      <c r="DI16" s="228">
        <v>38.97</v>
      </c>
      <c r="DJ16" s="228">
        <v>39.49</v>
      </c>
      <c r="DK16" s="228">
        <v>-0.52</v>
      </c>
      <c r="DL16" s="228">
        <v>-0.52</v>
      </c>
      <c r="DM16" s="228">
        <v>43.8</v>
      </c>
      <c r="DN16" s="228">
        <v>44.25</v>
      </c>
      <c r="DO16" s="228">
        <v>-0.45</v>
      </c>
      <c r="DP16" s="228">
        <v>-0.45</v>
      </c>
      <c r="DQ16" s="228">
        <v>0.74</v>
      </c>
      <c r="DR16" s="228">
        <v>0.76</v>
      </c>
      <c r="DS16" s="228">
        <v>-0.02</v>
      </c>
      <c r="DT16" s="229">
        <v>-2.63E-2</v>
      </c>
      <c r="DU16" s="228">
        <v>180</v>
      </c>
      <c r="DV16" s="228">
        <v>160</v>
      </c>
      <c r="DW16" s="228">
        <v>0.56999999999999995</v>
      </c>
      <c r="DX16" s="228">
        <v>0.66</v>
      </c>
      <c r="DY16" s="228">
        <v>-0.09</v>
      </c>
      <c r="DZ16" s="229">
        <v>-0.13639999999999999</v>
      </c>
      <c r="EA16" s="229">
        <v>0.1002</v>
      </c>
      <c r="EB16" s="230">
        <v>10255000</v>
      </c>
      <c r="EC16" s="229">
        <v>-9.9000000000000008E-3</v>
      </c>
      <c r="ED16" s="229">
        <v>0.1002</v>
      </c>
      <c r="EE16" s="228">
        <v>-1.89</v>
      </c>
      <c r="EF16" s="229">
        <v>-1.0800000000000001E-2</v>
      </c>
      <c r="EG16" s="230">
        <v>10715878</v>
      </c>
      <c r="EH16" s="230">
        <v>6882932</v>
      </c>
      <c r="EI16" s="229">
        <v>0.55689999999999995</v>
      </c>
      <c r="EJ16" s="229">
        <v>0.4788</v>
      </c>
      <c r="EK16" s="231">
        <v>1414.82</v>
      </c>
      <c r="EL16" s="228">
        <v>725.63</v>
      </c>
      <c r="EM16" s="228">
        <v>573.58000000000004</v>
      </c>
      <c r="EN16" s="228">
        <v>70.66</v>
      </c>
      <c r="EO16" s="231">
        <v>2714.04</v>
      </c>
      <c r="EP16" s="231">
        <v>2318.85</v>
      </c>
      <c r="EQ16" s="228">
        <v>395.19</v>
      </c>
      <c r="ER16" s="229">
        <v>0.1704</v>
      </c>
      <c r="ES16" s="231">
        <v>1672.71</v>
      </c>
      <c r="ET16" s="231">
        <v>1134.8</v>
      </c>
      <c r="EU16" s="231">
        <v>2411.56</v>
      </c>
      <c r="EV16" s="231">
        <v>423779104</v>
      </c>
      <c r="EW16" s="231">
        <v>5219.07</v>
      </c>
      <c r="EX16" s="231">
        <v>5150.6000000000004</v>
      </c>
      <c r="EY16" s="228">
        <v>68.47</v>
      </c>
      <c r="EZ16" s="229">
        <v>1.3299999999999999E-2</v>
      </c>
      <c r="FA16" s="229">
        <v>0.70430000000000004</v>
      </c>
      <c r="FB16" s="227" t="s">
        <v>566</v>
      </c>
      <c r="FC16">
        <f t="shared" si="0"/>
        <v>242</v>
      </c>
    </row>
    <row r="17" spans="1:159" ht="17.25" thickBot="1" x14ac:dyDescent="0.3">
      <c r="A17" s="226">
        <v>46129</v>
      </c>
      <c r="B17" s="227" t="s">
        <v>168</v>
      </c>
      <c r="C17" s="227" t="s">
        <v>169</v>
      </c>
      <c r="D17" s="228">
        <v>250</v>
      </c>
      <c r="E17" s="228">
        <v>11</v>
      </c>
      <c r="F17" s="231">
        <v>2464.3000000000002</v>
      </c>
      <c r="G17" s="231">
        <v>2442.4</v>
      </c>
      <c r="H17" s="228">
        <v>21.9</v>
      </c>
      <c r="I17" s="229">
        <v>8.9999999999999993E-3</v>
      </c>
      <c r="J17" s="231">
        <v>2464</v>
      </c>
      <c r="K17" s="231">
        <v>2440.3000000000002</v>
      </c>
      <c r="L17" s="228">
        <v>23.7</v>
      </c>
      <c r="M17" s="229">
        <v>9.7000000000000003E-3</v>
      </c>
      <c r="N17" s="231">
        <v>2464.3000000000002</v>
      </c>
      <c r="O17" s="231">
        <v>2442.4</v>
      </c>
      <c r="P17" s="228">
        <v>21.9</v>
      </c>
      <c r="Q17" s="229">
        <v>8.9999999999999993E-3</v>
      </c>
      <c r="R17" s="231">
        <v>2478.9</v>
      </c>
      <c r="S17" s="231">
        <v>2456.4</v>
      </c>
      <c r="T17" s="228">
        <v>22.5</v>
      </c>
      <c r="U17" s="229">
        <v>9.1999999999999998E-3</v>
      </c>
      <c r="V17" s="231">
        <v>2464.1999999999998</v>
      </c>
      <c r="W17" s="231">
        <v>2446.1999999999998</v>
      </c>
      <c r="X17" s="228">
        <v>18</v>
      </c>
      <c r="Y17" s="229">
        <v>7.4000000000000003E-3</v>
      </c>
      <c r="Z17" s="228">
        <v>0.3</v>
      </c>
      <c r="AA17" s="228">
        <v>2.1</v>
      </c>
      <c r="AB17" s="228">
        <v>-1.8</v>
      </c>
      <c r="AC17" s="229">
        <v>1E-4</v>
      </c>
      <c r="AD17" s="228">
        <v>0.3</v>
      </c>
      <c r="AE17" s="228">
        <v>2.1</v>
      </c>
      <c r="AF17" s="228">
        <v>-1.8</v>
      </c>
      <c r="AG17" s="229">
        <v>1E-4</v>
      </c>
      <c r="AH17" s="228">
        <v>14.9</v>
      </c>
      <c r="AI17" s="228">
        <v>16.100000000000001</v>
      </c>
      <c r="AJ17" s="228">
        <v>-1.2</v>
      </c>
      <c r="AK17" s="229">
        <v>6.0000000000000001E-3</v>
      </c>
      <c r="AL17" s="228">
        <v>0.2</v>
      </c>
      <c r="AM17" s="228">
        <v>5.9</v>
      </c>
      <c r="AN17" s="228">
        <v>-5.7</v>
      </c>
      <c r="AO17" s="229">
        <v>1E-4</v>
      </c>
      <c r="AP17" s="231">
        <v>2464.84</v>
      </c>
      <c r="AQ17" s="231">
        <v>2477.73</v>
      </c>
      <c r="AR17" s="228">
        <v>0</v>
      </c>
      <c r="AS17" s="228">
        <v>799</v>
      </c>
      <c r="AT17" s="228">
        <v>345</v>
      </c>
      <c r="AU17" s="228">
        <v>455</v>
      </c>
      <c r="AV17" s="229">
        <v>1.319</v>
      </c>
      <c r="AW17" s="228">
        <v>586</v>
      </c>
      <c r="AX17" s="228">
        <v>310</v>
      </c>
      <c r="AY17" s="228">
        <v>277</v>
      </c>
      <c r="AZ17" s="229">
        <v>0.89470000000000005</v>
      </c>
      <c r="BA17" s="228">
        <v>52</v>
      </c>
      <c r="BB17" s="228">
        <v>32</v>
      </c>
      <c r="BC17" s="228">
        <v>20</v>
      </c>
      <c r="BD17" s="229">
        <v>0.60460000000000003</v>
      </c>
      <c r="BE17" s="228">
        <v>161</v>
      </c>
      <c r="BF17" s="228">
        <v>3</v>
      </c>
      <c r="BG17" s="228">
        <v>158</v>
      </c>
      <c r="BH17" s="229">
        <v>57.044400000000003</v>
      </c>
      <c r="BI17" s="230">
        <v>2271</v>
      </c>
      <c r="BJ17" s="230">
        <v>1406</v>
      </c>
      <c r="BK17" s="228">
        <v>865</v>
      </c>
      <c r="BL17" s="229">
        <v>0.61550000000000005</v>
      </c>
      <c r="BM17" s="230">
        <v>1590</v>
      </c>
      <c r="BN17" s="230">
        <v>1151</v>
      </c>
      <c r="BO17" s="228">
        <v>439</v>
      </c>
      <c r="BP17" s="229">
        <v>0.38159999999999999</v>
      </c>
      <c r="BQ17" s="230">
        <v>4660</v>
      </c>
      <c r="BR17" s="230">
        <v>2901</v>
      </c>
      <c r="BS17" s="230">
        <v>1759</v>
      </c>
      <c r="BT17" s="229">
        <v>0.60629999999999995</v>
      </c>
      <c r="BU17" s="230">
        <v>1345408</v>
      </c>
      <c r="BV17" s="230">
        <v>1565260</v>
      </c>
      <c r="BW17" s="230">
        <v>-219852</v>
      </c>
      <c r="BX17" s="229">
        <v>-0.14050000000000001</v>
      </c>
      <c r="BY17" s="230">
        <v>3592</v>
      </c>
      <c r="BZ17" s="230">
        <v>3674</v>
      </c>
      <c r="CA17" s="228">
        <v>-82</v>
      </c>
      <c r="CB17" s="229">
        <v>-2.23E-2</v>
      </c>
      <c r="CC17" s="230">
        <v>3088</v>
      </c>
      <c r="CD17" s="230">
        <v>3346</v>
      </c>
      <c r="CE17" s="228">
        <v>-258</v>
      </c>
      <c r="CF17" s="229">
        <v>-7.7200000000000005E-2</v>
      </c>
      <c r="CG17" s="228">
        <v>322</v>
      </c>
      <c r="CH17" s="228">
        <v>302</v>
      </c>
      <c r="CI17" s="228">
        <v>21</v>
      </c>
      <c r="CJ17" s="229">
        <v>6.8199999999999997E-2</v>
      </c>
      <c r="CK17" s="228">
        <v>182</v>
      </c>
      <c r="CL17" s="228">
        <v>26</v>
      </c>
      <c r="CM17" s="228">
        <v>156</v>
      </c>
      <c r="CN17" s="229">
        <v>5.9928999999999997</v>
      </c>
      <c r="CO17" s="230">
        <v>1100</v>
      </c>
      <c r="CP17" s="228">
        <v>931</v>
      </c>
      <c r="CQ17" s="228">
        <v>168</v>
      </c>
      <c r="CR17" s="229">
        <v>0.1807</v>
      </c>
      <c r="CS17" s="230">
        <v>1269</v>
      </c>
      <c r="CT17" s="230">
        <v>1248</v>
      </c>
      <c r="CU17" s="228">
        <v>21</v>
      </c>
      <c r="CV17" s="229">
        <v>1.6500000000000001E-2</v>
      </c>
      <c r="CW17" s="230">
        <v>5960</v>
      </c>
      <c r="CX17" s="230">
        <v>5853</v>
      </c>
      <c r="CY17" s="228">
        <v>107</v>
      </c>
      <c r="CZ17" s="229">
        <v>1.83E-2</v>
      </c>
      <c r="DA17" s="228">
        <v>28.94</v>
      </c>
      <c r="DB17" s="228">
        <v>30.16</v>
      </c>
      <c r="DC17" s="228">
        <v>-1.22</v>
      </c>
      <c r="DD17" s="228">
        <v>-1.22</v>
      </c>
      <c r="DE17" s="228">
        <v>29.21</v>
      </c>
      <c r="DF17" s="228">
        <v>29.26</v>
      </c>
      <c r="DG17" s="228">
        <v>-0.27</v>
      </c>
      <c r="DH17" s="228">
        <v>-0.05</v>
      </c>
      <c r="DI17" s="228">
        <v>27.12</v>
      </c>
      <c r="DJ17" s="228">
        <v>28.35</v>
      </c>
      <c r="DK17" s="228">
        <v>-1.23</v>
      </c>
      <c r="DL17" s="228">
        <v>-1.23</v>
      </c>
      <c r="DM17" s="228">
        <v>31.55</v>
      </c>
      <c r="DN17" s="228">
        <v>32.369999999999997</v>
      </c>
      <c r="DO17" s="228">
        <v>-0.82</v>
      </c>
      <c r="DP17" s="228">
        <v>-0.82</v>
      </c>
      <c r="DQ17" s="228">
        <v>1.1499999999999999</v>
      </c>
      <c r="DR17" s="228">
        <v>1.34</v>
      </c>
      <c r="DS17" s="228">
        <v>-0.19</v>
      </c>
      <c r="DT17" s="229">
        <v>-0.14180000000000001</v>
      </c>
      <c r="DU17" s="231">
        <v>2500</v>
      </c>
      <c r="DV17" s="231">
        <v>1900</v>
      </c>
      <c r="DW17" s="228">
        <v>0.7</v>
      </c>
      <c r="DX17" s="228">
        <v>0.82</v>
      </c>
      <c r="DY17" s="228">
        <v>-0.12</v>
      </c>
      <c r="DZ17" s="229">
        <v>-0.14630000000000001</v>
      </c>
      <c r="EA17" s="229">
        <v>0.1404</v>
      </c>
      <c r="EB17" s="230">
        <v>1330000</v>
      </c>
      <c r="EC17" s="229">
        <v>5.8999999999999999E-3</v>
      </c>
      <c r="ED17" s="229">
        <v>0.1404</v>
      </c>
      <c r="EE17" s="228">
        <v>12.89</v>
      </c>
      <c r="EF17" s="229">
        <v>5.1999999999999998E-3</v>
      </c>
      <c r="EG17" s="230">
        <v>742881</v>
      </c>
      <c r="EH17" s="230">
        <v>938608</v>
      </c>
      <c r="EI17" s="229">
        <v>-0.20849999999999999</v>
      </c>
      <c r="EJ17" s="229">
        <v>0.55220000000000002</v>
      </c>
      <c r="EK17" s="231">
        <v>2341.0100000000002</v>
      </c>
      <c r="EL17" s="231">
        <v>1546.1</v>
      </c>
      <c r="EM17" s="228">
        <v>800.5</v>
      </c>
      <c r="EN17" s="228">
        <v>78.25</v>
      </c>
      <c r="EO17" s="231">
        <v>4687.6000000000004</v>
      </c>
      <c r="EP17" s="231">
        <v>2880.18</v>
      </c>
      <c r="EQ17" s="231">
        <v>1807.42</v>
      </c>
      <c r="ER17" s="229">
        <v>0.62749999999999995</v>
      </c>
      <c r="ES17" s="231">
        <v>1085.18</v>
      </c>
      <c r="ET17" s="231">
        <v>1135.1500000000001</v>
      </c>
      <c r="EU17" s="231">
        <v>3593.56</v>
      </c>
      <c r="EV17" s="231">
        <v>62818628</v>
      </c>
      <c r="EW17" s="231">
        <v>5813.89</v>
      </c>
      <c r="EX17" s="231">
        <v>5662.61</v>
      </c>
      <c r="EY17" s="228">
        <v>151.28</v>
      </c>
      <c r="EZ17" s="229">
        <v>2.6700000000000002E-2</v>
      </c>
      <c r="FA17" s="229">
        <v>0.38500000000000001</v>
      </c>
      <c r="FB17" s="227" t="s">
        <v>693</v>
      </c>
      <c r="FC17">
        <f t="shared" si="0"/>
        <v>504</v>
      </c>
    </row>
    <row r="18" spans="1:159" ht="17.25" thickBot="1" x14ac:dyDescent="0.3">
      <c r="A18" s="226">
        <v>46129</v>
      </c>
      <c r="B18" s="227" t="s">
        <v>184</v>
      </c>
      <c r="C18" s="227" t="s">
        <v>503</v>
      </c>
      <c r="D18" s="228">
        <v>425</v>
      </c>
      <c r="E18" s="228">
        <v>11</v>
      </c>
      <c r="F18" s="231">
        <v>1544.7</v>
      </c>
      <c r="G18" s="231">
        <v>1525.5</v>
      </c>
      <c r="H18" s="228">
        <v>19.2</v>
      </c>
      <c r="I18" s="229">
        <v>1.26E-2</v>
      </c>
      <c r="J18" s="231">
        <v>1605</v>
      </c>
      <c r="K18" s="231">
        <v>1578.7</v>
      </c>
      <c r="L18" s="228">
        <v>26.3</v>
      </c>
      <c r="M18" s="229">
        <v>1.67E-2</v>
      </c>
      <c r="N18" s="231">
        <v>1544.7</v>
      </c>
      <c r="O18" s="231">
        <v>1525.5</v>
      </c>
      <c r="P18" s="228">
        <v>19.2</v>
      </c>
      <c r="Q18" s="229">
        <v>1.26E-2</v>
      </c>
      <c r="R18" s="231">
        <v>1494.8</v>
      </c>
      <c r="S18" s="231">
        <v>1476.8</v>
      </c>
      <c r="T18" s="228">
        <v>18</v>
      </c>
      <c r="U18" s="229">
        <v>1.2200000000000001E-2</v>
      </c>
      <c r="V18" s="231">
        <v>1465.2</v>
      </c>
      <c r="W18" s="231">
        <v>1448.1</v>
      </c>
      <c r="X18" s="228">
        <v>17.100000000000001</v>
      </c>
      <c r="Y18" s="229">
        <v>1.18E-2</v>
      </c>
      <c r="Z18" s="228">
        <v>-60.3</v>
      </c>
      <c r="AA18" s="228">
        <v>-53.2</v>
      </c>
      <c r="AB18" s="228">
        <v>-7.1</v>
      </c>
      <c r="AC18" s="229">
        <v>-3.7600000000000001E-2</v>
      </c>
      <c r="AD18" s="228">
        <v>-60.3</v>
      </c>
      <c r="AE18" s="228">
        <v>-53.2</v>
      </c>
      <c r="AF18" s="228">
        <v>-7.1</v>
      </c>
      <c r="AG18" s="229">
        <v>-3.7600000000000001E-2</v>
      </c>
      <c r="AH18" s="228">
        <v>-110.2</v>
      </c>
      <c r="AI18" s="228">
        <v>-101.9</v>
      </c>
      <c r="AJ18" s="228">
        <v>-8.3000000000000007</v>
      </c>
      <c r="AK18" s="229">
        <v>-6.8699999999999997E-2</v>
      </c>
      <c r="AL18" s="228">
        <v>-139.80000000000001</v>
      </c>
      <c r="AM18" s="228">
        <v>-130.6</v>
      </c>
      <c r="AN18" s="228">
        <v>-9.1999999999999993</v>
      </c>
      <c r="AO18" s="229">
        <v>-8.7099999999999997E-2</v>
      </c>
      <c r="AP18" s="231">
        <v>1549.44</v>
      </c>
      <c r="AQ18" s="231">
        <v>1500.63</v>
      </c>
      <c r="AR18" s="228">
        <v>0</v>
      </c>
      <c r="AS18" s="228">
        <v>567</v>
      </c>
      <c r="AT18" s="228">
        <v>946</v>
      </c>
      <c r="AU18" s="228">
        <v>-380</v>
      </c>
      <c r="AV18" s="229">
        <v>-0.40110000000000001</v>
      </c>
      <c r="AW18" s="228">
        <v>395</v>
      </c>
      <c r="AX18" s="228">
        <v>636</v>
      </c>
      <c r="AY18" s="228">
        <v>-241</v>
      </c>
      <c r="AZ18" s="229">
        <v>-0.37859999999999999</v>
      </c>
      <c r="BA18" s="228">
        <v>162</v>
      </c>
      <c r="BB18" s="228">
        <v>291</v>
      </c>
      <c r="BC18" s="228">
        <v>-129</v>
      </c>
      <c r="BD18" s="229">
        <v>-0.44319999999999998</v>
      </c>
      <c r="BE18" s="228">
        <v>9</v>
      </c>
      <c r="BF18" s="228">
        <v>19</v>
      </c>
      <c r="BG18" s="228">
        <v>-10</v>
      </c>
      <c r="BH18" s="229">
        <v>-0.50680000000000003</v>
      </c>
      <c r="BI18" s="230">
        <v>1471</v>
      </c>
      <c r="BJ18" s="230">
        <v>2989</v>
      </c>
      <c r="BK18" s="230">
        <v>-1518</v>
      </c>
      <c r="BL18" s="229">
        <v>-0.50780000000000003</v>
      </c>
      <c r="BM18" s="228">
        <v>717</v>
      </c>
      <c r="BN18" s="230">
        <v>1632</v>
      </c>
      <c r="BO18" s="228">
        <v>-915</v>
      </c>
      <c r="BP18" s="229">
        <v>-0.56069999999999998</v>
      </c>
      <c r="BQ18" s="230">
        <v>2755</v>
      </c>
      <c r="BR18" s="230">
        <v>5568</v>
      </c>
      <c r="BS18" s="230">
        <v>-2813</v>
      </c>
      <c r="BT18" s="229">
        <v>-0.50519999999999998</v>
      </c>
      <c r="BU18" s="230">
        <v>1717129</v>
      </c>
      <c r="BV18" s="230">
        <v>2423214</v>
      </c>
      <c r="BW18" s="230">
        <v>-706085</v>
      </c>
      <c r="BX18" s="229">
        <v>-0.29139999999999999</v>
      </c>
      <c r="BY18" s="230">
        <v>2183</v>
      </c>
      <c r="BZ18" s="230">
        <v>2107</v>
      </c>
      <c r="CA18" s="228">
        <v>76</v>
      </c>
      <c r="CB18" s="229">
        <v>3.61E-2</v>
      </c>
      <c r="CC18" s="230">
        <v>1646</v>
      </c>
      <c r="CD18" s="230">
        <v>1617</v>
      </c>
      <c r="CE18" s="228">
        <v>29</v>
      </c>
      <c r="CF18" s="229">
        <v>1.8100000000000002E-2</v>
      </c>
      <c r="CG18" s="228">
        <v>516</v>
      </c>
      <c r="CH18" s="228">
        <v>471</v>
      </c>
      <c r="CI18" s="228">
        <v>45</v>
      </c>
      <c r="CJ18" s="229">
        <v>9.5100000000000004E-2</v>
      </c>
      <c r="CK18" s="228">
        <v>21</v>
      </c>
      <c r="CL18" s="228">
        <v>19</v>
      </c>
      <c r="CM18" s="228">
        <v>2</v>
      </c>
      <c r="CN18" s="229">
        <v>0.10920000000000001</v>
      </c>
      <c r="CO18" s="228">
        <v>654</v>
      </c>
      <c r="CP18" s="228">
        <v>709</v>
      </c>
      <c r="CQ18" s="228">
        <v>-55</v>
      </c>
      <c r="CR18" s="229">
        <v>-7.7499999999999999E-2</v>
      </c>
      <c r="CS18" s="228">
        <v>384</v>
      </c>
      <c r="CT18" s="228">
        <v>365</v>
      </c>
      <c r="CU18" s="228">
        <v>19</v>
      </c>
      <c r="CV18" s="229">
        <v>5.2900000000000003E-2</v>
      </c>
      <c r="CW18" s="230">
        <v>3221</v>
      </c>
      <c r="CX18" s="230">
        <v>3181</v>
      </c>
      <c r="CY18" s="228">
        <v>41</v>
      </c>
      <c r="CZ18" s="229">
        <v>1.2699999999999999E-2</v>
      </c>
      <c r="DA18" s="228">
        <v>35.71</v>
      </c>
      <c r="DB18" s="228">
        <v>37.78</v>
      </c>
      <c r="DC18" s="228">
        <v>-2.0699999999999998</v>
      </c>
      <c r="DD18" s="228">
        <v>-2.0699999999999998</v>
      </c>
      <c r="DE18" s="228">
        <v>36</v>
      </c>
      <c r="DF18" s="228">
        <v>36.020000000000003</v>
      </c>
      <c r="DG18" s="228">
        <v>-0.28999999999999998</v>
      </c>
      <c r="DH18" s="228">
        <v>-0.02</v>
      </c>
      <c r="DI18" s="228">
        <v>36.159999999999997</v>
      </c>
      <c r="DJ18" s="228">
        <v>38.1</v>
      </c>
      <c r="DK18" s="228">
        <v>-1.94</v>
      </c>
      <c r="DL18" s="228">
        <v>-1.94</v>
      </c>
      <c r="DM18" s="228">
        <v>34.770000000000003</v>
      </c>
      <c r="DN18" s="228">
        <v>37.21</v>
      </c>
      <c r="DO18" s="228">
        <v>-2.44</v>
      </c>
      <c r="DP18" s="228">
        <v>-2.44</v>
      </c>
      <c r="DQ18" s="228">
        <v>0.59</v>
      </c>
      <c r="DR18" s="228">
        <v>0.51</v>
      </c>
      <c r="DS18" s="228">
        <v>0.08</v>
      </c>
      <c r="DT18" s="229">
        <v>0.15690000000000001</v>
      </c>
      <c r="DU18" s="231">
        <v>1640</v>
      </c>
      <c r="DV18" s="231">
        <v>1540</v>
      </c>
      <c r="DW18" s="228">
        <v>0.49</v>
      </c>
      <c r="DX18" s="228">
        <v>0.55000000000000004</v>
      </c>
      <c r="DY18" s="228">
        <v>-0.06</v>
      </c>
      <c r="DZ18" s="229">
        <v>-0.1091</v>
      </c>
      <c r="EA18" s="229">
        <v>0.2462</v>
      </c>
      <c r="EB18" s="230">
        <v>3176025</v>
      </c>
      <c r="EC18" s="229">
        <v>-3.2300000000000002E-2</v>
      </c>
      <c r="ED18" s="229">
        <v>0.2462</v>
      </c>
      <c r="EE18" s="228">
        <v>-48.81</v>
      </c>
      <c r="EF18" s="229">
        <v>-3.15E-2</v>
      </c>
      <c r="EG18" s="230">
        <v>905321</v>
      </c>
      <c r="EH18" s="230">
        <v>677201</v>
      </c>
      <c r="EI18" s="229">
        <v>0.33689999999999998</v>
      </c>
      <c r="EJ18" s="229">
        <v>0.5272</v>
      </c>
      <c r="EK18" s="231">
        <v>1556.96</v>
      </c>
      <c r="EL18" s="228">
        <v>717.24</v>
      </c>
      <c r="EM18" s="228">
        <v>562.74</v>
      </c>
      <c r="EN18" s="228">
        <v>86.09</v>
      </c>
      <c r="EO18" s="231">
        <v>2836.94</v>
      </c>
      <c r="EP18" s="231">
        <v>5693.47</v>
      </c>
      <c r="EQ18" s="231">
        <v>-2856.53</v>
      </c>
      <c r="ER18" s="229">
        <v>-0.50170000000000003</v>
      </c>
      <c r="ES18" s="228">
        <v>692.29</v>
      </c>
      <c r="ET18" s="228">
        <v>376.55</v>
      </c>
      <c r="EU18" s="231">
        <v>2165.54</v>
      </c>
      <c r="EV18" s="231">
        <v>17577908</v>
      </c>
      <c r="EW18" s="231">
        <v>3234.38</v>
      </c>
      <c r="EX18" s="231">
        <v>3168.23</v>
      </c>
      <c r="EY18" s="228">
        <v>66.150000000000006</v>
      </c>
      <c r="EZ18" s="229">
        <v>2.0899999999999998E-2</v>
      </c>
      <c r="FA18" s="229">
        <v>1.1862999999999999</v>
      </c>
      <c r="FB18" s="227" t="s">
        <v>555</v>
      </c>
      <c r="FC18">
        <f t="shared" si="0"/>
        <v>537</v>
      </c>
    </row>
    <row r="19" spans="1:159" ht="17.25" thickBot="1" x14ac:dyDescent="0.3">
      <c r="A19" s="226">
        <v>46129</v>
      </c>
      <c r="B19" s="227" t="s">
        <v>172</v>
      </c>
      <c r="C19" s="227" t="s">
        <v>495</v>
      </c>
      <c r="D19" s="228">
        <v>1000</v>
      </c>
      <c r="E19" s="228">
        <v>11</v>
      </c>
      <c r="F19" s="228">
        <v>993.2</v>
      </c>
      <c r="G19" s="228">
        <v>987</v>
      </c>
      <c r="H19" s="228">
        <v>6.2</v>
      </c>
      <c r="I19" s="229">
        <v>6.3E-3</v>
      </c>
      <c r="J19" s="228">
        <v>990.6</v>
      </c>
      <c r="K19" s="228">
        <v>983.95</v>
      </c>
      <c r="L19" s="228">
        <v>6.65</v>
      </c>
      <c r="M19" s="229">
        <v>6.7999999999999996E-3</v>
      </c>
      <c r="N19" s="228">
        <v>993.2</v>
      </c>
      <c r="O19" s="228">
        <v>987</v>
      </c>
      <c r="P19" s="228">
        <v>6.2</v>
      </c>
      <c r="Q19" s="229">
        <v>6.3E-3</v>
      </c>
      <c r="R19" s="228">
        <v>998.95</v>
      </c>
      <c r="S19" s="228">
        <v>992.7</v>
      </c>
      <c r="T19" s="228">
        <v>6.25</v>
      </c>
      <c r="U19" s="229">
        <v>6.3E-3</v>
      </c>
      <c r="V19" s="231">
        <v>1006.2</v>
      </c>
      <c r="W19" s="231">
        <v>1000.55</v>
      </c>
      <c r="X19" s="228">
        <v>5.65</v>
      </c>
      <c r="Y19" s="229">
        <v>5.5999999999999999E-3</v>
      </c>
      <c r="Z19" s="228">
        <v>2.6</v>
      </c>
      <c r="AA19" s="228">
        <v>3.05</v>
      </c>
      <c r="AB19" s="228">
        <v>-0.45</v>
      </c>
      <c r="AC19" s="229">
        <v>2.5999999999999999E-3</v>
      </c>
      <c r="AD19" s="228">
        <v>2.6</v>
      </c>
      <c r="AE19" s="228">
        <v>3.05</v>
      </c>
      <c r="AF19" s="228">
        <v>-0.45</v>
      </c>
      <c r="AG19" s="229">
        <v>2.5999999999999999E-3</v>
      </c>
      <c r="AH19" s="228">
        <v>8.35</v>
      </c>
      <c r="AI19" s="228">
        <v>8.75</v>
      </c>
      <c r="AJ19" s="228">
        <v>-0.4</v>
      </c>
      <c r="AK19" s="229">
        <v>8.3999999999999995E-3</v>
      </c>
      <c r="AL19" s="228">
        <v>15.6</v>
      </c>
      <c r="AM19" s="228">
        <v>16.600000000000001</v>
      </c>
      <c r="AN19" s="228">
        <v>-1</v>
      </c>
      <c r="AO19" s="229">
        <v>1.5699999999999999E-2</v>
      </c>
      <c r="AP19" s="228">
        <v>991.21</v>
      </c>
      <c r="AQ19" s="228">
        <v>996.56</v>
      </c>
      <c r="AR19" s="228">
        <v>0</v>
      </c>
      <c r="AS19" s="228">
        <v>300</v>
      </c>
      <c r="AT19" s="228">
        <v>315</v>
      </c>
      <c r="AU19" s="228">
        <v>-14</v>
      </c>
      <c r="AV19" s="229">
        <v>-4.5499999999999999E-2</v>
      </c>
      <c r="AW19" s="228">
        <v>244</v>
      </c>
      <c r="AX19" s="228">
        <v>256</v>
      </c>
      <c r="AY19" s="228">
        <v>-13</v>
      </c>
      <c r="AZ19" s="229">
        <v>-4.9599999999999998E-2</v>
      </c>
      <c r="BA19" s="228">
        <v>53</v>
      </c>
      <c r="BB19" s="228">
        <v>56</v>
      </c>
      <c r="BC19" s="228">
        <v>-3</v>
      </c>
      <c r="BD19" s="229">
        <v>-5.1700000000000003E-2</v>
      </c>
      <c r="BE19" s="228">
        <v>4</v>
      </c>
      <c r="BF19" s="228">
        <v>2</v>
      </c>
      <c r="BG19" s="228">
        <v>1</v>
      </c>
      <c r="BH19" s="229">
        <v>0.54169999999999996</v>
      </c>
      <c r="BI19" s="228">
        <v>492</v>
      </c>
      <c r="BJ19" s="228">
        <v>467</v>
      </c>
      <c r="BK19" s="228">
        <v>26</v>
      </c>
      <c r="BL19" s="229">
        <v>5.4899999999999997E-2</v>
      </c>
      <c r="BM19" s="228">
        <v>368</v>
      </c>
      <c r="BN19" s="228">
        <v>406</v>
      </c>
      <c r="BO19" s="228">
        <v>-38</v>
      </c>
      <c r="BP19" s="229">
        <v>-9.2799999999999994E-2</v>
      </c>
      <c r="BQ19" s="230">
        <v>1160</v>
      </c>
      <c r="BR19" s="230">
        <v>1187</v>
      </c>
      <c r="BS19" s="228">
        <v>-26</v>
      </c>
      <c r="BT19" s="229">
        <v>-2.2200000000000001E-2</v>
      </c>
      <c r="BU19" s="230">
        <v>1203396</v>
      </c>
      <c r="BV19" s="230">
        <v>2851579</v>
      </c>
      <c r="BW19" s="230">
        <v>-1648183</v>
      </c>
      <c r="BX19" s="229">
        <v>-0.57799999999999996</v>
      </c>
      <c r="BY19" s="230">
        <v>2456</v>
      </c>
      <c r="BZ19" s="230">
        <v>2470</v>
      </c>
      <c r="CA19" s="228">
        <v>-15</v>
      </c>
      <c r="CB19" s="229">
        <v>-6.0000000000000001E-3</v>
      </c>
      <c r="CC19" s="230">
        <v>2309</v>
      </c>
      <c r="CD19" s="230">
        <v>2339</v>
      </c>
      <c r="CE19" s="228">
        <v>-30</v>
      </c>
      <c r="CF19" s="229">
        <v>-1.2999999999999999E-2</v>
      </c>
      <c r="CG19" s="228">
        <v>132</v>
      </c>
      <c r="CH19" s="228">
        <v>116</v>
      </c>
      <c r="CI19" s="228">
        <v>17</v>
      </c>
      <c r="CJ19" s="229">
        <v>0.14530000000000001</v>
      </c>
      <c r="CK19" s="228">
        <v>15</v>
      </c>
      <c r="CL19" s="228">
        <v>15</v>
      </c>
      <c r="CM19" s="228">
        <v>-1</v>
      </c>
      <c r="CN19" s="229">
        <v>-6.4100000000000004E-2</v>
      </c>
      <c r="CO19" s="228">
        <v>675</v>
      </c>
      <c r="CP19" s="228">
        <v>664</v>
      </c>
      <c r="CQ19" s="228">
        <v>11</v>
      </c>
      <c r="CR19" s="229">
        <v>1.6299999999999999E-2</v>
      </c>
      <c r="CS19" s="228">
        <v>539</v>
      </c>
      <c r="CT19" s="228">
        <v>560</v>
      </c>
      <c r="CU19" s="228">
        <v>-21</v>
      </c>
      <c r="CV19" s="229">
        <v>-3.6700000000000003E-2</v>
      </c>
      <c r="CW19" s="230">
        <v>3670</v>
      </c>
      <c r="CX19" s="230">
        <v>3695</v>
      </c>
      <c r="CY19" s="228">
        <v>-24</v>
      </c>
      <c r="CZ19" s="229">
        <v>-6.6E-3</v>
      </c>
      <c r="DA19" s="228">
        <v>37.64</v>
      </c>
      <c r="DB19" s="228">
        <v>38.17</v>
      </c>
      <c r="DC19" s="228">
        <v>-0.53</v>
      </c>
      <c r="DD19" s="228">
        <v>-0.53</v>
      </c>
      <c r="DE19" s="228">
        <v>38.299999999999997</v>
      </c>
      <c r="DF19" s="228">
        <v>38.39</v>
      </c>
      <c r="DG19" s="228">
        <v>-0.66</v>
      </c>
      <c r="DH19" s="228">
        <v>-0.09</v>
      </c>
      <c r="DI19" s="228">
        <v>35.79</v>
      </c>
      <c r="DJ19" s="228">
        <v>36.549999999999997</v>
      </c>
      <c r="DK19" s="228">
        <v>-0.76</v>
      </c>
      <c r="DL19" s="228">
        <v>-0.76</v>
      </c>
      <c r="DM19" s="228">
        <v>40.11</v>
      </c>
      <c r="DN19" s="228">
        <v>40.03</v>
      </c>
      <c r="DO19" s="228">
        <v>0.08</v>
      </c>
      <c r="DP19" s="228">
        <v>0.08</v>
      </c>
      <c r="DQ19" s="228">
        <v>0.8</v>
      </c>
      <c r="DR19" s="228">
        <v>0.84</v>
      </c>
      <c r="DS19" s="228">
        <v>-0.04</v>
      </c>
      <c r="DT19" s="229">
        <v>-4.7600000000000003E-2</v>
      </c>
      <c r="DU19" s="228">
        <v>900</v>
      </c>
      <c r="DV19" s="228">
        <v>900</v>
      </c>
      <c r="DW19" s="228">
        <v>0.75</v>
      </c>
      <c r="DX19" s="228">
        <v>0.87</v>
      </c>
      <c r="DY19" s="228">
        <v>-0.12</v>
      </c>
      <c r="DZ19" s="229">
        <v>-0.13789999999999999</v>
      </c>
      <c r="EA19" s="229">
        <v>5.9799999999999999E-2</v>
      </c>
      <c r="EB19" s="230">
        <v>1319000</v>
      </c>
      <c r="EC19" s="229">
        <v>5.7999999999999996E-3</v>
      </c>
      <c r="ED19" s="229">
        <v>5.9799999999999999E-2</v>
      </c>
      <c r="EE19" s="228">
        <v>5.35</v>
      </c>
      <c r="EF19" s="229">
        <v>5.4000000000000003E-3</v>
      </c>
      <c r="EG19" s="230">
        <v>596849</v>
      </c>
      <c r="EH19" s="230">
        <v>1895914</v>
      </c>
      <c r="EI19" s="229">
        <v>-0.68520000000000003</v>
      </c>
      <c r="EJ19" s="229">
        <v>0.496</v>
      </c>
      <c r="EK19" s="228">
        <v>510.66</v>
      </c>
      <c r="EL19" s="228">
        <v>353.73</v>
      </c>
      <c r="EM19" s="228">
        <v>299.97000000000003</v>
      </c>
      <c r="EN19" s="228">
        <v>35.39</v>
      </c>
      <c r="EO19" s="231">
        <v>1164.3499999999999</v>
      </c>
      <c r="EP19" s="231">
        <v>1191.28</v>
      </c>
      <c r="EQ19" s="228">
        <v>-26.93</v>
      </c>
      <c r="ER19" s="229">
        <v>-2.2599999999999999E-2</v>
      </c>
      <c r="ES19" s="228">
        <v>657.21</v>
      </c>
      <c r="ET19" s="228">
        <v>493.05</v>
      </c>
      <c r="EU19" s="231">
        <v>2456.64</v>
      </c>
      <c r="EV19" s="231">
        <v>86532345</v>
      </c>
      <c r="EW19" s="231">
        <v>3606.9</v>
      </c>
      <c r="EX19" s="231">
        <v>3610.14</v>
      </c>
      <c r="EY19" s="228">
        <v>-3.24</v>
      </c>
      <c r="EZ19" s="229">
        <v>-8.9999999999999998E-4</v>
      </c>
      <c r="FA19" s="229">
        <v>0.42709999999999998</v>
      </c>
      <c r="FB19" s="227" t="s">
        <v>693</v>
      </c>
      <c r="FC19">
        <f t="shared" si="0"/>
        <v>147</v>
      </c>
    </row>
    <row r="20" spans="1:159" ht="17.25" thickBot="1" x14ac:dyDescent="0.3">
      <c r="A20" s="226">
        <v>46129</v>
      </c>
      <c r="B20" s="227" t="s">
        <v>170</v>
      </c>
      <c r="C20" s="227" t="s">
        <v>171</v>
      </c>
      <c r="D20" s="228">
        <v>550</v>
      </c>
      <c r="E20" s="228">
        <v>11</v>
      </c>
      <c r="F20" s="231">
        <v>1388.6</v>
      </c>
      <c r="G20" s="231">
        <v>1385.4</v>
      </c>
      <c r="H20" s="228">
        <v>3.2</v>
      </c>
      <c r="I20" s="229">
        <v>2.3E-3</v>
      </c>
      <c r="J20" s="231">
        <v>1386</v>
      </c>
      <c r="K20" s="231">
        <v>1386.5</v>
      </c>
      <c r="L20" s="228">
        <v>-0.5</v>
      </c>
      <c r="M20" s="229">
        <v>-4.0000000000000002E-4</v>
      </c>
      <c r="N20" s="231">
        <v>1388.6</v>
      </c>
      <c r="O20" s="231">
        <v>1385.4</v>
      </c>
      <c r="P20" s="228">
        <v>3.2</v>
      </c>
      <c r="Q20" s="229">
        <v>2.3E-3</v>
      </c>
      <c r="R20" s="231">
        <v>1394.7</v>
      </c>
      <c r="S20" s="231">
        <v>1390.5</v>
      </c>
      <c r="T20" s="228">
        <v>4.2</v>
      </c>
      <c r="U20" s="229">
        <v>3.0000000000000001E-3</v>
      </c>
      <c r="V20" s="231">
        <v>1398</v>
      </c>
      <c r="W20" s="231">
        <v>1394.6</v>
      </c>
      <c r="X20" s="228">
        <v>3.4</v>
      </c>
      <c r="Y20" s="229">
        <v>2.3999999999999998E-3</v>
      </c>
      <c r="Z20" s="228">
        <v>2.6</v>
      </c>
      <c r="AA20" s="228">
        <v>-1.1000000000000001</v>
      </c>
      <c r="AB20" s="228">
        <v>3.7</v>
      </c>
      <c r="AC20" s="229">
        <v>1.9E-3</v>
      </c>
      <c r="AD20" s="228">
        <v>2.6</v>
      </c>
      <c r="AE20" s="228">
        <v>-1.1000000000000001</v>
      </c>
      <c r="AF20" s="228">
        <v>3.7</v>
      </c>
      <c r="AG20" s="229">
        <v>1.9E-3</v>
      </c>
      <c r="AH20" s="228">
        <v>8.6999999999999993</v>
      </c>
      <c r="AI20" s="228">
        <v>4</v>
      </c>
      <c r="AJ20" s="228">
        <v>4.7</v>
      </c>
      <c r="AK20" s="229">
        <v>6.3E-3</v>
      </c>
      <c r="AL20" s="228">
        <v>12</v>
      </c>
      <c r="AM20" s="228">
        <v>8.1</v>
      </c>
      <c r="AN20" s="228">
        <v>3.9</v>
      </c>
      <c r="AO20" s="229">
        <v>8.6999999999999994E-3</v>
      </c>
      <c r="AP20" s="231">
        <v>1385.75</v>
      </c>
      <c r="AQ20" s="231">
        <v>1392.41</v>
      </c>
      <c r="AR20" s="228">
        <v>0</v>
      </c>
      <c r="AS20" s="228">
        <v>208</v>
      </c>
      <c r="AT20" s="228">
        <v>286</v>
      </c>
      <c r="AU20" s="228">
        <v>-77</v>
      </c>
      <c r="AV20" s="229">
        <v>-0.27089999999999997</v>
      </c>
      <c r="AW20" s="228">
        <v>194</v>
      </c>
      <c r="AX20" s="228">
        <v>246</v>
      </c>
      <c r="AY20" s="228">
        <v>-52</v>
      </c>
      <c r="AZ20" s="229">
        <v>-0.21329999999999999</v>
      </c>
      <c r="BA20" s="228">
        <v>14</v>
      </c>
      <c r="BB20" s="228">
        <v>38</v>
      </c>
      <c r="BC20" s="228">
        <v>-24</v>
      </c>
      <c r="BD20" s="229">
        <v>-0.625</v>
      </c>
      <c r="BE20" s="228">
        <v>1</v>
      </c>
      <c r="BF20" s="228">
        <v>2</v>
      </c>
      <c r="BG20" s="228">
        <v>-1</v>
      </c>
      <c r="BH20" s="229">
        <v>-0.69569999999999999</v>
      </c>
      <c r="BI20" s="228">
        <v>514</v>
      </c>
      <c r="BJ20" s="228">
        <v>551</v>
      </c>
      <c r="BK20" s="228">
        <v>-37</v>
      </c>
      <c r="BL20" s="229">
        <v>-6.7199999999999996E-2</v>
      </c>
      <c r="BM20" s="228">
        <v>342</v>
      </c>
      <c r="BN20" s="228">
        <v>314</v>
      </c>
      <c r="BO20" s="228">
        <v>28</v>
      </c>
      <c r="BP20" s="229">
        <v>8.9300000000000004E-2</v>
      </c>
      <c r="BQ20" s="230">
        <v>1064</v>
      </c>
      <c r="BR20" s="230">
        <v>1150</v>
      </c>
      <c r="BS20" s="228">
        <v>-86</v>
      </c>
      <c r="BT20" s="229">
        <v>-7.51E-2</v>
      </c>
      <c r="BU20" s="230">
        <v>1636625</v>
      </c>
      <c r="BV20" s="230">
        <v>2308907</v>
      </c>
      <c r="BW20" s="230">
        <v>-672282</v>
      </c>
      <c r="BX20" s="229">
        <v>-0.29120000000000001</v>
      </c>
      <c r="BY20" s="230">
        <v>2917</v>
      </c>
      <c r="BZ20" s="230">
        <v>2922</v>
      </c>
      <c r="CA20" s="228">
        <v>-4</v>
      </c>
      <c r="CB20" s="229">
        <v>-1.4E-3</v>
      </c>
      <c r="CC20" s="230">
        <v>2825</v>
      </c>
      <c r="CD20" s="230">
        <v>2833</v>
      </c>
      <c r="CE20" s="228">
        <v>-8</v>
      </c>
      <c r="CF20" s="229">
        <v>-3.0000000000000001E-3</v>
      </c>
      <c r="CG20" s="228">
        <v>90</v>
      </c>
      <c r="CH20" s="228">
        <v>86</v>
      </c>
      <c r="CI20" s="228">
        <v>4</v>
      </c>
      <c r="CJ20" s="229">
        <v>5.16E-2</v>
      </c>
      <c r="CK20" s="228">
        <v>2</v>
      </c>
      <c r="CL20" s="228">
        <v>3</v>
      </c>
      <c r="CM20" s="228">
        <v>0</v>
      </c>
      <c r="CN20" s="229">
        <v>-5.8799999999999998E-2</v>
      </c>
      <c r="CO20" s="228">
        <v>535</v>
      </c>
      <c r="CP20" s="228">
        <v>534</v>
      </c>
      <c r="CQ20" s="228">
        <v>1</v>
      </c>
      <c r="CR20" s="229">
        <v>1.4E-3</v>
      </c>
      <c r="CS20" s="228">
        <v>375</v>
      </c>
      <c r="CT20" s="228">
        <v>384</v>
      </c>
      <c r="CU20" s="228">
        <v>-9</v>
      </c>
      <c r="CV20" s="229">
        <v>-2.2700000000000001E-2</v>
      </c>
      <c r="CW20" s="230">
        <v>3828</v>
      </c>
      <c r="CX20" s="230">
        <v>3840</v>
      </c>
      <c r="CY20" s="228">
        <v>-12</v>
      </c>
      <c r="CZ20" s="229">
        <v>-3.2000000000000002E-3</v>
      </c>
      <c r="DA20" s="228">
        <v>27.85</v>
      </c>
      <c r="DB20" s="228">
        <v>29.54</v>
      </c>
      <c r="DC20" s="228">
        <v>-1.69</v>
      </c>
      <c r="DD20" s="228">
        <v>-1.69</v>
      </c>
      <c r="DE20" s="228">
        <v>33.33</v>
      </c>
      <c r="DF20" s="228">
        <v>33.409999999999997</v>
      </c>
      <c r="DG20" s="228">
        <v>-5.48</v>
      </c>
      <c r="DH20" s="228">
        <v>-0.08</v>
      </c>
      <c r="DI20" s="228">
        <v>26.82</v>
      </c>
      <c r="DJ20" s="228">
        <v>28.14</v>
      </c>
      <c r="DK20" s="228">
        <v>-1.32</v>
      </c>
      <c r="DL20" s="228">
        <v>-1.32</v>
      </c>
      <c r="DM20" s="228">
        <v>29.39</v>
      </c>
      <c r="DN20" s="228">
        <v>32</v>
      </c>
      <c r="DO20" s="228">
        <v>-2.61</v>
      </c>
      <c r="DP20" s="228">
        <v>-2.61</v>
      </c>
      <c r="DQ20" s="228">
        <v>0.7</v>
      </c>
      <c r="DR20" s="228">
        <v>0.72</v>
      </c>
      <c r="DS20" s="228">
        <v>-0.02</v>
      </c>
      <c r="DT20" s="229">
        <v>-2.7799999999999998E-2</v>
      </c>
      <c r="DU20" s="231">
        <v>1300</v>
      </c>
      <c r="DV20" s="231">
        <v>1300</v>
      </c>
      <c r="DW20" s="228">
        <v>0.67</v>
      </c>
      <c r="DX20" s="228">
        <v>0.56999999999999995</v>
      </c>
      <c r="DY20" s="228">
        <v>0.1</v>
      </c>
      <c r="DZ20" s="229">
        <v>0.1754</v>
      </c>
      <c r="EA20" s="229">
        <v>3.1800000000000002E-2</v>
      </c>
      <c r="EB20" s="230">
        <v>637450</v>
      </c>
      <c r="EC20" s="229">
        <v>4.4000000000000003E-3</v>
      </c>
      <c r="ED20" s="229">
        <v>3.1800000000000002E-2</v>
      </c>
      <c r="EE20" s="228">
        <v>6.66</v>
      </c>
      <c r="EF20" s="229">
        <v>4.7999999999999996E-3</v>
      </c>
      <c r="EG20" s="230">
        <v>835575</v>
      </c>
      <c r="EH20" s="230">
        <v>1445060</v>
      </c>
      <c r="EI20" s="229">
        <v>-0.42180000000000001</v>
      </c>
      <c r="EJ20" s="229">
        <v>0.51049999999999995</v>
      </c>
      <c r="EK20" s="228">
        <v>529.47</v>
      </c>
      <c r="EL20" s="228">
        <v>334.42</v>
      </c>
      <c r="EM20" s="228">
        <v>207.91</v>
      </c>
      <c r="EN20" s="228">
        <v>30.6</v>
      </c>
      <c r="EO20" s="231">
        <v>1071.8</v>
      </c>
      <c r="EP20" s="231">
        <v>1152.04</v>
      </c>
      <c r="EQ20" s="228">
        <v>-80.23</v>
      </c>
      <c r="ER20" s="229">
        <v>-6.9599999999999995E-2</v>
      </c>
      <c r="ES20" s="228">
        <v>529.04999999999995</v>
      </c>
      <c r="ET20" s="228">
        <v>346.8</v>
      </c>
      <c r="EU20" s="231">
        <v>2917.79</v>
      </c>
      <c r="EV20" s="231">
        <v>41977935</v>
      </c>
      <c r="EW20" s="231">
        <v>3793.63</v>
      </c>
      <c r="EX20" s="231">
        <v>3797.63</v>
      </c>
      <c r="EY20" s="228">
        <v>-4</v>
      </c>
      <c r="EZ20" s="229">
        <v>-1.1000000000000001E-3</v>
      </c>
      <c r="FA20" s="229">
        <v>0.65659999999999996</v>
      </c>
      <c r="FB20" s="227" t="s">
        <v>693</v>
      </c>
      <c r="FC20">
        <f t="shared" si="0"/>
        <v>92</v>
      </c>
    </row>
    <row r="21" spans="1:159" ht="17.25" thickBot="1" x14ac:dyDescent="0.3">
      <c r="A21" s="226">
        <v>46129</v>
      </c>
      <c r="B21" s="227" t="s">
        <v>172</v>
      </c>
      <c r="C21" s="227" t="s">
        <v>173</v>
      </c>
      <c r="D21" s="228">
        <v>625</v>
      </c>
      <c r="E21" s="228">
        <v>11</v>
      </c>
      <c r="F21" s="231">
        <v>1363.3</v>
      </c>
      <c r="G21" s="231">
        <v>1350.4</v>
      </c>
      <c r="H21" s="228">
        <v>12.9</v>
      </c>
      <c r="I21" s="229">
        <v>9.5999999999999992E-3</v>
      </c>
      <c r="J21" s="231">
        <v>1359.1</v>
      </c>
      <c r="K21" s="231">
        <v>1349.6</v>
      </c>
      <c r="L21" s="228">
        <v>9.5</v>
      </c>
      <c r="M21" s="229">
        <v>7.0000000000000001E-3</v>
      </c>
      <c r="N21" s="231">
        <v>1363.3</v>
      </c>
      <c r="O21" s="231">
        <v>1350.4</v>
      </c>
      <c r="P21" s="228">
        <v>12.9</v>
      </c>
      <c r="Q21" s="229">
        <v>9.5999999999999992E-3</v>
      </c>
      <c r="R21" s="231">
        <v>1370</v>
      </c>
      <c r="S21" s="231">
        <v>1358.6</v>
      </c>
      <c r="T21" s="228">
        <v>11.4</v>
      </c>
      <c r="U21" s="229">
        <v>8.3999999999999995E-3</v>
      </c>
      <c r="V21" s="231">
        <v>1379.9</v>
      </c>
      <c r="W21" s="231">
        <v>1367.1</v>
      </c>
      <c r="X21" s="228">
        <v>12.8</v>
      </c>
      <c r="Y21" s="229">
        <v>9.4000000000000004E-3</v>
      </c>
      <c r="Z21" s="228">
        <v>4.2</v>
      </c>
      <c r="AA21" s="228">
        <v>0.8</v>
      </c>
      <c r="AB21" s="228">
        <v>3.4</v>
      </c>
      <c r="AC21" s="229">
        <v>3.0999999999999999E-3</v>
      </c>
      <c r="AD21" s="228">
        <v>4.2</v>
      </c>
      <c r="AE21" s="228">
        <v>0.8</v>
      </c>
      <c r="AF21" s="228">
        <v>3.4</v>
      </c>
      <c r="AG21" s="229">
        <v>3.0999999999999999E-3</v>
      </c>
      <c r="AH21" s="228">
        <v>10.9</v>
      </c>
      <c r="AI21" s="228">
        <v>9</v>
      </c>
      <c r="AJ21" s="228">
        <v>1.9</v>
      </c>
      <c r="AK21" s="229">
        <v>8.0000000000000002E-3</v>
      </c>
      <c r="AL21" s="228">
        <v>20.8</v>
      </c>
      <c r="AM21" s="228">
        <v>17.5</v>
      </c>
      <c r="AN21" s="228">
        <v>3.3</v>
      </c>
      <c r="AO21" s="229">
        <v>1.5299999999999999E-2</v>
      </c>
      <c r="AP21" s="231">
        <v>1357.3</v>
      </c>
      <c r="AQ21" s="231">
        <v>1364.59</v>
      </c>
      <c r="AR21" s="228">
        <v>0</v>
      </c>
      <c r="AS21" s="228">
        <v>964</v>
      </c>
      <c r="AT21" s="230">
        <v>1108</v>
      </c>
      <c r="AU21" s="228">
        <v>-144</v>
      </c>
      <c r="AV21" s="229">
        <v>-0.12989999999999999</v>
      </c>
      <c r="AW21" s="228">
        <v>791</v>
      </c>
      <c r="AX21" s="228">
        <v>999</v>
      </c>
      <c r="AY21" s="228">
        <v>-208</v>
      </c>
      <c r="AZ21" s="229">
        <v>-0.2079</v>
      </c>
      <c r="BA21" s="228">
        <v>171</v>
      </c>
      <c r="BB21" s="228">
        <v>104</v>
      </c>
      <c r="BC21" s="228">
        <v>67</v>
      </c>
      <c r="BD21" s="229">
        <v>0.6381</v>
      </c>
      <c r="BE21" s="228">
        <v>2</v>
      </c>
      <c r="BF21" s="228">
        <v>5</v>
      </c>
      <c r="BG21" s="228">
        <v>-3</v>
      </c>
      <c r="BH21" s="229">
        <v>-0.58620000000000005</v>
      </c>
      <c r="BI21" s="230">
        <v>2188</v>
      </c>
      <c r="BJ21" s="230">
        <v>2243</v>
      </c>
      <c r="BK21" s="228">
        <v>-55</v>
      </c>
      <c r="BL21" s="229">
        <v>-2.4400000000000002E-2</v>
      </c>
      <c r="BM21" s="230">
        <v>1516</v>
      </c>
      <c r="BN21" s="230">
        <v>1965</v>
      </c>
      <c r="BO21" s="228">
        <v>-449</v>
      </c>
      <c r="BP21" s="229">
        <v>-0.22839999999999999</v>
      </c>
      <c r="BQ21" s="230">
        <v>4668</v>
      </c>
      <c r="BR21" s="230">
        <v>5316</v>
      </c>
      <c r="BS21" s="228">
        <v>-648</v>
      </c>
      <c r="BT21" s="229">
        <v>-0.12180000000000001</v>
      </c>
      <c r="BU21" s="230">
        <v>4182251</v>
      </c>
      <c r="BV21" s="230">
        <v>6075958</v>
      </c>
      <c r="BW21" s="230">
        <v>-1893707</v>
      </c>
      <c r="BX21" s="229">
        <v>-0.31169999999999998</v>
      </c>
      <c r="BY21" s="230">
        <v>8803</v>
      </c>
      <c r="BZ21" s="230">
        <v>8713</v>
      </c>
      <c r="CA21" s="228">
        <v>89</v>
      </c>
      <c r="CB21" s="229">
        <v>1.0200000000000001E-2</v>
      </c>
      <c r="CC21" s="230">
        <v>6409</v>
      </c>
      <c r="CD21" s="230">
        <v>6415</v>
      </c>
      <c r="CE21" s="228">
        <v>-6</v>
      </c>
      <c r="CF21" s="229">
        <v>-8.9999999999999998E-4</v>
      </c>
      <c r="CG21" s="230">
        <v>2167</v>
      </c>
      <c r="CH21" s="230">
        <v>2073</v>
      </c>
      <c r="CI21" s="228">
        <v>95</v>
      </c>
      <c r="CJ21" s="229">
        <v>4.5600000000000002E-2</v>
      </c>
      <c r="CK21" s="228">
        <v>226</v>
      </c>
      <c r="CL21" s="228">
        <v>226</v>
      </c>
      <c r="CM21" s="228">
        <v>0</v>
      </c>
      <c r="CN21" s="229">
        <v>1.5E-3</v>
      </c>
      <c r="CO21" s="230">
        <v>2276</v>
      </c>
      <c r="CP21" s="230">
        <v>2276</v>
      </c>
      <c r="CQ21" s="228">
        <v>0</v>
      </c>
      <c r="CR21" s="229">
        <v>1E-4</v>
      </c>
      <c r="CS21" s="230">
        <v>1906</v>
      </c>
      <c r="CT21" s="230">
        <v>1846</v>
      </c>
      <c r="CU21" s="228">
        <v>60</v>
      </c>
      <c r="CV21" s="229">
        <v>3.2300000000000002E-2</v>
      </c>
      <c r="CW21" s="230">
        <v>12984</v>
      </c>
      <c r="CX21" s="230">
        <v>12835</v>
      </c>
      <c r="CY21" s="228">
        <v>149</v>
      </c>
      <c r="CZ21" s="229">
        <v>1.1599999999999999E-2</v>
      </c>
      <c r="DA21" s="228">
        <v>32.81</v>
      </c>
      <c r="DB21" s="228">
        <v>32.380000000000003</v>
      </c>
      <c r="DC21" s="228">
        <v>0.43</v>
      </c>
      <c r="DD21" s="228">
        <v>0.43</v>
      </c>
      <c r="DE21" s="228">
        <v>30.06</v>
      </c>
      <c r="DF21" s="228">
        <v>30.12</v>
      </c>
      <c r="DG21" s="228">
        <v>2.75</v>
      </c>
      <c r="DH21" s="228">
        <v>-0.06</v>
      </c>
      <c r="DI21" s="228">
        <v>31.47</v>
      </c>
      <c r="DJ21" s="228">
        <v>31.03</v>
      </c>
      <c r="DK21" s="228">
        <v>0.44</v>
      </c>
      <c r="DL21" s="228">
        <v>0.44</v>
      </c>
      <c r="DM21" s="228">
        <v>34.729999999999997</v>
      </c>
      <c r="DN21" s="228">
        <v>33.92</v>
      </c>
      <c r="DO21" s="228">
        <v>0.81</v>
      </c>
      <c r="DP21" s="228">
        <v>0.81</v>
      </c>
      <c r="DQ21" s="228">
        <v>0.84</v>
      </c>
      <c r="DR21" s="228">
        <v>0.81</v>
      </c>
      <c r="DS21" s="228">
        <v>0.03</v>
      </c>
      <c r="DT21" s="229">
        <v>3.6999999999999998E-2</v>
      </c>
      <c r="DU21" s="231">
        <v>1400</v>
      </c>
      <c r="DV21" s="231">
        <v>1300</v>
      </c>
      <c r="DW21" s="228">
        <v>0.69</v>
      </c>
      <c r="DX21" s="228">
        <v>0.88</v>
      </c>
      <c r="DY21" s="228">
        <v>-0.19</v>
      </c>
      <c r="DZ21" s="229">
        <v>-0.21590000000000001</v>
      </c>
      <c r="EA21" s="229">
        <v>0.27189999999999998</v>
      </c>
      <c r="EB21" s="230">
        <v>16860000</v>
      </c>
      <c r="EC21" s="229">
        <v>4.8999999999999998E-3</v>
      </c>
      <c r="ED21" s="229">
        <v>0.27189999999999998</v>
      </c>
      <c r="EE21" s="228">
        <v>7.29</v>
      </c>
      <c r="EF21" s="229">
        <v>5.4000000000000003E-3</v>
      </c>
      <c r="EG21" s="230">
        <v>2477087</v>
      </c>
      <c r="EH21" s="230">
        <v>2027968</v>
      </c>
      <c r="EI21" s="229">
        <v>0.2215</v>
      </c>
      <c r="EJ21" s="229">
        <v>0.59230000000000005</v>
      </c>
      <c r="EK21" s="231">
        <v>2253.75</v>
      </c>
      <c r="EL21" s="231">
        <v>1488.08</v>
      </c>
      <c r="EM21" s="228">
        <v>960.56</v>
      </c>
      <c r="EN21" s="228">
        <v>139.36000000000001</v>
      </c>
      <c r="EO21" s="231">
        <v>4702.3900000000003</v>
      </c>
      <c r="EP21" s="231">
        <v>5321.03</v>
      </c>
      <c r="EQ21" s="228">
        <v>-618.64</v>
      </c>
      <c r="ER21" s="229">
        <v>-0.1163</v>
      </c>
      <c r="ES21" s="231">
        <v>2234.29</v>
      </c>
      <c r="ET21" s="231">
        <v>1740.53</v>
      </c>
      <c r="EU21" s="231">
        <v>8815.98</v>
      </c>
      <c r="EV21" s="231">
        <v>331596880</v>
      </c>
      <c r="EW21" s="231">
        <v>12790.79</v>
      </c>
      <c r="EX21" s="231">
        <v>12555.55</v>
      </c>
      <c r="EY21" s="228">
        <v>235.24</v>
      </c>
      <c r="EZ21" s="229">
        <v>1.8700000000000001E-2</v>
      </c>
      <c r="FA21" s="229">
        <v>0.28720000000000001</v>
      </c>
      <c r="FB21" s="227" t="s">
        <v>555</v>
      </c>
      <c r="FC21">
        <f t="shared" si="0"/>
        <v>2394</v>
      </c>
    </row>
    <row r="22" spans="1:159" ht="17.25" thickBot="1" x14ac:dyDescent="0.3">
      <c r="A22" s="226">
        <v>46129</v>
      </c>
      <c r="B22" s="227" t="s">
        <v>162</v>
      </c>
      <c r="C22" s="227" t="s">
        <v>174</v>
      </c>
      <c r="D22" s="228">
        <v>75</v>
      </c>
      <c r="E22" s="228">
        <v>11</v>
      </c>
      <c r="F22" s="231">
        <v>9761.5</v>
      </c>
      <c r="G22" s="231">
        <v>9853</v>
      </c>
      <c r="H22" s="228">
        <v>-91.5</v>
      </c>
      <c r="I22" s="229">
        <v>-9.2999999999999992E-3</v>
      </c>
      <c r="J22" s="231">
        <v>9773.5</v>
      </c>
      <c r="K22" s="231">
        <v>9825</v>
      </c>
      <c r="L22" s="228">
        <v>-51.5</v>
      </c>
      <c r="M22" s="229">
        <v>-5.1999999999999998E-3</v>
      </c>
      <c r="N22" s="231">
        <v>9761.5</v>
      </c>
      <c r="O22" s="231">
        <v>9853</v>
      </c>
      <c r="P22" s="228">
        <v>-91.5</v>
      </c>
      <c r="Q22" s="229">
        <v>-9.2999999999999992E-3</v>
      </c>
      <c r="R22" s="231">
        <v>9752</v>
      </c>
      <c r="S22" s="231">
        <v>9843</v>
      </c>
      <c r="T22" s="228">
        <v>-91</v>
      </c>
      <c r="U22" s="229">
        <v>-9.1999999999999998E-3</v>
      </c>
      <c r="V22" s="231">
        <v>9733.5</v>
      </c>
      <c r="W22" s="231">
        <v>9808</v>
      </c>
      <c r="X22" s="228">
        <v>-74.5</v>
      </c>
      <c r="Y22" s="229">
        <v>-7.6E-3</v>
      </c>
      <c r="Z22" s="228">
        <v>-12</v>
      </c>
      <c r="AA22" s="228">
        <v>28</v>
      </c>
      <c r="AB22" s="228">
        <v>-40</v>
      </c>
      <c r="AC22" s="229">
        <v>-1.1999999999999999E-3</v>
      </c>
      <c r="AD22" s="228">
        <v>-12</v>
      </c>
      <c r="AE22" s="228">
        <v>28</v>
      </c>
      <c r="AF22" s="228">
        <v>-40</v>
      </c>
      <c r="AG22" s="229">
        <v>-1.1999999999999999E-3</v>
      </c>
      <c r="AH22" s="228">
        <v>-21.5</v>
      </c>
      <c r="AI22" s="228">
        <v>18</v>
      </c>
      <c r="AJ22" s="228">
        <v>-39.5</v>
      </c>
      <c r="AK22" s="229">
        <v>-2.2000000000000001E-3</v>
      </c>
      <c r="AL22" s="228">
        <v>-40</v>
      </c>
      <c r="AM22" s="228">
        <v>-17</v>
      </c>
      <c r="AN22" s="228">
        <v>-23</v>
      </c>
      <c r="AO22" s="229">
        <v>-4.1000000000000003E-3</v>
      </c>
      <c r="AP22" s="231">
        <v>9777.9699999999993</v>
      </c>
      <c r="AQ22" s="231">
        <v>9766.15</v>
      </c>
      <c r="AR22" s="228">
        <v>0</v>
      </c>
      <c r="AS22" s="228">
        <v>307</v>
      </c>
      <c r="AT22" s="228">
        <v>484</v>
      </c>
      <c r="AU22" s="228">
        <v>-177</v>
      </c>
      <c r="AV22" s="229">
        <v>-0.36609999999999998</v>
      </c>
      <c r="AW22" s="228">
        <v>275</v>
      </c>
      <c r="AX22" s="228">
        <v>451</v>
      </c>
      <c r="AY22" s="228">
        <v>-176</v>
      </c>
      <c r="AZ22" s="229">
        <v>-0.3896</v>
      </c>
      <c r="BA22" s="228">
        <v>29</v>
      </c>
      <c r="BB22" s="228">
        <v>31</v>
      </c>
      <c r="BC22" s="228">
        <v>-2</v>
      </c>
      <c r="BD22" s="229">
        <v>-4.9799999999999997E-2</v>
      </c>
      <c r="BE22" s="228">
        <v>2</v>
      </c>
      <c r="BF22" s="228">
        <v>2</v>
      </c>
      <c r="BG22" s="228">
        <v>0</v>
      </c>
      <c r="BH22" s="229">
        <v>0.08</v>
      </c>
      <c r="BI22" s="230">
        <v>1232</v>
      </c>
      <c r="BJ22" s="230">
        <v>1544</v>
      </c>
      <c r="BK22" s="228">
        <v>-311</v>
      </c>
      <c r="BL22" s="229">
        <v>-0.2016</v>
      </c>
      <c r="BM22" s="228">
        <v>829</v>
      </c>
      <c r="BN22" s="228">
        <v>911</v>
      </c>
      <c r="BO22" s="228">
        <v>-82</v>
      </c>
      <c r="BP22" s="229">
        <v>-0.09</v>
      </c>
      <c r="BQ22" s="230">
        <v>2368</v>
      </c>
      <c r="BR22" s="230">
        <v>2938</v>
      </c>
      <c r="BS22" s="228">
        <v>-570</v>
      </c>
      <c r="BT22" s="229">
        <v>-0.19409999999999999</v>
      </c>
      <c r="BU22" s="230">
        <v>274564</v>
      </c>
      <c r="BV22" s="230">
        <v>489209</v>
      </c>
      <c r="BW22" s="230">
        <v>-214645</v>
      </c>
      <c r="BX22" s="229">
        <v>-0.43880000000000002</v>
      </c>
      <c r="BY22" s="230">
        <v>2992</v>
      </c>
      <c r="BZ22" s="230">
        <v>2960</v>
      </c>
      <c r="CA22" s="228">
        <v>32</v>
      </c>
      <c r="CB22" s="229">
        <v>1.09E-2</v>
      </c>
      <c r="CC22" s="230">
        <v>2712</v>
      </c>
      <c r="CD22" s="230">
        <v>2692</v>
      </c>
      <c r="CE22" s="228">
        <v>19</v>
      </c>
      <c r="CF22" s="229">
        <v>7.1999999999999998E-3</v>
      </c>
      <c r="CG22" s="228">
        <v>264</v>
      </c>
      <c r="CH22" s="228">
        <v>253</v>
      </c>
      <c r="CI22" s="228">
        <v>11</v>
      </c>
      <c r="CJ22" s="229">
        <v>4.48E-2</v>
      </c>
      <c r="CK22" s="228">
        <v>16</v>
      </c>
      <c r="CL22" s="228">
        <v>15</v>
      </c>
      <c r="CM22" s="228">
        <v>2</v>
      </c>
      <c r="CN22" s="229">
        <v>0.105</v>
      </c>
      <c r="CO22" s="230">
        <v>1252</v>
      </c>
      <c r="CP22" s="230">
        <v>1111</v>
      </c>
      <c r="CQ22" s="228">
        <v>141</v>
      </c>
      <c r="CR22" s="229">
        <v>0.127</v>
      </c>
      <c r="CS22" s="230">
        <v>1112</v>
      </c>
      <c r="CT22" s="230">
        <v>1109</v>
      </c>
      <c r="CU22" s="228">
        <v>2</v>
      </c>
      <c r="CV22" s="229">
        <v>2.2000000000000001E-3</v>
      </c>
      <c r="CW22" s="230">
        <v>5356</v>
      </c>
      <c r="CX22" s="230">
        <v>5180</v>
      </c>
      <c r="CY22" s="228">
        <v>176</v>
      </c>
      <c r="CZ22" s="229">
        <v>3.39E-2</v>
      </c>
      <c r="DA22" s="228">
        <v>28.23</v>
      </c>
      <c r="DB22" s="228">
        <v>28.34</v>
      </c>
      <c r="DC22" s="228">
        <v>-0.11</v>
      </c>
      <c r="DD22" s="228">
        <v>-0.11</v>
      </c>
      <c r="DE22" s="228">
        <v>29.68</v>
      </c>
      <c r="DF22" s="228">
        <v>29.75</v>
      </c>
      <c r="DG22" s="228">
        <v>-1.45</v>
      </c>
      <c r="DH22" s="228">
        <v>-7.0000000000000007E-2</v>
      </c>
      <c r="DI22" s="228">
        <v>27.06</v>
      </c>
      <c r="DJ22" s="228">
        <v>27.41</v>
      </c>
      <c r="DK22" s="228">
        <v>-0.35</v>
      </c>
      <c r="DL22" s="228">
        <v>-0.35</v>
      </c>
      <c r="DM22" s="228">
        <v>29.97</v>
      </c>
      <c r="DN22" s="228">
        <v>29.92</v>
      </c>
      <c r="DO22" s="228">
        <v>0.05</v>
      </c>
      <c r="DP22" s="228">
        <v>0.05</v>
      </c>
      <c r="DQ22" s="228">
        <v>0.89</v>
      </c>
      <c r="DR22" s="228">
        <v>1</v>
      </c>
      <c r="DS22" s="228">
        <v>-0.11</v>
      </c>
      <c r="DT22" s="229">
        <v>-0.11</v>
      </c>
      <c r="DU22" s="231">
        <v>10000</v>
      </c>
      <c r="DV22" s="231">
        <v>8000</v>
      </c>
      <c r="DW22" s="228">
        <v>0.67</v>
      </c>
      <c r="DX22" s="228">
        <v>0.59</v>
      </c>
      <c r="DY22" s="228">
        <v>0.08</v>
      </c>
      <c r="DZ22" s="229">
        <v>0.1356</v>
      </c>
      <c r="EA22" s="229">
        <v>9.3799999999999994E-2</v>
      </c>
      <c r="EB22" s="230">
        <v>274275</v>
      </c>
      <c r="EC22" s="229">
        <v>-1E-3</v>
      </c>
      <c r="ED22" s="229">
        <v>9.3799999999999994E-2</v>
      </c>
      <c r="EE22" s="228">
        <v>-11.82</v>
      </c>
      <c r="EF22" s="229">
        <v>-1.1999999999999999E-3</v>
      </c>
      <c r="EG22" s="230">
        <v>143768</v>
      </c>
      <c r="EH22" s="230">
        <v>263390</v>
      </c>
      <c r="EI22" s="229">
        <v>-0.45419999999999999</v>
      </c>
      <c r="EJ22" s="229">
        <v>0.52359999999999995</v>
      </c>
      <c r="EK22" s="231">
        <v>1288.1500000000001</v>
      </c>
      <c r="EL22" s="228">
        <v>812.23</v>
      </c>
      <c r="EM22" s="228">
        <v>307.01</v>
      </c>
      <c r="EN22" s="228">
        <v>80.56</v>
      </c>
      <c r="EO22" s="231">
        <v>2407.39</v>
      </c>
      <c r="EP22" s="231">
        <v>3020.85</v>
      </c>
      <c r="EQ22" s="228">
        <v>-613.46</v>
      </c>
      <c r="ER22" s="229">
        <v>-0.2031</v>
      </c>
      <c r="ES22" s="231">
        <v>1264.22</v>
      </c>
      <c r="ET22" s="231">
        <v>1028.6600000000001</v>
      </c>
      <c r="EU22" s="231">
        <v>2991.84</v>
      </c>
      <c r="EV22" s="231">
        <v>12553818</v>
      </c>
      <c r="EW22" s="231">
        <v>5284.72</v>
      </c>
      <c r="EX22" s="231">
        <v>5131.7</v>
      </c>
      <c r="EY22" s="228">
        <v>153.02000000000001</v>
      </c>
      <c r="EZ22" s="229">
        <v>2.98E-2</v>
      </c>
      <c r="FA22" s="229">
        <v>0.43709999999999999</v>
      </c>
      <c r="FB22" s="227" t="s">
        <v>566</v>
      </c>
      <c r="FC22">
        <f t="shared" si="0"/>
        <v>280</v>
      </c>
    </row>
    <row r="23" spans="1:159" ht="17.25" thickBot="1" x14ac:dyDescent="0.3">
      <c r="A23" s="226">
        <v>46129</v>
      </c>
      <c r="B23" s="227" t="s">
        <v>175</v>
      </c>
      <c r="C23" s="227" t="s">
        <v>176</v>
      </c>
      <c r="D23" s="228">
        <v>250</v>
      </c>
      <c r="E23" s="228">
        <v>11</v>
      </c>
      <c r="F23" s="231">
        <v>1839.4</v>
      </c>
      <c r="G23" s="231">
        <v>1829.8</v>
      </c>
      <c r="H23" s="228">
        <v>9.6</v>
      </c>
      <c r="I23" s="229">
        <v>5.1999999999999998E-3</v>
      </c>
      <c r="J23" s="231">
        <v>1838.9</v>
      </c>
      <c r="K23" s="231">
        <v>1829.9</v>
      </c>
      <c r="L23" s="228">
        <v>9</v>
      </c>
      <c r="M23" s="229">
        <v>4.8999999999999998E-3</v>
      </c>
      <c r="N23" s="231">
        <v>1839.4</v>
      </c>
      <c r="O23" s="231">
        <v>1829.8</v>
      </c>
      <c r="P23" s="228">
        <v>9.6</v>
      </c>
      <c r="Q23" s="229">
        <v>5.1999999999999998E-3</v>
      </c>
      <c r="R23" s="231">
        <v>1849.7</v>
      </c>
      <c r="S23" s="231">
        <v>1840.6</v>
      </c>
      <c r="T23" s="228">
        <v>9.1</v>
      </c>
      <c r="U23" s="229">
        <v>4.8999999999999998E-3</v>
      </c>
      <c r="V23" s="231">
        <v>1861.2</v>
      </c>
      <c r="W23" s="231">
        <v>1852</v>
      </c>
      <c r="X23" s="228">
        <v>9.1999999999999993</v>
      </c>
      <c r="Y23" s="229">
        <v>5.0000000000000001E-3</v>
      </c>
      <c r="Z23" s="228">
        <v>0.5</v>
      </c>
      <c r="AA23" s="228">
        <v>-0.1</v>
      </c>
      <c r="AB23" s="228">
        <v>0.6</v>
      </c>
      <c r="AC23" s="229">
        <v>2.9999999999999997E-4</v>
      </c>
      <c r="AD23" s="228">
        <v>0.5</v>
      </c>
      <c r="AE23" s="228">
        <v>-0.1</v>
      </c>
      <c r="AF23" s="228">
        <v>0.6</v>
      </c>
      <c r="AG23" s="229">
        <v>2.9999999999999997E-4</v>
      </c>
      <c r="AH23" s="228">
        <v>10.8</v>
      </c>
      <c r="AI23" s="228">
        <v>10.7</v>
      </c>
      <c r="AJ23" s="228">
        <v>0.1</v>
      </c>
      <c r="AK23" s="229">
        <v>5.8999999999999999E-3</v>
      </c>
      <c r="AL23" s="228">
        <v>22.3</v>
      </c>
      <c r="AM23" s="228">
        <v>22.1</v>
      </c>
      <c r="AN23" s="228">
        <v>0.2</v>
      </c>
      <c r="AO23" s="229">
        <v>1.21E-2</v>
      </c>
      <c r="AP23" s="231">
        <v>1834.13</v>
      </c>
      <c r="AQ23" s="231">
        <v>1843.04</v>
      </c>
      <c r="AR23" s="228">
        <v>0</v>
      </c>
      <c r="AS23" s="228">
        <v>82</v>
      </c>
      <c r="AT23" s="228">
        <v>249</v>
      </c>
      <c r="AU23" s="228">
        <v>-167</v>
      </c>
      <c r="AV23" s="229">
        <v>-0.66910000000000003</v>
      </c>
      <c r="AW23" s="228">
        <v>71</v>
      </c>
      <c r="AX23" s="228">
        <v>226</v>
      </c>
      <c r="AY23" s="228">
        <v>-155</v>
      </c>
      <c r="AZ23" s="229">
        <v>-0.68559999999999999</v>
      </c>
      <c r="BA23" s="228">
        <v>11</v>
      </c>
      <c r="BB23" s="228">
        <v>22</v>
      </c>
      <c r="BC23" s="228">
        <v>-12</v>
      </c>
      <c r="BD23" s="229">
        <v>-0.51859999999999995</v>
      </c>
      <c r="BE23" s="228">
        <v>1</v>
      </c>
      <c r="BF23" s="228">
        <v>1</v>
      </c>
      <c r="BG23" s="228">
        <v>0</v>
      </c>
      <c r="BH23" s="229">
        <v>-0.37040000000000001</v>
      </c>
      <c r="BI23" s="228">
        <v>358</v>
      </c>
      <c r="BJ23" s="228">
        <v>891</v>
      </c>
      <c r="BK23" s="228">
        <v>-533</v>
      </c>
      <c r="BL23" s="229">
        <v>-0.59850000000000003</v>
      </c>
      <c r="BM23" s="228">
        <v>235</v>
      </c>
      <c r="BN23" s="228">
        <v>395</v>
      </c>
      <c r="BO23" s="228">
        <v>-160</v>
      </c>
      <c r="BP23" s="229">
        <v>-0.4052</v>
      </c>
      <c r="BQ23" s="228">
        <v>675</v>
      </c>
      <c r="BR23" s="230">
        <v>1535</v>
      </c>
      <c r="BS23" s="228">
        <v>-860</v>
      </c>
      <c r="BT23" s="229">
        <v>-0.56020000000000003</v>
      </c>
      <c r="BU23" s="230">
        <v>512844</v>
      </c>
      <c r="BV23" s="230">
        <v>1096370</v>
      </c>
      <c r="BW23" s="230">
        <v>-583526</v>
      </c>
      <c r="BX23" s="229">
        <v>-0.53220000000000001</v>
      </c>
      <c r="BY23" s="230">
        <v>2061</v>
      </c>
      <c r="BZ23" s="230">
        <v>2079</v>
      </c>
      <c r="CA23" s="228">
        <v>-19</v>
      </c>
      <c r="CB23" s="229">
        <v>-9.1000000000000004E-3</v>
      </c>
      <c r="CC23" s="230">
        <v>1739</v>
      </c>
      <c r="CD23" s="230">
        <v>1761</v>
      </c>
      <c r="CE23" s="228">
        <v>-22</v>
      </c>
      <c r="CF23" s="229">
        <v>-1.2200000000000001E-2</v>
      </c>
      <c r="CG23" s="228">
        <v>309</v>
      </c>
      <c r="CH23" s="228">
        <v>307</v>
      </c>
      <c r="CI23" s="228">
        <v>3</v>
      </c>
      <c r="CJ23" s="229">
        <v>8.3999999999999995E-3</v>
      </c>
      <c r="CK23" s="228">
        <v>12</v>
      </c>
      <c r="CL23" s="228">
        <v>12</v>
      </c>
      <c r="CM23" s="228">
        <v>0</v>
      </c>
      <c r="CN23" s="229">
        <v>0</v>
      </c>
      <c r="CO23" s="228">
        <v>644</v>
      </c>
      <c r="CP23" s="228">
        <v>650</v>
      </c>
      <c r="CQ23" s="228">
        <v>-7</v>
      </c>
      <c r="CR23" s="229">
        <v>-1.04E-2</v>
      </c>
      <c r="CS23" s="228">
        <v>658</v>
      </c>
      <c r="CT23" s="228">
        <v>649</v>
      </c>
      <c r="CU23" s="228">
        <v>9</v>
      </c>
      <c r="CV23" s="229">
        <v>1.41E-2</v>
      </c>
      <c r="CW23" s="230">
        <v>3362</v>
      </c>
      <c r="CX23" s="230">
        <v>3379</v>
      </c>
      <c r="CY23" s="228">
        <v>-17</v>
      </c>
      <c r="CZ23" s="229">
        <v>-4.8999999999999998E-3</v>
      </c>
      <c r="DA23" s="228">
        <v>27.51</v>
      </c>
      <c r="DB23" s="228">
        <v>28.42</v>
      </c>
      <c r="DC23" s="228">
        <v>-0.91</v>
      </c>
      <c r="DD23" s="228">
        <v>-0.91</v>
      </c>
      <c r="DE23" s="228">
        <v>30.62</v>
      </c>
      <c r="DF23" s="228">
        <v>30.69</v>
      </c>
      <c r="DG23" s="228">
        <v>-3.11</v>
      </c>
      <c r="DH23" s="228">
        <v>-7.0000000000000007E-2</v>
      </c>
      <c r="DI23" s="228">
        <v>26.39</v>
      </c>
      <c r="DJ23" s="228">
        <v>27.69</v>
      </c>
      <c r="DK23" s="228">
        <v>-1.3</v>
      </c>
      <c r="DL23" s="228">
        <v>-1.3</v>
      </c>
      <c r="DM23" s="228">
        <v>29.21</v>
      </c>
      <c r="DN23" s="228">
        <v>30.06</v>
      </c>
      <c r="DO23" s="228">
        <v>-0.85</v>
      </c>
      <c r="DP23" s="228">
        <v>-0.85</v>
      </c>
      <c r="DQ23" s="228">
        <v>1.02</v>
      </c>
      <c r="DR23" s="228">
        <v>1</v>
      </c>
      <c r="DS23" s="228">
        <v>0.02</v>
      </c>
      <c r="DT23" s="229">
        <v>0.02</v>
      </c>
      <c r="DU23" s="231">
        <v>1760</v>
      </c>
      <c r="DV23" s="231">
        <v>1620</v>
      </c>
      <c r="DW23" s="228">
        <v>0.66</v>
      </c>
      <c r="DX23" s="228">
        <v>0.44</v>
      </c>
      <c r="DY23" s="228">
        <v>0.22</v>
      </c>
      <c r="DZ23" s="229">
        <v>0.5</v>
      </c>
      <c r="EA23" s="229">
        <v>0.15590000000000001</v>
      </c>
      <c r="EB23" s="230">
        <v>1732750</v>
      </c>
      <c r="EC23" s="229">
        <v>5.5999999999999999E-3</v>
      </c>
      <c r="ED23" s="229">
        <v>0.15590000000000001</v>
      </c>
      <c r="EE23" s="228">
        <v>8.91</v>
      </c>
      <c r="EF23" s="229">
        <v>4.8999999999999998E-3</v>
      </c>
      <c r="EG23" s="230">
        <v>266505</v>
      </c>
      <c r="EH23" s="230">
        <v>557909</v>
      </c>
      <c r="EI23" s="229">
        <v>-0.52229999999999999</v>
      </c>
      <c r="EJ23" s="229">
        <v>0.51970000000000005</v>
      </c>
      <c r="EK23" s="228">
        <v>368.27</v>
      </c>
      <c r="EL23" s="228">
        <v>231.42</v>
      </c>
      <c r="EM23" s="228">
        <v>82.27</v>
      </c>
      <c r="EN23" s="228">
        <v>40.71</v>
      </c>
      <c r="EO23" s="228">
        <v>681.96</v>
      </c>
      <c r="EP23" s="231">
        <v>1555.85</v>
      </c>
      <c r="EQ23" s="228">
        <v>-873.89</v>
      </c>
      <c r="ER23" s="229">
        <v>-0.56169999999999998</v>
      </c>
      <c r="ES23" s="228">
        <v>636.01</v>
      </c>
      <c r="ET23" s="228">
        <v>609.83000000000004</v>
      </c>
      <c r="EU23" s="231">
        <v>2062.42</v>
      </c>
      <c r="EV23" s="231">
        <v>65784745</v>
      </c>
      <c r="EW23" s="231">
        <v>3308.26</v>
      </c>
      <c r="EX23" s="231">
        <v>3312.81</v>
      </c>
      <c r="EY23" s="228">
        <v>-4.55</v>
      </c>
      <c r="EZ23" s="229">
        <v>-1.4E-3</v>
      </c>
      <c r="FA23" s="229">
        <v>0.27789999999999998</v>
      </c>
      <c r="FB23" s="227" t="s">
        <v>693</v>
      </c>
      <c r="FC23">
        <f t="shared" si="0"/>
        <v>322</v>
      </c>
    </row>
    <row r="24" spans="1:159" ht="17.25" thickBot="1" x14ac:dyDescent="0.3">
      <c r="A24" s="226">
        <v>46129</v>
      </c>
      <c r="B24" s="227" t="s">
        <v>175</v>
      </c>
      <c r="C24" s="227" t="s">
        <v>689</v>
      </c>
      <c r="D24" s="228">
        <v>50</v>
      </c>
      <c r="E24" s="228">
        <v>11</v>
      </c>
      <c r="F24" s="231">
        <v>10358</v>
      </c>
      <c r="G24" s="231">
        <v>10206.5</v>
      </c>
      <c r="H24" s="228">
        <v>151.5</v>
      </c>
      <c r="I24" s="229">
        <v>1.4800000000000001E-2</v>
      </c>
      <c r="J24" s="231">
        <v>10355.5</v>
      </c>
      <c r="K24" s="231">
        <v>10205</v>
      </c>
      <c r="L24" s="228">
        <v>150.5</v>
      </c>
      <c r="M24" s="229">
        <v>1.47E-2</v>
      </c>
      <c r="N24" s="231">
        <v>10358</v>
      </c>
      <c r="O24" s="231">
        <v>10206.5</v>
      </c>
      <c r="P24" s="228">
        <v>151.5</v>
      </c>
      <c r="Q24" s="229">
        <v>1.4800000000000001E-2</v>
      </c>
      <c r="R24" s="231">
        <v>10397.5</v>
      </c>
      <c r="S24" s="231">
        <v>10256.5</v>
      </c>
      <c r="T24" s="228">
        <v>141</v>
      </c>
      <c r="U24" s="229">
        <v>1.37E-2</v>
      </c>
      <c r="V24" s="231">
        <v>10417</v>
      </c>
      <c r="W24" s="231">
        <v>10219.5</v>
      </c>
      <c r="X24" s="228">
        <v>197.5</v>
      </c>
      <c r="Y24" s="229">
        <v>1.9300000000000001E-2</v>
      </c>
      <c r="Z24" s="228">
        <v>2.5</v>
      </c>
      <c r="AA24" s="228">
        <v>1.5</v>
      </c>
      <c r="AB24" s="228">
        <v>1</v>
      </c>
      <c r="AC24" s="229">
        <v>2.0000000000000001E-4</v>
      </c>
      <c r="AD24" s="228">
        <v>2.5</v>
      </c>
      <c r="AE24" s="228">
        <v>1.5</v>
      </c>
      <c r="AF24" s="228">
        <v>1</v>
      </c>
      <c r="AG24" s="229">
        <v>2.0000000000000001E-4</v>
      </c>
      <c r="AH24" s="228">
        <v>42</v>
      </c>
      <c r="AI24" s="228">
        <v>51.5</v>
      </c>
      <c r="AJ24" s="228">
        <v>-9.5</v>
      </c>
      <c r="AK24" s="229">
        <v>4.1000000000000003E-3</v>
      </c>
      <c r="AL24" s="228">
        <v>61.5</v>
      </c>
      <c r="AM24" s="228">
        <v>14.5</v>
      </c>
      <c r="AN24" s="228">
        <v>47</v>
      </c>
      <c r="AO24" s="229">
        <v>5.8999999999999999E-3</v>
      </c>
      <c r="AP24" s="231">
        <v>10325.200000000001</v>
      </c>
      <c r="AQ24" s="231">
        <v>10358.61</v>
      </c>
      <c r="AR24" s="228">
        <v>0</v>
      </c>
      <c r="AS24" s="228">
        <v>29</v>
      </c>
      <c r="AT24" s="228">
        <v>63</v>
      </c>
      <c r="AU24" s="228">
        <v>-34</v>
      </c>
      <c r="AV24" s="229">
        <v>-0.54379999999999995</v>
      </c>
      <c r="AW24" s="228">
        <v>23</v>
      </c>
      <c r="AX24" s="228">
        <v>58</v>
      </c>
      <c r="AY24" s="228">
        <v>-35</v>
      </c>
      <c r="AZ24" s="229">
        <v>-0.61019999999999996</v>
      </c>
      <c r="BA24" s="228">
        <v>6</v>
      </c>
      <c r="BB24" s="228">
        <v>5</v>
      </c>
      <c r="BC24" s="228">
        <v>1</v>
      </c>
      <c r="BD24" s="229">
        <v>0.2366</v>
      </c>
      <c r="BE24" s="228">
        <v>0</v>
      </c>
      <c r="BF24" s="228">
        <v>0</v>
      </c>
      <c r="BG24" s="228">
        <v>0</v>
      </c>
      <c r="BH24" s="229">
        <v>1</v>
      </c>
      <c r="BI24" s="228">
        <v>93</v>
      </c>
      <c r="BJ24" s="228">
        <v>234</v>
      </c>
      <c r="BK24" s="228">
        <v>-141</v>
      </c>
      <c r="BL24" s="229">
        <v>-0.60170000000000001</v>
      </c>
      <c r="BM24" s="228">
        <v>140</v>
      </c>
      <c r="BN24" s="228">
        <v>37</v>
      </c>
      <c r="BO24" s="228">
        <v>102</v>
      </c>
      <c r="BP24" s="229">
        <v>2.7210000000000001</v>
      </c>
      <c r="BQ24" s="228">
        <v>261</v>
      </c>
      <c r="BR24" s="228">
        <v>334</v>
      </c>
      <c r="BS24" s="228">
        <v>-73</v>
      </c>
      <c r="BT24" s="229">
        <v>-0.21829999999999999</v>
      </c>
      <c r="BU24" s="230">
        <v>49448</v>
      </c>
      <c r="BV24" s="230">
        <v>83882</v>
      </c>
      <c r="BW24" s="230">
        <v>-34434</v>
      </c>
      <c r="BX24" s="229">
        <v>-0.41049999999999998</v>
      </c>
      <c r="BY24" s="228">
        <v>304</v>
      </c>
      <c r="BZ24" s="228">
        <v>306</v>
      </c>
      <c r="CA24" s="228">
        <v>-2</v>
      </c>
      <c r="CB24" s="229">
        <v>-7.1000000000000004E-3</v>
      </c>
      <c r="CC24" s="228">
        <v>270</v>
      </c>
      <c r="CD24" s="228">
        <v>271</v>
      </c>
      <c r="CE24" s="228">
        <v>-1</v>
      </c>
      <c r="CF24" s="229">
        <v>-4.5999999999999999E-3</v>
      </c>
      <c r="CG24" s="228">
        <v>34</v>
      </c>
      <c r="CH24" s="228">
        <v>34</v>
      </c>
      <c r="CI24" s="228">
        <v>-1</v>
      </c>
      <c r="CJ24" s="229">
        <v>-2.5600000000000001E-2</v>
      </c>
      <c r="CK24" s="228">
        <v>1</v>
      </c>
      <c r="CL24" s="228">
        <v>1</v>
      </c>
      <c r="CM24" s="228">
        <v>0</v>
      </c>
      <c r="CN24" s="229">
        <v>-4.3499999999999997E-2</v>
      </c>
      <c r="CO24" s="228">
        <v>88</v>
      </c>
      <c r="CP24" s="228">
        <v>97</v>
      </c>
      <c r="CQ24" s="228">
        <v>-8</v>
      </c>
      <c r="CR24" s="229">
        <v>-8.77E-2</v>
      </c>
      <c r="CS24" s="228">
        <v>49</v>
      </c>
      <c r="CT24" s="228">
        <v>46</v>
      </c>
      <c r="CU24" s="228">
        <v>2</v>
      </c>
      <c r="CV24" s="229">
        <v>5.16E-2</v>
      </c>
      <c r="CW24" s="228">
        <v>441</v>
      </c>
      <c r="CX24" s="228">
        <v>450</v>
      </c>
      <c r="CY24" s="228">
        <v>-8</v>
      </c>
      <c r="CZ24" s="229">
        <v>-1.84E-2</v>
      </c>
      <c r="DA24" s="228">
        <v>46.44</v>
      </c>
      <c r="DB24" s="228">
        <v>37.21</v>
      </c>
      <c r="DC24" s="228">
        <v>9.23</v>
      </c>
      <c r="DD24" s="228">
        <v>9.23</v>
      </c>
      <c r="DE24" s="228">
        <v>39.020000000000003</v>
      </c>
      <c r="DF24" s="228">
        <v>39.07</v>
      </c>
      <c r="DG24" s="228">
        <v>7.42</v>
      </c>
      <c r="DH24" s="228">
        <v>-0.05</v>
      </c>
      <c r="DI24" s="228">
        <v>34.340000000000003</v>
      </c>
      <c r="DJ24" s="228">
        <v>37.229999999999997</v>
      </c>
      <c r="DK24" s="228">
        <v>-2.89</v>
      </c>
      <c r="DL24" s="228">
        <v>-2.89</v>
      </c>
      <c r="DM24" s="228">
        <v>54.54</v>
      </c>
      <c r="DN24" s="228">
        <v>37.06</v>
      </c>
      <c r="DO24" s="228">
        <v>17.48</v>
      </c>
      <c r="DP24" s="228">
        <v>17.48</v>
      </c>
      <c r="DQ24" s="228">
        <v>0.55000000000000004</v>
      </c>
      <c r="DR24" s="228">
        <v>0.48</v>
      </c>
      <c r="DS24" s="228">
        <v>7.0000000000000007E-2</v>
      </c>
      <c r="DT24" s="229">
        <v>0.14580000000000001</v>
      </c>
      <c r="DU24" s="231">
        <v>11000</v>
      </c>
      <c r="DV24" s="231">
        <v>9500</v>
      </c>
      <c r="DW24" s="228">
        <v>1.5</v>
      </c>
      <c r="DX24" s="228">
        <v>0.16</v>
      </c>
      <c r="DY24" s="228">
        <v>1.34</v>
      </c>
      <c r="DZ24" s="229">
        <v>8.375</v>
      </c>
      <c r="EA24" s="229">
        <v>0.114</v>
      </c>
      <c r="EB24" s="230">
        <v>34400</v>
      </c>
      <c r="EC24" s="229">
        <v>3.8E-3</v>
      </c>
      <c r="ED24" s="229">
        <v>0.114</v>
      </c>
      <c r="EE24" s="228">
        <v>33.409999999999997</v>
      </c>
      <c r="EF24" s="229">
        <v>3.2000000000000002E-3</v>
      </c>
      <c r="EG24" s="230">
        <v>27182</v>
      </c>
      <c r="EH24" s="230">
        <v>41218</v>
      </c>
      <c r="EI24" s="229">
        <v>-0.34050000000000002</v>
      </c>
      <c r="EJ24" s="229">
        <v>0.54969999999999997</v>
      </c>
      <c r="EK24" s="228">
        <v>98.07</v>
      </c>
      <c r="EL24" s="228">
        <v>117.48</v>
      </c>
      <c r="EM24" s="228">
        <v>28.52</v>
      </c>
      <c r="EN24" s="228">
        <v>9.01</v>
      </c>
      <c r="EO24" s="228">
        <v>244.06</v>
      </c>
      <c r="EP24" s="228">
        <v>344.09</v>
      </c>
      <c r="EQ24" s="228">
        <v>-100.02</v>
      </c>
      <c r="ER24" s="229">
        <v>-0.29070000000000001</v>
      </c>
      <c r="ES24" s="228">
        <v>88.01</v>
      </c>
      <c r="ET24" s="228">
        <v>43.78</v>
      </c>
      <c r="EU24" s="228">
        <v>304.45</v>
      </c>
      <c r="EV24" s="231">
        <v>5401993</v>
      </c>
      <c r="EW24" s="228">
        <v>436.24</v>
      </c>
      <c r="EX24" s="228">
        <v>440.11</v>
      </c>
      <c r="EY24" s="228">
        <v>-3.87</v>
      </c>
      <c r="EZ24" s="229">
        <v>-8.8000000000000005E-3</v>
      </c>
      <c r="FA24" s="229">
        <v>7.8899999999999998E-2</v>
      </c>
      <c r="FB24" s="227" t="s">
        <v>693</v>
      </c>
      <c r="FC24">
        <f t="shared" si="0"/>
        <v>34</v>
      </c>
    </row>
    <row r="25" spans="1:159" ht="17.25" thickBot="1" x14ac:dyDescent="0.3">
      <c r="A25" s="226">
        <v>46129</v>
      </c>
      <c r="B25" s="227" t="s">
        <v>175</v>
      </c>
      <c r="C25" s="227" t="s">
        <v>177</v>
      </c>
      <c r="D25" s="228">
        <v>750</v>
      </c>
      <c r="E25" s="228">
        <v>11</v>
      </c>
      <c r="F25" s="228">
        <v>910.95</v>
      </c>
      <c r="G25" s="228">
        <v>908.85</v>
      </c>
      <c r="H25" s="228">
        <v>2.1</v>
      </c>
      <c r="I25" s="229">
        <v>2.3E-3</v>
      </c>
      <c r="J25" s="228">
        <v>908.25</v>
      </c>
      <c r="K25" s="228">
        <v>905.9</v>
      </c>
      <c r="L25" s="228">
        <v>2.35</v>
      </c>
      <c r="M25" s="229">
        <v>2.5999999999999999E-3</v>
      </c>
      <c r="N25" s="228">
        <v>910.95</v>
      </c>
      <c r="O25" s="228">
        <v>908.85</v>
      </c>
      <c r="P25" s="228">
        <v>2.1</v>
      </c>
      <c r="Q25" s="229">
        <v>2.3E-3</v>
      </c>
      <c r="R25" s="228">
        <v>915.3</v>
      </c>
      <c r="S25" s="228">
        <v>913.35</v>
      </c>
      <c r="T25" s="228">
        <v>1.95</v>
      </c>
      <c r="U25" s="229">
        <v>2.0999999999999999E-3</v>
      </c>
      <c r="V25" s="228">
        <v>917.2</v>
      </c>
      <c r="W25" s="228">
        <v>915.55</v>
      </c>
      <c r="X25" s="228">
        <v>1.65</v>
      </c>
      <c r="Y25" s="229">
        <v>1.8E-3</v>
      </c>
      <c r="Z25" s="228">
        <v>2.7</v>
      </c>
      <c r="AA25" s="228">
        <v>2.95</v>
      </c>
      <c r="AB25" s="228">
        <v>-0.25</v>
      </c>
      <c r="AC25" s="229">
        <v>3.0000000000000001E-3</v>
      </c>
      <c r="AD25" s="228">
        <v>2.7</v>
      </c>
      <c r="AE25" s="228">
        <v>2.95</v>
      </c>
      <c r="AF25" s="228">
        <v>-0.25</v>
      </c>
      <c r="AG25" s="229">
        <v>3.0000000000000001E-3</v>
      </c>
      <c r="AH25" s="228">
        <v>7.05</v>
      </c>
      <c r="AI25" s="228">
        <v>7.45</v>
      </c>
      <c r="AJ25" s="228">
        <v>-0.4</v>
      </c>
      <c r="AK25" s="229">
        <v>7.7999999999999996E-3</v>
      </c>
      <c r="AL25" s="228">
        <v>8.9499999999999993</v>
      </c>
      <c r="AM25" s="228">
        <v>9.65</v>
      </c>
      <c r="AN25" s="228">
        <v>-0.7</v>
      </c>
      <c r="AO25" s="229">
        <v>9.9000000000000008E-3</v>
      </c>
      <c r="AP25" s="228">
        <v>909.6</v>
      </c>
      <c r="AQ25" s="228">
        <v>914.39</v>
      </c>
      <c r="AR25" s="228">
        <v>0</v>
      </c>
      <c r="AS25" s="228">
        <v>440</v>
      </c>
      <c r="AT25" s="228">
        <v>941</v>
      </c>
      <c r="AU25" s="228">
        <v>-501</v>
      </c>
      <c r="AV25" s="229">
        <v>-0.53259999999999996</v>
      </c>
      <c r="AW25" s="228">
        <v>362</v>
      </c>
      <c r="AX25" s="228">
        <v>807</v>
      </c>
      <c r="AY25" s="228">
        <v>-446</v>
      </c>
      <c r="AZ25" s="229">
        <v>-0.55179999999999996</v>
      </c>
      <c r="BA25" s="228">
        <v>66</v>
      </c>
      <c r="BB25" s="228">
        <v>115</v>
      </c>
      <c r="BC25" s="228">
        <v>-49</v>
      </c>
      <c r="BD25" s="229">
        <v>-0.42649999999999999</v>
      </c>
      <c r="BE25" s="228">
        <v>12</v>
      </c>
      <c r="BF25" s="228">
        <v>18</v>
      </c>
      <c r="BG25" s="228">
        <v>-6</v>
      </c>
      <c r="BH25" s="229">
        <v>-0.35339999999999999</v>
      </c>
      <c r="BI25" s="230">
        <v>1268</v>
      </c>
      <c r="BJ25" s="230">
        <v>2660</v>
      </c>
      <c r="BK25" s="230">
        <v>-1392</v>
      </c>
      <c r="BL25" s="229">
        <v>-0.52339999999999998</v>
      </c>
      <c r="BM25" s="228">
        <v>793</v>
      </c>
      <c r="BN25" s="230">
        <v>1504</v>
      </c>
      <c r="BO25" s="228">
        <v>-711</v>
      </c>
      <c r="BP25" s="229">
        <v>-0.47299999999999998</v>
      </c>
      <c r="BQ25" s="230">
        <v>2500</v>
      </c>
      <c r="BR25" s="230">
        <v>5105</v>
      </c>
      <c r="BS25" s="230">
        <v>-2605</v>
      </c>
      <c r="BT25" s="229">
        <v>-0.51019999999999999</v>
      </c>
      <c r="BU25" s="230">
        <v>6274068</v>
      </c>
      <c r="BV25" s="230">
        <v>12446149</v>
      </c>
      <c r="BW25" s="230">
        <v>-6172081</v>
      </c>
      <c r="BX25" s="229">
        <v>-0.49590000000000001</v>
      </c>
      <c r="BY25" s="230">
        <v>6465</v>
      </c>
      <c r="BZ25" s="230">
        <v>6472</v>
      </c>
      <c r="CA25" s="228">
        <v>-7</v>
      </c>
      <c r="CB25" s="229">
        <v>-1.1000000000000001E-3</v>
      </c>
      <c r="CC25" s="230">
        <v>5963</v>
      </c>
      <c r="CD25" s="230">
        <v>6012</v>
      </c>
      <c r="CE25" s="228">
        <v>-49</v>
      </c>
      <c r="CF25" s="229">
        <v>-8.2000000000000007E-3</v>
      </c>
      <c r="CG25" s="228">
        <v>459</v>
      </c>
      <c r="CH25" s="228">
        <v>420</v>
      </c>
      <c r="CI25" s="228">
        <v>39</v>
      </c>
      <c r="CJ25" s="229">
        <v>9.3100000000000002E-2</v>
      </c>
      <c r="CK25" s="228">
        <v>44</v>
      </c>
      <c r="CL25" s="228">
        <v>41</v>
      </c>
      <c r="CM25" s="228">
        <v>3</v>
      </c>
      <c r="CN25" s="229">
        <v>7.7100000000000002E-2</v>
      </c>
      <c r="CO25" s="230">
        <v>1998</v>
      </c>
      <c r="CP25" s="230">
        <v>1944</v>
      </c>
      <c r="CQ25" s="228">
        <v>55</v>
      </c>
      <c r="CR25" s="229">
        <v>2.8299999999999999E-2</v>
      </c>
      <c r="CS25" s="230">
        <v>1556</v>
      </c>
      <c r="CT25" s="230">
        <v>1536</v>
      </c>
      <c r="CU25" s="228">
        <v>20</v>
      </c>
      <c r="CV25" s="229">
        <v>1.32E-2</v>
      </c>
      <c r="CW25" s="230">
        <v>10020</v>
      </c>
      <c r="CX25" s="230">
        <v>9952</v>
      </c>
      <c r="CY25" s="228">
        <v>68</v>
      </c>
      <c r="CZ25" s="229">
        <v>6.8999999999999999E-3</v>
      </c>
      <c r="DA25" s="228">
        <v>33.26</v>
      </c>
      <c r="DB25" s="228">
        <v>34.58</v>
      </c>
      <c r="DC25" s="228">
        <v>-1.32</v>
      </c>
      <c r="DD25" s="228">
        <v>-1.32</v>
      </c>
      <c r="DE25" s="228">
        <v>36</v>
      </c>
      <c r="DF25" s="228">
        <v>36.090000000000003</v>
      </c>
      <c r="DG25" s="228">
        <v>-2.74</v>
      </c>
      <c r="DH25" s="228">
        <v>-0.09</v>
      </c>
      <c r="DI25" s="228">
        <v>31.46</v>
      </c>
      <c r="DJ25" s="228">
        <v>33.5</v>
      </c>
      <c r="DK25" s="228">
        <v>-2.04</v>
      </c>
      <c r="DL25" s="228">
        <v>-2.04</v>
      </c>
      <c r="DM25" s="228">
        <v>36.15</v>
      </c>
      <c r="DN25" s="228">
        <v>36.479999999999997</v>
      </c>
      <c r="DO25" s="228">
        <v>-0.33</v>
      </c>
      <c r="DP25" s="228">
        <v>-0.33</v>
      </c>
      <c r="DQ25" s="228">
        <v>0.78</v>
      </c>
      <c r="DR25" s="228">
        <v>0.79</v>
      </c>
      <c r="DS25" s="228">
        <v>-0.01</v>
      </c>
      <c r="DT25" s="229">
        <v>-1.2699999999999999E-2</v>
      </c>
      <c r="DU25" s="228">
        <v>920</v>
      </c>
      <c r="DV25" s="228">
        <v>800</v>
      </c>
      <c r="DW25" s="228">
        <v>0.63</v>
      </c>
      <c r="DX25" s="228">
        <v>0.56999999999999995</v>
      </c>
      <c r="DY25" s="228">
        <v>0.06</v>
      </c>
      <c r="DZ25" s="229">
        <v>0.1053</v>
      </c>
      <c r="EA25" s="229">
        <v>7.7700000000000005E-2</v>
      </c>
      <c r="EB25" s="230">
        <v>5053500</v>
      </c>
      <c r="EC25" s="229">
        <v>4.7999999999999996E-3</v>
      </c>
      <c r="ED25" s="229">
        <v>7.7700000000000005E-2</v>
      </c>
      <c r="EE25" s="228">
        <v>4.79</v>
      </c>
      <c r="EF25" s="229">
        <v>5.3E-3</v>
      </c>
      <c r="EG25" s="230">
        <v>3926064</v>
      </c>
      <c r="EH25" s="230">
        <v>6910097</v>
      </c>
      <c r="EI25" s="229">
        <v>-0.43180000000000002</v>
      </c>
      <c r="EJ25" s="229">
        <v>0.62580000000000002</v>
      </c>
      <c r="EK25" s="231">
        <v>1319.3</v>
      </c>
      <c r="EL25" s="228">
        <v>767.55</v>
      </c>
      <c r="EM25" s="228">
        <v>439.56</v>
      </c>
      <c r="EN25" s="228">
        <v>105.74</v>
      </c>
      <c r="EO25" s="231">
        <v>2526.41</v>
      </c>
      <c r="EP25" s="231">
        <v>5222.53</v>
      </c>
      <c r="EQ25" s="231">
        <v>-2696.12</v>
      </c>
      <c r="ER25" s="229">
        <v>-0.51619999999999999</v>
      </c>
      <c r="ES25" s="231">
        <v>2003.67</v>
      </c>
      <c r="ET25" s="231">
        <v>1470.73</v>
      </c>
      <c r="EU25" s="231">
        <v>6467.73</v>
      </c>
      <c r="EV25" s="231">
        <v>387962395</v>
      </c>
      <c r="EW25" s="231">
        <v>9942.1200000000008</v>
      </c>
      <c r="EX25" s="231">
        <v>9857.43</v>
      </c>
      <c r="EY25" s="228">
        <v>84.69</v>
      </c>
      <c r="EZ25" s="229">
        <v>8.6E-3</v>
      </c>
      <c r="FA25" s="229">
        <v>0.28349999999999997</v>
      </c>
      <c r="FB25" s="227" t="s">
        <v>693</v>
      </c>
      <c r="FC25">
        <f t="shared" si="0"/>
        <v>502</v>
      </c>
    </row>
    <row r="26" spans="1:159" ht="17.25" thickBot="1" x14ac:dyDescent="0.3">
      <c r="A26" s="226">
        <v>46129</v>
      </c>
      <c r="B26" s="227" t="s">
        <v>172</v>
      </c>
      <c r="C26" s="227" t="s">
        <v>179</v>
      </c>
      <c r="D26" s="228">
        <v>3600</v>
      </c>
      <c r="E26" s="228">
        <v>11</v>
      </c>
      <c r="F26" s="228">
        <v>175.02</v>
      </c>
      <c r="G26" s="228">
        <v>174.35</v>
      </c>
      <c r="H26" s="228">
        <v>0.67</v>
      </c>
      <c r="I26" s="229">
        <v>3.8E-3</v>
      </c>
      <c r="J26" s="228">
        <v>174.47</v>
      </c>
      <c r="K26" s="228">
        <v>174.18</v>
      </c>
      <c r="L26" s="228">
        <v>0.28999999999999998</v>
      </c>
      <c r="M26" s="229">
        <v>1.6999999999999999E-3</v>
      </c>
      <c r="N26" s="228">
        <v>175.02</v>
      </c>
      <c r="O26" s="228">
        <v>174.35</v>
      </c>
      <c r="P26" s="228">
        <v>0.67</v>
      </c>
      <c r="Q26" s="229">
        <v>3.8E-3</v>
      </c>
      <c r="R26" s="228">
        <v>176.04</v>
      </c>
      <c r="S26" s="228">
        <v>175.52</v>
      </c>
      <c r="T26" s="228">
        <v>0.52</v>
      </c>
      <c r="U26" s="229">
        <v>3.0000000000000001E-3</v>
      </c>
      <c r="V26" s="228">
        <v>176.44</v>
      </c>
      <c r="W26" s="228">
        <v>176.85</v>
      </c>
      <c r="X26" s="228">
        <v>-0.41</v>
      </c>
      <c r="Y26" s="229">
        <v>-2.3E-3</v>
      </c>
      <c r="Z26" s="228">
        <v>0.55000000000000004</v>
      </c>
      <c r="AA26" s="228">
        <v>0.17</v>
      </c>
      <c r="AB26" s="228">
        <v>0.38</v>
      </c>
      <c r="AC26" s="229">
        <v>3.2000000000000002E-3</v>
      </c>
      <c r="AD26" s="228">
        <v>0.55000000000000004</v>
      </c>
      <c r="AE26" s="228">
        <v>0.17</v>
      </c>
      <c r="AF26" s="228">
        <v>0.38</v>
      </c>
      <c r="AG26" s="229">
        <v>3.2000000000000002E-3</v>
      </c>
      <c r="AH26" s="228">
        <v>1.57</v>
      </c>
      <c r="AI26" s="228">
        <v>1.34</v>
      </c>
      <c r="AJ26" s="228">
        <v>0.23</v>
      </c>
      <c r="AK26" s="229">
        <v>8.9999999999999993E-3</v>
      </c>
      <c r="AL26" s="228">
        <v>1.97</v>
      </c>
      <c r="AM26" s="228">
        <v>2.67</v>
      </c>
      <c r="AN26" s="228">
        <v>-0.7</v>
      </c>
      <c r="AO26" s="229">
        <v>1.1299999999999999E-2</v>
      </c>
      <c r="AP26" s="228">
        <v>174.88</v>
      </c>
      <c r="AQ26" s="228">
        <v>175.99</v>
      </c>
      <c r="AR26" s="228">
        <v>0</v>
      </c>
      <c r="AS26" s="228">
        <v>452</v>
      </c>
      <c r="AT26" s="228">
        <v>242</v>
      </c>
      <c r="AU26" s="228">
        <v>209</v>
      </c>
      <c r="AV26" s="229">
        <v>0.86470000000000002</v>
      </c>
      <c r="AW26" s="228">
        <v>256</v>
      </c>
      <c r="AX26" s="228">
        <v>216</v>
      </c>
      <c r="AY26" s="228">
        <v>40</v>
      </c>
      <c r="AZ26" s="229">
        <v>0.18279999999999999</v>
      </c>
      <c r="BA26" s="228">
        <v>195</v>
      </c>
      <c r="BB26" s="228">
        <v>24</v>
      </c>
      <c r="BC26" s="228">
        <v>171</v>
      </c>
      <c r="BD26" s="229">
        <v>7.1905000000000001</v>
      </c>
      <c r="BE26" s="228">
        <v>1</v>
      </c>
      <c r="BF26" s="228">
        <v>2</v>
      </c>
      <c r="BG26" s="228">
        <v>-1</v>
      </c>
      <c r="BH26" s="229">
        <v>-0.7097</v>
      </c>
      <c r="BI26" s="228">
        <v>163</v>
      </c>
      <c r="BJ26" s="228">
        <v>304</v>
      </c>
      <c r="BK26" s="228">
        <v>-141</v>
      </c>
      <c r="BL26" s="229">
        <v>-0.46279999999999999</v>
      </c>
      <c r="BM26" s="228">
        <v>120</v>
      </c>
      <c r="BN26" s="228">
        <v>228</v>
      </c>
      <c r="BO26" s="228">
        <v>-108</v>
      </c>
      <c r="BP26" s="229">
        <v>-0.47239999999999999</v>
      </c>
      <c r="BQ26" s="228">
        <v>735</v>
      </c>
      <c r="BR26" s="228">
        <v>774</v>
      </c>
      <c r="BS26" s="228">
        <v>-39</v>
      </c>
      <c r="BT26" s="229">
        <v>-5.0200000000000002E-2</v>
      </c>
      <c r="BU26" s="230">
        <v>4592075</v>
      </c>
      <c r="BV26" s="230">
        <v>9593326</v>
      </c>
      <c r="BW26" s="230">
        <v>-5001251</v>
      </c>
      <c r="BX26" s="229">
        <v>-0.52129999999999999</v>
      </c>
      <c r="BY26" s="230">
        <v>1559</v>
      </c>
      <c r="BZ26" s="230">
        <v>1563</v>
      </c>
      <c r="CA26" s="228">
        <v>-4</v>
      </c>
      <c r="CB26" s="229">
        <v>-2.7000000000000001E-3</v>
      </c>
      <c r="CC26" s="230">
        <v>1286</v>
      </c>
      <c r="CD26" s="230">
        <v>1472</v>
      </c>
      <c r="CE26" s="228">
        <v>-185</v>
      </c>
      <c r="CF26" s="229">
        <v>-0.126</v>
      </c>
      <c r="CG26" s="228">
        <v>267</v>
      </c>
      <c r="CH26" s="228">
        <v>86</v>
      </c>
      <c r="CI26" s="228">
        <v>181</v>
      </c>
      <c r="CJ26" s="229">
        <v>2.1093999999999999</v>
      </c>
      <c r="CK26" s="228">
        <v>5</v>
      </c>
      <c r="CL26" s="228">
        <v>5</v>
      </c>
      <c r="CM26" s="228">
        <v>0</v>
      </c>
      <c r="CN26" s="229">
        <v>3.6999999999999998E-2</v>
      </c>
      <c r="CO26" s="228">
        <v>460</v>
      </c>
      <c r="CP26" s="228">
        <v>445</v>
      </c>
      <c r="CQ26" s="228">
        <v>15</v>
      </c>
      <c r="CR26" s="229">
        <v>3.4000000000000002E-2</v>
      </c>
      <c r="CS26" s="228">
        <v>353</v>
      </c>
      <c r="CT26" s="228">
        <v>346</v>
      </c>
      <c r="CU26" s="228">
        <v>8</v>
      </c>
      <c r="CV26" s="229">
        <v>2.3E-2</v>
      </c>
      <c r="CW26" s="230">
        <v>2372</v>
      </c>
      <c r="CX26" s="230">
        <v>2353</v>
      </c>
      <c r="CY26" s="228">
        <v>19</v>
      </c>
      <c r="CZ26" s="229">
        <v>8.0000000000000002E-3</v>
      </c>
      <c r="DA26" s="228">
        <v>44.03</v>
      </c>
      <c r="DB26" s="228">
        <v>44.97</v>
      </c>
      <c r="DC26" s="228">
        <v>-0.94</v>
      </c>
      <c r="DD26" s="228">
        <v>-0.94</v>
      </c>
      <c r="DE26" s="228">
        <v>46.02</v>
      </c>
      <c r="DF26" s="228">
        <v>46.14</v>
      </c>
      <c r="DG26" s="228">
        <v>-1.99</v>
      </c>
      <c r="DH26" s="228">
        <v>-0.12</v>
      </c>
      <c r="DI26" s="228">
        <v>42.86</v>
      </c>
      <c r="DJ26" s="228">
        <v>44.67</v>
      </c>
      <c r="DK26" s="228">
        <v>-1.81</v>
      </c>
      <c r="DL26" s="228">
        <v>-1.81</v>
      </c>
      <c r="DM26" s="228">
        <v>45.62</v>
      </c>
      <c r="DN26" s="228">
        <v>45.38</v>
      </c>
      <c r="DO26" s="228">
        <v>0.24</v>
      </c>
      <c r="DP26" s="228">
        <v>0.24</v>
      </c>
      <c r="DQ26" s="228">
        <v>0.77</v>
      </c>
      <c r="DR26" s="228">
        <v>0.78</v>
      </c>
      <c r="DS26" s="228">
        <v>-0.01</v>
      </c>
      <c r="DT26" s="229">
        <v>-1.2800000000000001E-2</v>
      </c>
      <c r="DU26" s="228">
        <v>150</v>
      </c>
      <c r="DV26" s="228">
        <v>170</v>
      </c>
      <c r="DW26" s="228">
        <v>0.74</v>
      </c>
      <c r="DX26" s="228">
        <v>0.75</v>
      </c>
      <c r="DY26" s="228">
        <v>-0.01</v>
      </c>
      <c r="DZ26" s="229">
        <v>-1.3299999999999999E-2</v>
      </c>
      <c r="EA26" s="229">
        <v>0.17460000000000001</v>
      </c>
      <c r="EB26" s="230">
        <v>5194800</v>
      </c>
      <c r="EC26" s="229">
        <v>5.7999999999999996E-3</v>
      </c>
      <c r="ED26" s="229">
        <v>0.17460000000000001</v>
      </c>
      <c r="EE26" s="228">
        <v>1.1100000000000001</v>
      </c>
      <c r="EF26" s="229">
        <v>6.3E-3</v>
      </c>
      <c r="EG26" s="230">
        <v>1541251</v>
      </c>
      <c r="EH26" s="230">
        <v>3794365</v>
      </c>
      <c r="EI26" s="229">
        <v>-0.59379999999999999</v>
      </c>
      <c r="EJ26" s="229">
        <v>0.33560000000000001</v>
      </c>
      <c r="EK26" s="228">
        <v>173.13</v>
      </c>
      <c r="EL26" s="228">
        <v>116.07</v>
      </c>
      <c r="EM26" s="228">
        <v>452.52</v>
      </c>
      <c r="EN26" s="228">
        <v>40.79</v>
      </c>
      <c r="EO26" s="228">
        <v>741.72</v>
      </c>
      <c r="EP26" s="228">
        <v>781.91</v>
      </c>
      <c r="EQ26" s="228">
        <v>-40.19</v>
      </c>
      <c r="ER26" s="229">
        <v>-5.1400000000000001E-2</v>
      </c>
      <c r="ES26" s="228">
        <v>447.27</v>
      </c>
      <c r="ET26" s="228">
        <v>322.23</v>
      </c>
      <c r="EU26" s="231">
        <v>1560.21</v>
      </c>
      <c r="EV26" s="231">
        <v>145616308</v>
      </c>
      <c r="EW26" s="231">
        <v>2329.6999999999998</v>
      </c>
      <c r="EX26" s="231">
        <v>2302.9</v>
      </c>
      <c r="EY26" s="228">
        <v>26.8</v>
      </c>
      <c r="EZ26" s="229">
        <v>1.1599999999999999E-2</v>
      </c>
      <c r="FA26" s="229">
        <v>0.93059999999999998</v>
      </c>
      <c r="FB26" s="227" t="s">
        <v>693</v>
      </c>
      <c r="FC26">
        <f t="shared" si="0"/>
        <v>273</v>
      </c>
    </row>
    <row r="27" spans="1:159" ht="17.25" thickBot="1" x14ac:dyDescent="0.3">
      <c r="A27" s="226">
        <v>46129</v>
      </c>
      <c r="B27" s="227" t="s">
        <v>172</v>
      </c>
      <c r="C27" s="227" t="s">
        <v>180</v>
      </c>
      <c r="D27" s="228">
        <v>2925</v>
      </c>
      <c r="E27" s="228">
        <v>11</v>
      </c>
      <c r="F27" s="228">
        <v>281.16000000000003</v>
      </c>
      <c r="G27" s="228">
        <v>279.62</v>
      </c>
      <c r="H27" s="228">
        <v>1.54</v>
      </c>
      <c r="I27" s="229">
        <v>5.4999999999999997E-3</v>
      </c>
      <c r="J27" s="228">
        <v>280.44</v>
      </c>
      <c r="K27" s="228">
        <v>279.39</v>
      </c>
      <c r="L27" s="228">
        <v>1.05</v>
      </c>
      <c r="M27" s="229">
        <v>3.8E-3</v>
      </c>
      <c r="N27" s="228">
        <v>281.16000000000003</v>
      </c>
      <c r="O27" s="228">
        <v>279.62</v>
      </c>
      <c r="P27" s="228">
        <v>1.54</v>
      </c>
      <c r="Q27" s="229">
        <v>5.4999999999999997E-3</v>
      </c>
      <c r="R27" s="228">
        <v>282.67</v>
      </c>
      <c r="S27" s="228">
        <v>281.27</v>
      </c>
      <c r="T27" s="228">
        <v>1.4</v>
      </c>
      <c r="U27" s="229">
        <v>5.0000000000000001E-3</v>
      </c>
      <c r="V27" s="228">
        <v>284.47000000000003</v>
      </c>
      <c r="W27" s="228">
        <v>282.76</v>
      </c>
      <c r="X27" s="228">
        <v>1.71</v>
      </c>
      <c r="Y27" s="229">
        <v>6.0000000000000001E-3</v>
      </c>
      <c r="Z27" s="228">
        <v>0.72</v>
      </c>
      <c r="AA27" s="228">
        <v>0.23</v>
      </c>
      <c r="AB27" s="228">
        <v>0.49</v>
      </c>
      <c r="AC27" s="229">
        <v>2.5999999999999999E-3</v>
      </c>
      <c r="AD27" s="228">
        <v>0.72</v>
      </c>
      <c r="AE27" s="228">
        <v>0.23</v>
      </c>
      <c r="AF27" s="228">
        <v>0.49</v>
      </c>
      <c r="AG27" s="229">
        <v>2.5999999999999999E-3</v>
      </c>
      <c r="AH27" s="228">
        <v>2.23</v>
      </c>
      <c r="AI27" s="228">
        <v>1.88</v>
      </c>
      <c r="AJ27" s="228">
        <v>0.35</v>
      </c>
      <c r="AK27" s="229">
        <v>8.0000000000000002E-3</v>
      </c>
      <c r="AL27" s="228">
        <v>4.03</v>
      </c>
      <c r="AM27" s="228">
        <v>3.37</v>
      </c>
      <c r="AN27" s="228">
        <v>0.66</v>
      </c>
      <c r="AO27" s="229">
        <v>1.44E-2</v>
      </c>
      <c r="AP27" s="228">
        <v>280.64</v>
      </c>
      <c r="AQ27" s="228">
        <v>282.05</v>
      </c>
      <c r="AR27" s="228">
        <v>0</v>
      </c>
      <c r="AS27" s="228">
        <v>759</v>
      </c>
      <c r="AT27" s="228">
        <v>427</v>
      </c>
      <c r="AU27" s="228">
        <v>333</v>
      </c>
      <c r="AV27" s="229">
        <v>0.77929999999999999</v>
      </c>
      <c r="AW27" s="228">
        <v>526</v>
      </c>
      <c r="AX27" s="228">
        <v>363</v>
      </c>
      <c r="AY27" s="228">
        <v>163</v>
      </c>
      <c r="AZ27" s="229">
        <v>0.44950000000000001</v>
      </c>
      <c r="BA27" s="228">
        <v>72</v>
      </c>
      <c r="BB27" s="228">
        <v>60</v>
      </c>
      <c r="BC27" s="228">
        <v>12</v>
      </c>
      <c r="BD27" s="229">
        <v>0.19750000000000001</v>
      </c>
      <c r="BE27" s="228">
        <v>161</v>
      </c>
      <c r="BF27" s="228">
        <v>4</v>
      </c>
      <c r="BG27" s="228">
        <v>157</v>
      </c>
      <c r="BH27" s="229">
        <v>43.5227</v>
      </c>
      <c r="BI27" s="228">
        <v>943</v>
      </c>
      <c r="BJ27" s="228">
        <v>879</v>
      </c>
      <c r="BK27" s="228">
        <v>64</v>
      </c>
      <c r="BL27" s="229">
        <v>7.3400000000000007E-2</v>
      </c>
      <c r="BM27" s="228">
        <v>669</v>
      </c>
      <c r="BN27" s="228">
        <v>557</v>
      </c>
      <c r="BO27" s="228">
        <v>111</v>
      </c>
      <c r="BP27" s="229">
        <v>0.19950000000000001</v>
      </c>
      <c r="BQ27" s="230">
        <v>2371</v>
      </c>
      <c r="BR27" s="230">
        <v>1863</v>
      </c>
      <c r="BS27" s="228">
        <v>508</v>
      </c>
      <c r="BT27" s="229">
        <v>0.27279999999999999</v>
      </c>
      <c r="BU27" s="230">
        <v>7246769</v>
      </c>
      <c r="BV27" s="230">
        <v>8208179</v>
      </c>
      <c r="BW27" s="230">
        <v>-961410</v>
      </c>
      <c r="BX27" s="229">
        <v>-0.1171</v>
      </c>
      <c r="BY27" s="230">
        <v>2905</v>
      </c>
      <c r="BZ27" s="230">
        <v>2895</v>
      </c>
      <c r="CA27" s="228">
        <v>10</v>
      </c>
      <c r="CB27" s="229">
        <v>3.3999999999999998E-3</v>
      </c>
      <c r="CC27" s="230">
        <v>2515</v>
      </c>
      <c r="CD27" s="230">
        <v>2698</v>
      </c>
      <c r="CE27" s="228">
        <v>-184</v>
      </c>
      <c r="CF27" s="229">
        <v>-6.8000000000000005E-2</v>
      </c>
      <c r="CG27" s="228">
        <v>218</v>
      </c>
      <c r="CH27" s="228">
        <v>181</v>
      </c>
      <c r="CI27" s="228">
        <v>37</v>
      </c>
      <c r="CJ27" s="229">
        <v>0.20449999999999999</v>
      </c>
      <c r="CK27" s="228">
        <v>173</v>
      </c>
      <c r="CL27" s="228">
        <v>16</v>
      </c>
      <c r="CM27" s="228">
        <v>157</v>
      </c>
      <c r="CN27" s="229">
        <v>9.7590000000000003</v>
      </c>
      <c r="CO27" s="230">
        <v>1161</v>
      </c>
      <c r="CP27" s="230">
        <v>1160</v>
      </c>
      <c r="CQ27" s="228">
        <v>1</v>
      </c>
      <c r="CR27" s="229">
        <v>6.9999999999999999E-4</v>
      </c>
      <c r="CS27" s="230">
        <v>1107</v>
      </c>
      <c r="CT27" s="230">
        <v>1085</v>
      </c>
      <c r="CU27" s="228">
        <v>22</v>
      </c>
      <c r="CV27" s="229">
        <v>2.0400000000000001E-2</v>
      </c>
      <c r="CW27" s="230">
        <v>5173</v>
      </c>
      <c r="CX27" s="230">
        <v>5140</v>
      </c>
      <c r="CY27" s="228">
        <v>33</v>
      </c>
      <c r="CZ27" s="229">
        <v>6.4000000000000003E-3</v>
      </c>
      <c r="DA27" s="228">
        <v>33.5</v>
      </c>
      <c r="DB27" s="228">
        <v>33.71</v>
      </c>
      <c r="DC27" s="228">
        <v>-0.21</v>
      </c>
      <c r="DD27" s="228">
        <v>-0.21</v>
      </c>
      <c r="DE27" s="228">
        <v>37.020000000000003</v>
      </c>
      <c r="DF27" s="228">
        <v>37.1</v>
      </c>
      <c r="DG27" s="228">
        <v>-3.52</v>
      </c>
      <c r="DH27" s="228">
        <v>-0.08</v>
      </c>
      <c r="DI27" s="228">
        <v>31.6</v>
      </c>
      <c r="DJ27" s="228">
        <v>32.67</v>
      </c>
      <c r="DK27" s="228">
        <v>-1.07</v>
      </c>
      <c r="DL27" s="228">
        <v>-1.07</v>
      </c>
      <c r="DM27" s="228">
        <v>36.18</v>
      </c>
      <c r="DN27" s="228">
        <v>35.36</v>
      </c>
      <c r="DO27" s="228">
        <v>0.82</v>
      </c>
      <c r="DP27" s="228">
        <v>0.82</v>
      </c>
      <c r="DQ27" s="228">
        <v>0.95</v>
      </c>
      <c r="DR27" s="228">
        <v>0.94</v>
      </c>
      <c r="DS27" s="228">
        <v>0.01</v>
      </c>
      <c r="DT27" s="229">
        <v>1.06E-2</v>
      </c>
      <c r="DU27" s="228">
        <v>300</v>
      </c>
      <c r="DV27" s="228">
        <v>250</v>
      </c>
      <c r="DW27" s="228">
        <v>0.71</v>
      </c>
      <c r="DX27" s="228">
        <v>0.63</v>
      </c>
      <c r="DY27" s="228">
        <v>0.08</v>
      </c>
      <c r="DZ27" s="229">
        <v>0.127</v>
      </c>
      <c r="EA27" s="229">
        <v>0.13439999999999999</v>
      </c>
      <c r="EB27" s="230">
        <v>7005375</v>
      </c>
      <c r="EC27" s="229">
        <v>5.4000000000000003E-3</v>
      </c>
      <c r="ED27" s="229">
        <v>0.13439999999999999</v>
      </c>
      <c r="EE27" s="228">
        <v>1.41</v>
      </c>
      <c r="EF27" s="229">
        <v>5.0000000000000001E-3</v>
      </c>
      <c r="EG27" s="230">
        <v>3410331</v>
      </c>
      <c r="EH27" s="230">
        <v>3912305</v>
      </c>
      <c r="EI27" s="229">
        <v>-0.1283</v>
      </c>
      <c r="EJ27" s="229">
        <v>0.47060000000000002</v>
      </c>
      <c r="EK27" s="228">
        <v>979.82</v>
      </c>
      <c r="EL27" s="228">
        <v>639.44000000000005</v>
      </c>
      <c r="EM27" s="228">
        <v>760.39</v>
      </c>
      <c r="EN27" s="228">
        <v>57.46</v>
      </c>
      <c r="EO27" s="231">
        <v>2379.65</v>
      </c>
      <c r="EP27" s="231">
        <v>1884.99</v>
      </c>
      <c r="EQ27" s="228">
        <v>494.66</v>
      </c>
      <c r="ER27" s="229">
        <v>0.26240000000000002</v>
      </c>
      <c r="ES27" s="231">
        <v>1171.3399999999999</v>
      </c>
      <c r="ET27" s="231">
        <v>1058.81</v>
      </c>
      <c r="EU27" s="231">
        <v>2908.55</v>
      </c>
      <c r="EV27" s="231">
        <v>279476623</v>
      </c>
      <c r="EW27" s="231">
        <v>5138.7</v>
      </c>
      <c r="EX27" s="231">
        <v>5090.17</v>
      </c>
      <c r="EY27" s="228">
        <v>48.53</v>
      </c>
      <c r="EZ27" s="229">
        <v>9.4999999999999998E-3</v>
      </c>
      <c r="FA27" s="229">
        <v>0.6583</v>
      </c>
      <c r="FB27" s="227" t="s">
        <v>555</v>
      </c>
      <c r="FC27">
        <f t="shared" si="0"/>
        <v>390</v>
      </c>
    </row>
    <row r="28" spans="1:159" ht="17.25" thickBot="1" x14ac:dyDescent="0.3">
      <c r="A28" s="226">
        <v>46129</v>
      </c>
      <c r="B28" s="227" t="s">
        <v>172</v>
      </c>
      <c r="C28" s="227" t="s">
        <v>601</v>
      </c>
      <c r="D28" s="228">
        <v>5200</v>
      </c>
      <c r="E28" s="228">
        <v>11</v>
      </c>
      <c r="F28" s="228">
        <v>148.28</v>
      </c>
      <c r="G28" s="228">
        <v>149.19999999999999</v>
      </c>
      <c r="H28" s="228">
        <v>-0.92</v>
      </c>
      <c r="I28" s="229">
        <v>-6.1999999999999998E-3</v>
      </c>
      <c r="J28" s="228">
        <v>148.1</v>
      </c>
      <c r="K28" s="228">
        <v>148.86000000000001</v>
      </c>
      <c r="L28" s="228">
        <v>-0.76</v>
      </c>
      <c r="M28" s="229">
        <v>-5.1000000000000004E-3</v>
      </c>
      <c r="N28" s="228">
        <v>148.28</v>
      </c>
      <c r="O28" s="228">
        <v>149.19999999999999</v>
      </c>
      <c r="P28" s="228">
        <v>-0.92</v>
      </c>
      <c r="Q28" s="229">
        <v>-6.1999999999999998E-3</v>
      </c>
      <c r="R28" s="228">
        <v>149.11000000000001</v>
      </c>
      <c r="S28" s="228">
        <v>150.05000000000001</v>
      </c>
      <c r="T28" s="228">
        <v>-0.94</v>
      </c>
      <c r="U28" s="229">
        <v>-6.3E-3</v>
      </c>
      <c r="V28" s="228">
        <v>150.01</v>
      </c>
      <c r="W28" s="228">
        <v>150.91999999999999</v>
      </c>
      <c r="X28" s="228">
        <v>-0.91</v>
      </c>
      <c r="Y28" s="229">
        <v>-6.0000000000000001E-3</v>
      </c>
      <c r="Z28" s="228">
        <v>0.18</v>
      </c>
      <c r="AA28" s="228">
        <v>0.34</v>
      </c>
      <c r="AB28" s="228">
        <v>-0.16</v>
      </c>
      <c r="AC28" s="229">
        <v>1.1999999999999999E-3</v>
      </c>
      <c r="AD28" s="228">
        <v>0.18</v>
      </c>
      <c r="AE28" s="228">
        <v>0.34</v>
      </c>
      <c r="AF28" s="228">
        <v>-0.16</v>
      </c>
      <c r="AG28" s="229">
        <v>1.1999999999999999E-3</v>
      </c>
      <c r="AH28" s="228">
        <v>1.01</v>
      </c>
      <c r="AI28" s="228">
        <v>1.19</v>
      </c>
      <c r="AJ28" s="228">
        <v>-0.18</v>
      </c>
      <c r="AK28" s="229">
        <v>6.7999999999999996E-3</v>
      </c>
      <c r="AL28" s="228">
        <v>1.91</v>
      </c>
      <c r="AM28" s="228">
        <v>2.06</v>
      </c>
      <c r="AN28" s="228">
        <v>-0.15</v>
      </c>
      <c r="AO28" s="229">
        <v>1.29E-2</v>
      </c>
      <c r="AP28" s="228">
        <v>148.15</v>
      </c>
      <c r="AQ28" s="228">
        <v>148.97</v>
      </c>
      <c r="AR28" s="228">
        <v>0</v>
      </c>
      <c r="AS28" s="228">
        <v>207</v>
      </c>
      <c r="AT28" s="228">
        <v>209</v>
      </c>
      <c r="AU28" s="228">
        <v>-1</v>
      </c>
      <c r="AV28" s="229">
        <v>-5.4999999999999997E-3</v>
      </c>
      <c r="AW28" s="228">
        <v>172</v>
      </c>
      <c r="AX28" s="228">
        <v>176</v>
      </c>
      <c r="AY28" s="228">
        <v>-4</v>
      </c>
      <c r="AZ28" s="229">
        <v>-2.3199999999999998E-2</v>
      </c>
      <c r="BA28" s="228">
        <v>35</v>
      </c>
      <c r="BB28" s="228">
        <v>30</v>
      </c>
      <c r="BC28" s="228">
        <v>4</v>
      </c>
      <c r="BD28" s="229">
        <v>0.13669999999999999</v>
      </c>
      <c r="BE28" s="228">
        <v>1</v>
      </c>
      <c r="BF28" s="228">
        <v>2</v>
      </c>
      <c r="BG28" s="228">
        <v>-1</v>
      </c>
      <c r="BH28" s="229">
        <v>-0.5333</v>
      </c>
      <c r="BI28" s="228">
        <v>354</v>
      </c>
      <c r="BJ28" s="228">
        <v>328</v>
      </c>
      <c r="BK28" s="228">
        <v>26</v>
      </c>
      <c r="BL28" s="229">
        <v>7.8E-2</v>
      </c>
      <c r="BM28" s="228">
        <v>169</v>
      </c>
      <c r="BN28" s="228">
        <v>206</v>
      </c>
      <c r="BO28" s="228">
        <v>-37</v>
      </c>
      <c r="BP28" s="229">
        <v>-0.18129999999999999</v>
      </c>
      <c r="BQ28" s="228">
        <v>730</v>
      </c>
      <c r="BR28" s="228">
        <v>743</v>
      </c>
      <c r="BS28" s="228">
        <v>-13</v>
      </c>
      <c r="BT28" s="229">
        <v>-1.7299999999999999E-2</v>
      </c>
      <c r="BU28" s="230">
        <v>9186397</v>
      </c>
      <c r="BV28" s="230">
        <v>9792510</v>
      </c>
      <c r="BW28" s="230">
        <v>-606113</v>
      </c>
      <c r="BX28" s="229">
        <v>-6.1899999999999997E-2</v>
      </c>
      <c r="BY28" s="228">
        <v>838</v>
      </c>
      <c r="BZ28" s="228">
        <v>836</v>
      </c>
      <c r="CA28" s="228">
        <v>1</v>
      </c>
      <c r="CB28" s="229">
        <v>1.8E-3</v>
      </c>
      <c r="CC28" s="228">
        <v>771</v>
      </c>
      <c r="CD28" s="228">
        <v>787</v>
      </c>
      <c r="CE28" s="228">
        <v>-15</v>
      </c>
      <c r="CF28" s="229">
        <v>-1.9199999999999998E-2</v>
      </c>
      <c r="CG28" s="228">
        <v>58</v>
      </c>
      <c r="CH28" s="228">
        <v>42</v>
      </c>
      <c r="CI28" s="228">
        <v>15</v>
      </c>
      <c r="CJ28" s="229">
        <v>0.36680000000000001</v>
      </c>
      <c r="CK28" s="228">
        <v>8</v>
      </c>
      <c r="CL28" s="228">
        <v>7</v>
      </c>
      <c r="CM28" s="228">
        <v>1</v>
      </c>
      <c r="CN28" s="229">
        <v>0.1489</v>
      </c>
      <c r="CO28" s="228">
        <v>380</v>
      </c>
      <c r="CP28" s="228">
        <v>349</v>
      </c>
      <c r="CQ28" s="228">
        <v>31</v>
      </c>
      <c r="CR28" s="229">
        <v>8.9800000000000005E-2</v>
      </c>
      <c r="CS28" s="228">
        <v>332</v>
      </c>
      <c r="CT28" s="228">
        <v>338</v>
      </c>
      <c r="CU28" s="228">
        <v>-6</v>
      </c>
      <c r="CV28" s="229">
        <v>-1.8700000000000001E-2</v>
      </c>
      <c r="CW28" s="230">
        <v>1550</v>
      </c>
      <c r="CX28" s="230">
        <v>1523</v>
      </c>
      <c r="CY28" s="228">
        <v>26</v>
      </c>
      <c r="CZ28" s="229">
        <v>1.7399999999999999E-2</v>
      </c>
      <c r="DA28" s="228">
        <v>40.79</v>
      </c>
      <c r="DB28" s="228">
        <v>40.74</v>
      </c>
      <c r="DC28" s="228">
        <v>0.05</v>
      </c>
      <c r="DD28" s="228">
        <v>0.05</v>
      </c>
      <c r="DE28" s="228">
        <v>43.06</v>
      </c>
      <c r="DF28" s="228">
        <v>43.16</v>
      </c>
      <c r="DG28" s="228">
        <v>-2.27</v>
      </c>
      <c r="DH28" s="228">
        <v>-0.1</v>
      </c>
      <c r="DI28" s="228">
        <v>40.35</v>
      </c>
      <c r="DJ28" s="228">
        <v>39.950000000000003</v>
      </c>
      <c r="DK28" s="228">
        <v>0.4</v>
      </c>
      <c r="DL28" s="228">
        <v>0.4</v>
      </c>
      <c r="DM28" s="228">
        <v>41.69</v>
      </c>
      <c r="DN28" s="228">
        <v>42.01</v>
      </c>
      <c r="DO28" s="228">
        <v>-0.32</v>
      </c>
      <c r="DP28" s="228">
        <v>-0.32</v>
      </c>
      <c r="DQ28" s="228">
        <v>0.87</v>
      </c>
      <c r="DR28" s="228">
        <v>0.97</v>
      </c>
      <c r="DS28" s="228">
        <v>-0.1</v>
      </c>
      <c r="DT28" s="229">
        <v>-0.1031</v>
      </c>
      <c r="DU28" s="228">
        <v>150</v>
      </c>
      <c r="DV28" s="228">
        <v>140</v>
      </c>
      <c r="DW28" s="228">
        <v>0.48</v>
      </c>
      <c r="DX28" s="228">
        <v>0.63</v>
      </c>
      <c r="DY28" s="228">
        <v>-0.15</v>
      </c>
      <c r="DZ28" s="229">
        <v>-0.23810000000000001</v>
      </c>
      <c r="EA28" s="229">
        <v>7.8899999999999998E-2</v>
      </c>
      <c r="EB28" s="230">
        <v>3338400</v>
      </c>
      <c r="EC28" s="229">
        <v>5.5999999999999999E-3</v>
      </c>
      <c r="ED28" s="229">
        <v>7.8899999999999998E-2</v>
      </c>
      <c r="EE28" s="228">
        <v>0.82</v>
      </c>
      <c r="EF28" s="229">
        <v>5.4999999999999997E-3</v>
      </c>
      <c r="EG28" s="230">
        <v>3541384</v>
      </c>
      <c r="EH28" s="230">
        <v>3364511</v>
      </c>
      <c r="EI28" s="229">
        <v>5.2600000000000001E-2</v>
      </c>
      <c r="EJ28" s="229">
        <v>0.38550000000000001</v>
      </c>
      <c r="EK28" s="228">
        <v>370.73</v>
      </c>
      <c r="EL28" s="228">
        <v>166.39</v>
      </c>
      <c r="EM28" s="228">
        <v>207.51</v>
      </c>
      <c r="EN28" s="228">
        <v>29.43</v>
      </c>
      <c r="EO28" s="228">
        <v>744.63</v>
      </c>
      <c r="EP28" s="228">
        <v>764.43</v>
      </c>
      <c r="EQ28" s="228">
        <v>-19.8</v>
      </c>
      <c r="ER28" s="229">
        <v>-2.5899999999999999E-2</v>
      </c>
      <c r="ES28" s="228">
        <v>390.13</v>
      </c>
      <c r="ET28" s="228">
        <v>319.44</v>
      </c>
      <c r="EU28" s="228">
        <v>837.94</v>
      </c>
      <c r="EV28" s="231">
        <v>181770921</v>
      </c>
      <c r="EW28" s="231">
        <v>1547.51</v>
      </c>
      <c r="EX28" s="231">
        <v>1524.63</v>
      </c>
      <c r="EY28" s="228">
        <v>22.88</v>
      </c>
      <c r="EZ28" s="229">
        <v>1.4999999999999999E-2</v>
      </c>
      <c r="FA28" s="229">
        <v>0.57489999999999997</v>
      </c>
      <c r="FB28" s="227" t="s">
        <v>566</v>
      </c>
      <c r="FC28">
        <f t="shared" si="0"/>
        <v>67</v>
      </c>
    </row>
    <row r="29" spans="1:159" s="195" customFormat="1" ht="17.25" thickBot="1" x14ac:dyDescent="0.3">
      <c r="A29" s="226">
        <v>46129</v>
      </c>
      <c r="B29" s="227" t="s">
        <v>181</v>
      </c>
      <c r="C29" s="227" t="s">
        <v>182</v>
      </c>
      <c r="D29" s="228">
        <v>30</v>
      </c>
      <c r="E29" s="228">
        <v>11</v>
      </c>
      <c r="F29" s="231">
        <v>56666.8</v>
      </c>
      <c r="G29" s="231">
        <v>56209.2</v>
      </c>
      <c r="H29" s="228">
        <v>457.6</v>
      </c>
      <c r="I29" s="229">
        <v>8.0999999999999996E-3</v>
      </c>
      <c r="J29" s="231">
        <v>56565.7</v>
      </c>
      <c r="K29" s="231">
        <v>56086.400000000001</v>
      </c>
      <c r="L29" s="228">
        <v>479.3</v>
      </c>
      <c r="M29" s="229">
        <v>8.5000000000000006E-3</v>
      </c>
      <c r="N29" s="231">
        <v>56666.8</v>
      </c>
      <c r="O29" s="231">
        <v>56209.2</v>
      </c>
      <c r="P29" s="228">
        <v>457.6</v>
      </c>
      <c r="Q29" s="229">
        <v>8.0999999999999996E-3</v>
      </c>
      <c r="R29" s="231">
        <v>56928.800000000003</v>
      </c>
      <c r="S29" s="231">
        <v>56482.2</v>
      </c>
      <c r="T29" s="228">
        <v>446.6</v>
      </c>
      <c r="U29" s="229">
        <v>7.9000000000000008E-3</v>
      </c>
      <c r="V29" s="231">
        <v>57250</v>
      </c>
      <c r="W29" s="231">
        <v>56787.6</v>
      </c>
      <c r="X29" s="228">
        <v>462.4</v>
      </c>
      <c r="Y29" s="229">
        <v>8.0999999999999996E-3</v>
      </c>
      <c r="Z29" s="228">
        <v>101.1</v>
      </c>
      <c r="AA29" s="228">
        <v>122.8</v>
      </c>
      <c r="AB29" s="228">
        <v>-21.7</v>
      </c>
      <c r="AC29" s="229">
        <v>1.8E-3</v>
      </c>
      <c r="AD29" s="228">
        <v>101.1</v>
      </c>
      <c r="AE29" s="228">
        <v>122.8</v>
      </c>
      <c r="AF29" s="228">
        <v>-21.7</v>
      </c>
      <c r="AG29" s="229">
        <v>1.8E-3</v>
      </c>
      <c r="AH29" s="228">
        <v>363.1</v>
      </c>
      <c r="AI29" s="228">
        <v>395.8</v>
      </c>
      <c r="AJ29" s="228">
        <v>-32.700000000000003</v>
      </c>
      <c r="AK29" s="229">
        <v>6.4000000000000003E-3</v>
      </c>
      <c r="AL29" s="228">
        <v>684.3</v>
      </c>
      <c r="AM29" s="228">
        <v>701.2</v>
      </c>
      <c r="AN29" s="228">
        <v>-16.899999999999999</v>
      </c>
      <c r="AO29" s="229">
        <v>1.21E-2</v>
      </c>
      <c r="AP29" s="231">
        <v>56481.22</v>
      </c>
      <c r="AQ29" s="231">
        <v>56700.69</v>
      </c>
      <c r="AR29" s="228">
        <v>0</v>
      </c>
      <c r="AS29" s="230">
        <v>4325</v>
      </c>
      <c r="AT29" s="230">
        <v>5288</v>
      </c>
      <c r="AU29" s="228">
        <v>-963</v>
      </c>
      <c r="AV29" s="229">
        <v>-0.1822</v>
      </c>
      <c r="AW29" s="230">
        <v>3421</v>
      </c>
      <c r="AX29" s="230">
        <v>4264</v>
      </c>
      <c r="AY29" s="228">
        <v>-843</v>
      </c>
      <c r="AZ29" s="229">
        <v>-0.19769999999999999</v>
      </c>
      <c r="BA29" s="228">
        <v>757</v>
      </c>
      <c r="BB29" s="228">
        <v>815</v>
      </c>
      <c r="BC29" s="228">
        <v>-59</v>
      </c>
      <c r="BD29" s="229">
        <v>-7.1900000000000006E-2</v>
      </c>
      <c r="BE29" s="228">
        <v>147</v>
      </c>
      <c r="BF29" s="228">
        <v>209</v>
      </c>
      <c r="BG29" s="228">
        <v>-62</v>
      </c>
      <c r="BH29" s="229">
        <v>-0.2964</v>
      </c>
      <c r="BI29" s="230">
        <v>230314</v>
      </c>
      <c r="BJ29" s="230">
        <v>224839</v>
      </c>
      <c r="BK29" s="230">
        <v>5476</v>
      </c>
      <c r="BL29" s="229">
        <v>2.4400000000000002E-2</v>
      </c>
      <c r="BM29" s="230">
        <v>202527</v>
      </c>
      <c r="BN29" s="230">
        <v>214460</v>
      </c>
      <c r="BO29" s="230">
        <v>-11934</v>
      </c>
      <c r="BP29" s="229">
        <v>-5.5599999999999997E-2</v>
      </c>
      <c r="BQ29" s="230">
        <v>437166</v>
      </c>
      <c r="BR29" s="230">
        <v>444587</v>
      </c>
      <c r="BS29" s="230">
        <v>-7421</v>
      </c>
      <c r="BT29" s="229">
        <v>-1.67E-2</v>
      </c>
      <c r="BU29" s="228">
        <v>0</v>
      </c>
      <c r="BV29" s="228">
        <v>0</v>
      </c>
      <c r="BW29" s="228">
        <v>0</v>
      </c>
      <c r="BX29" s="229">
        <v>0</v>
      </c>
      <c r="BY29" s="230">
        <v>14747</v>
      </c>
      <c r="BZ29" s="230">
        <v>14955</v>
      </c>
      <c r="CA29" s="228">
        <v>-207</v>
      </c>
      <c r="CB29" s="229">
        <v>-1.3899999999999999E-2</v>
      </c>
      <c r="CC29" s="230">
        <v>11220</v>
      </c>
      <c r="CD29" s="230">
        <v>11726</v>
      </c>
      <c r="CE29" s="228">
        <v>-506</v>
      </c>
      <c r="CF29" s="229">
        <v>-4.3200000000000002E-2</v>
      </c>
      <c r="CG29" s="230">
        <v>2994</v>
      </c>
      <c r="CH29" s="230">
        <v>2696</v>
      </c>
      <c r="CI29" s="228">
        <v>298</v>
      </c>
      <c r="CJ29" s="229">
        <v>0.11070000000000001</v>
      </c>
      <c r="CK29" s="228">
        <v>533</v>
      </c>
      <c r="CL29" s="228">
        <v>533</v>
      </c>
      <c r="CM29" s="228">
        <v>0</v>
      </c>
      <c r="CN29" s="229">
        <v>5.9999999999999995E-4</v>
      </c>
      <c r="CO29" s="230">
        <v>112916</v>
      </c>
      <c r="CP29" s="230">
        <v>109514</v>
      </c>
      <c r="CQ29" s="230">
        <v>3402</v>
      </c>
      <c r="CR29" s="229">
        <v>3.1099999999999999E-2</v>
      </c>
      <c r="CS29" s="230">
        <v>105317</v>
      </c>
      <c r="CT29" s="230">
        <v>94813</v>
      </c>
      <c r="CU29" s="230">
        <v>10504</v>
      </c>
      <c r="CV29" s="229">
        <v>0.1108</v>
      </c>
      <c r="CW29" s="230">
        <v>232980</v>
      </c>
      <c r="CX29" s="230">
        <v>219282</v>
      </c>
      <c r="CY29" s="230">
        <v>13698</v>
      </c>
      <c r="CZ29" s="229">
        <v>6.25E-2</v>
      </c>
      <c r="DA29" s="228">
        <v>21.74</v>
      </c>
      <c r="DB29" s="228">
        <v>22.31</v>
      </c>
      <c r="DC29" s="228">
        <v>-0.56999999999999995</v>
      </c>
      <c r="DD29" s="228">
        <v>-0.56999999999999995</v>
      </c>
      <c r="DE29" s="228">
        <v>21.37</v>
      </c>
      <c r="DF29" s="228">
        <v>21.4</v>
      </c>
      <c r="DG29" s="228">
        <v>0.37</v>
      </c>
      <c r="DH29" s="228">
        <v>-0.03</v>
      </c>
      <c r="DI29" s="228">
        <v>19.78</v>
      </c>
      <c r="DJ29" s="228">
        <v>20.41</v>
      </c>
      <c r="DK29" s="228">
        <v>-0.63</v>
      </c>
      <c r="DL29" s="228">
        <v>-0.63</v>
      </c>
      <c r="DM29" s="228">
        <v>23.97</v>
      </c>
      <c r="DN29" s="228">
        <v>24.29</v>
      </c>
      <c r="DO29" s="228">
        <v>-0.32</v>
      </c>
      <c r="DP29" s="228">
        <v>-0.32</v>
      </c>
      <c r="DQ29" s="228">
        <v>0.93</v>
      </c>
      <c r="DR29" s="228">
        <v>0.87</v>
      </c>
      <c r="DS29" s="228">
        <v>0.06</v>
      </c>
      <c r="DT29" s="229">
        <v>6.9000000000000006E-2</v>
      </c>
      <c r="DU29" s="231">
        <v>60000</v>
      </c>
      <c r="DV29" s="231">
        <v>60000</v>
      </c>
      <c r="DW29" s="228">
        <v>0.88</v>
      </c>
      <c r="DX29" s="228">
        <v>0.95</v>
      </c>
      <c r="DY29" s="228">
        <v>-7.0000000000000007E-2</v>
      </c>
      <c r="DZ29" s="229">
        <v>-7.3700000000000002E-2</v>
      </c>
      <c r="EA29" s="229">
        <v>0.2392</v>
      </c>
      <c r="EB29" s="230">
        <v>569730</v>
      </c>
      <c r="EC29" s="229">
        <v>4.5999999999999999E-3</v>
      </c>
      <c r="ED29" s="229">
        <v>0.2392</v>
      </c>
      <c r="EE29" s="228">
        <v>219.47</v>
      </c>
      <c r="EF29" s="229">
        <v>3.8999999999999998E-3</v>
      </c>
      <c r="EG29" s="228">
        <v>0</v>
      </c>
      <c r="EH29" s="228">
        <v>0</v>
      </c>
      <c r="EI29" s="229">
        <v>0</v>
      </c>
      <c r="EJ29" s="229">
        <v>0</v>
      </c>
      <c r="EK29" s="231">
        <v>237990.51</v>
      </c>
      <c r="EL29" s="231">
        <v>193540.78</v>
      </c>
      <c r="EM29" s="231">
        <v>4314.91</v>
      </c>
      <c r="EN29" s="228">
        <v>0</v>
      </c>
      <c r="EO29" s="231">
        <v>435846.19</v>
      </c>
      <c r="EP29" s="231">
        <v>444852.61</v>
      </c>
      <c r="EQ29" s="231">
        <v>-9006.41</v>
      </c>
      <c r="ER29" s="229">
        <v>-2.0199999999999999E-2</v>
      </c>
      <c r="ES29" s="231">
        <v>115738.44</v>
      </c>
      <c r="ET29" s="231">
        <v>99884.26</v>
      </c>
      <c r="EU29" s="231">
        <v>14766.69</v>
      </c>
      <c r="EV29" s="228">
        <v>0</v>
      </c>
      <c r="EW29" s="231">
        <v>230389.39</v>
      </c>
      <c r="EX29" s="231">
        <v>216609.78</v>
      </c>
      <c r="EY29" s="231">
        <v>13779.61</v>
      </c>
      <c r="EZ29" s="229">
        <v>6.3600000000000004E-2</v>
      </c>
      <c r="FA29" s="229">
        <v>0</v>
      </c>
      <c r="FB29" s="227" t="s">
        <v>693</v>
      </c>
      <c r="FC29" s="195">
        <f t="shared" si="0"/>
        <v>3527</v>
      </c>
    </row>
    <row r="30" spans="1:159" ht="17.25" thickBot="1" x14ac:dyDescent="0.3">
      <c r="A30" s="226">
        <v>46129</v>
      </c>
      <c r="B30" s="227" t="s">
        <v>184</v>
      </c>
      <c r="C30" s="227" t="s">
        <v>669</v>
      </c>
      <c r="D30" s="228">
        <v>350</v>
      </c>
      <c r="E30" s="228">
        <v>11</v>
      </c>
      <c r="F30" s="231">
        <v>1380.8</v>
      </c>
      <c r="G30" s="231">
        <v>1359.7</v>
      </c>
      <c r="H30" s="228">
        <v>21.1</v>
      </c>
      <c r="I30" s="229">
        <v>1.55E-2</v>
      </c>
      <c r="J30" s="231">
        <v>1380.7</v>
      </c>
      <c r="K30" s="231">
        <v>1359.4</v>
      </c>
      <c r="L30" s="228">
        <v>21.3</v>
      </c>
      <c r="M30" s="229">
        <v>1.5699999999999999E-2</v>
      </c>
      <c r="N30" s="231">
        <v>1380.8</v>
      </c>
      <c r="O30" s="231">
        <v>1359.7</v>
      </c>
      <c r="P30" s="228">
        <v>21.1</v>
      </c>
      <c r="Q30" s="229">
        <v>1.55E-2</v>
      </c>
      <c r="R30" s="231">
        <v>1367.8</v>
      </c>
      <c r="S30" s="231">
        <v>1345.7</v>
      </c>
      <c r="T30" s="228">
        <v>22.1</v>
      </c>
      <c r="U30" s="229">
        <v>1.6400000000000001E-2</v>
      </c>
      <c r="V30" s="231">
        <v>1359.9</v>
      </c>
      <c r="W30" s="231">
        <v>1339.5</v>
      </c>
      <c r="X30" s="228">
        <v>20.399999999999999</v>
      </c>
      <c r="Y30" s="229">
        <v>1.52E-2</v>
      </c>
      <c r="Z30" s="228">
        <v>0.1</v>
      </c>
      <c r="AA30" s="228">
        <v>0.3</v>
      </c>
      <c r="AB30" s="228">
        <v>-0.2</v>
      </c>
      <c r="AC30" s="229">
        <v>1E-4</v>
      </c>
      <c r="AD30" s="228">
        <v>0.1</v>
      </c>
      <c r="AE30" s="228">
        <v>0.3</v>
      </c>
      <c r="AF30" s="228">
        <v>-0.2</v>
      </c>
      <c r="AG30" s="229">
        <v>1E-4</v>
      </c>
      <c r="AH30" s="228">
        <v>-12.9</v>
      </c>
      <c r="AI30" s="228">
        <v>-13.7</v>
      </c>
      <c r="AJ30" s="228">
        <v>0.8</v>
      </c>
      <c r="AK30" s="229">
        <v>-9.2999999999999992E-3</v>
      </c>
      <c r="AL30" s="228">
        <v>-20.8</v>
      </c>
      <c r="AM30" s="228">
        <v>-19.899999999999999</v>
      </c>
      <c r="AN30" s="228">
        <v>-0.9</v>
      </c>
      <c r="AO30" s="229">
        <v>-1.5100000000000001E-2</v>
      </c>
      <c r="AP30" s="231">
        <v>1376.31</v>
      </c>
      <c r="AQ30" s="231">
        <v>1362.2</v>
      </c>
      <c r="AR30" s="228">
        <v>0</v>
      </c>
      <c r="AS30" s="228">
        <v>164</v>
      </c>
      <c r="AT30" s="228">
        <v>228</v>
      </c>
      <c r="AU30" s="228">
        <v>-64</v>
      </c>
      <c r="AV30" s="229">
        <v>-0.28039999999999998</v>
      </c>
      <c r="AW30" s="228">
        <v>130</v>
      </c>
      <c r="AX30" s="228">
        <v>176</v>
      </c>
      <c r="AY30" s="228">
        <v>-46</v>
      </c>
      <c r="AZ30" s="229">
        <v>-0.26090000000000002</v>
      </c>
      <c r="BA30" s="228">
        <v>31</v>
      </c>
      <c r="BB30" s="228">
        <v>45</v>
      </c>
      <c r="BC30" s="228">
        <v>-15</v>
      </c>
      <c r="BD30" s="229">
        <v>-0.32229999999999998</v>
      </c>
      <c r="BE30" s="228">
        <v>3</v>
      </c>
      <c r="BF30" s="228">
        <v>6</v>
      </c>
      <c r="BG30" s="228">
        <v>-3</v>
      </c>
      <c r="BH30" s="229">
        <v>-0.51910000000000001</v>
      </c>
      <c r="BI30" s="228">
        <v>829</v>
      </c>
      <c r="BJ30" s="228">
        <v>671</v>
      </c>
      <c r="BK30" s="228">
        <v>158</v>
      </c>
      <c r="BL30" s="229">
        <v>0.23569999999999999</v>
      </c>
      <c r="BM30" s="228">
        <v>434</v>
      </c>
      <c r="BN30" s="228">
        <v>322</v>
      </c>
      <c r="BO30" s="228">
        <v>112</v>
      </c>
      <c r="BP30" s="229">
        <v>0.34639999999999999</v>
      </c>
      <c r="BQ30" s="230">
        <v>1426</v>
      </c>
      <c r="BR30" s="230">
        <v>1220</v>
      </c>
      <c r="BS30" s="228">
        <v>206</v>
      </c>
      <c r="BT30" s="229">
        <v>0.16869999999999999</v>
      </c>
      <c r="BU30" s="230">
        <v>1273066</v>
      </c>
      <c r="BV30" s="230">
        <v>1858266</v>
      </c>
      <c r="BW30" s="230">
        <v>-585200</v>
      </c>
      <c r="BX30" s="229">
        <v>-0.31490000000000001</v>
      </c>
      <c r="BY30" s="228">
        <v>545</v>
      </c>
      <c r="BZ30" s="228">
        <v>554</v>
      </c>
      <c r="CA30" s="228">
        <v>-9</v>
      </c>
      <c r="CB30" s="229">
        <v>-1.7100000000000001E-2</v>
      </c>
      <c r="CC30" s="228">
        <v>430</v>
      </c>
      <c r="CD30" s="228">
        <v>444</v>
      </c>
      <c r="CE30" s="228">
        <v>-14</v>
      </c>
      <c r="CF30" s="229">
        <v>-3.1300000000000001E-2</v>
      </c>
      <c r="CG30" s="228">
        <v>106</v>
      </c>
      <c r="CH30" s="228">
        <v>101</v>
      </c>
      <c r="CI30" s="228">
        <v>5</v>
      </c>
      <c r="CJ30" s="229">
        <v>4.6800000000000001E-2</v>
      </c>
      <c r="CK30" s="228">
        <v>9</v>
      </c>
      <c r="CL30" s="228">
        <v>9</v>
      </c>
      <c r="CM30" s="228">
        <v>0</v>
      </c>
      <c r="CN30" s="229">
        <v>-3.6600000000000001E-2</v>
      </c>
      <c r="CO30" s="228">
        <v>458</v>
      </c>
      <c r="CP30" s="228">
        <v>470</v>
      </c>
      <c r="CQ30" s="228">
        <v>-13</v>
      </c>
      <c r="CR30" s="229">
        <v>-2.69E-2</v>
      </c>
      <c r="CS30" s="228">
        <v>368</v>
      </c>
      <c r="CT30" s="228">
        <v>349</v>
      </c>
      <c r="CU30" s="228">
        <v>19</v>
      </c>
      <c r="CV30" s="229">
        <v>5.33E-2</v>
      </c>
      <c r="CW30" s="230">
        <v>1370</v>
      </c>
      <c r="CX30" s="230">
        <v>1374</v>
      </c>
      <c r="CY30" s="228">
        <v>-4</v>
      </c>
      <c r="CZ30" s="229">
        <v>-2.5999999999999999E-3</v>
      </c>
      <c r="DA30" s="228">
        <v>39.479999999999997</v>
      </c>
      <c r="DB30" s="228">
        <v>40.14</v>
      </c>
      <c r="DC30" s="228">
        <v>-0.66</v>
      </c>
      <c r="DD30" s="228">
        <v>-0.66</v>
      </c>
      <c r="DE30" s="228">
        <v>53.52</v>
      </c>
      <c r="DF30" s="228">
        <v>53.61</v>
      </c>
      <c r="DG30" s="228">
        <v>-14.04</v>
      </c>
      <c r="DH30" s="228">
        <v>-0.09</v>
      </c>
      <c r="DI30" s="228">
        <v>37.53</v>
      </c>
      <c r="DJ30" s="228">
        <v>38.67</v>
      </c>
      <c r="DK30" s="228">
        <v>-1.1399999999999999</v>
      </c>
      <c r="DL30" s="228">
        <v>-1.1399999999999999</v>
      </c>
      <c r="DM30" s="228">
        <v>43.21</v>
      </c>
      <c r="DN30" s="228">
        <v>43.2</v>
      </c>
      <c r="DO30" s="228">
        <v>0.01</v>
      </c>
      <c r="DP30" s="228">
        <v>0.01</v>
      </c>
      <c r="DQ30" s="228">
        <v>0.8</v>
      </c>
      <c r="DR30" s="228">
        <v>0.74</v>
      </c>
      <c r="DS30" s="228">
        <v>0.06</v>
      </c>
      <c r="DT30" s="229">
        <v>8.1100000000000005E-2</v>
      </c>
      <c r="DU30" s="231">
        <v>1400</v>
      </c>
      <c r="DV30" s="231">
        <v>1360</v>
      </c>
      <c r="DW30" s="228">
        <v>0.52</v>
      </c>
      <c r="DX30" s="228">
        <v>0.48</v>
      </c>
      <c r="DY30" s="228">
        <v>0.04</v>
      </c>
      <c r="DZ30" s="229">
        <v>8.3299999999999999E-2</v>
      </c>
      <c r="EA30" s="229">
        <v>0.2107</v>
      </c>
      <c r="EB30" s="230">
        <v>799400</v>
      </c>
      <c r="EC30" s="229">
        <v>-9.4000000000000004E-3</v>
      </c>
      <c r="ED30" s="229">
        <v>0.2107</v>
      </c>
      <c r="EE30" s="228">
        <v>-14.11</v>
      </c>
      <c r="EF30" s="229">
        <v>-1.03E-2</v>
      </c>
      <c r="EG30" s="230">
        <v>403858</v>
      </c>
      <c r="EH30" s="230">
        <v>455985</v>
      </c>
      <c r="EI30" s="229">
        <v>-0.1143</v>
      </c>
      <c r="EJ30" s="229">
        <v>0.31719999999999998</v>
      </c>
      <c r="EK30" s="228">
        <v>869.63</v>
      </c>
      <c r="EL30" s="228">
        <v>413.23</v>
      </c>
      <c r="EM30" s="228">
        <v>162.84</v>
      </c>
      <c r="EN30" s="228">
        <v>34.33</v>
      </c>
      <c r="EO30" s="231">
        <v>1445.7</v>
      </c>
      <c r="EP30" s="231">
        <v>1224.01</v>
      </c>
      <c r="EQ30" s="228">
        <v>221.68</v>
      </c>
      <c r="ER30" s="229">
        <v>0.18110000000000001</v>
      </c>
      <c r="ES30" s="228">
        <v>451.2</v>
      </c>
      <c r="ET30" s="228">
        <v>329.58</v>
      </c>
      <c r="EU30" s="228">
        <v>543.57000000000005</v>
      </c>
      <c r="EV30" s="231">
        <v>13786716</v>
      </c>
      <c r="EW30" s="231">
        <v>1324.34</v>
      </c>
      <c r="EX30" s="231">
        <v>1318.67</v>
      </c>
      <c r="EY30" s="228">
        <v>5.67</v>
      </c>
      <c r="EZ30" s="229">
        <v>4.3E-3</v>
      </c>
      <c r="FA30" s="229">
        <v>0.71989999999999998</v>
      </c>
      <c r="FB30" s="227" t="s">
        <v>693</v>
      </c>
      <c r="FC30">
        <f t="shared" si="0"/>
        <v>115</v>
      </c>
    </row>
    <row r="31" spans="1:159" ht="17.25" thickBot="1" x14ac:dyDescent="0.3">
      <c r="A31" s="226">
        <v>46129</v>
      </c>
      <c r="B31" s="227" t="s">
        <v>184</v>
      </c>
      <c r="C31" s="227" t="s">
        <v>185</v>
      </c>
      <c r="D31" s="228">
        <v>1425</v>
      </c>
      <c r="E31" s="228">
        <v>11</v>
      </c>
      <c r="F31" s="228">
        <v>462.9</v>
      </c>
      <c r="G31" s="228">
        <v>456.55</v>
      </c>
      <c r="H31" s="228">
        <v>6.35</v>
      </c>
      <c r="I31" s="229">
        <v>1.3899999999999999E-2</v>
      </c>
      <c r="J31" s="228">
        <v>462.75</v>
      </c>
      <c r="K31" s="228">
        <v>455.65</v>
      </c>
      <c r="L31" s="228">
        <v>7.1</v>
      </c>
      <c r="M31" s="229">
        <v>1.5599999999999999E-2</v>
      </c>
      <c r="N31" s="228">
        <v>462.9</v>
      </c>
      <c r="O31" s="228">
        <v>456.55</v>
      </c>
      <c r="P31" s="228">
        <v>6.35</v>
      </c>
      <c r="Q31" s="229">
        <v>1.3899999999999999E-2</v>
      </c>
      <c r="R31" s="228">
        <v>465.55</v>
      </c>
      <c r="S31" s="228">
        <v>459.25</v>
      </c>
      <c r="T31" s="228">
        <v>6.3</v>
      </c>
      <c r="U31" s="229">
        <v>1.37E-2</v>
      </c>
      <c r="V31" s="228">
        <v>468.4</v>
      </c>
      <c r="W31" s="228">
        <v>461.9</v>
      </c>
      <c r="X31" s="228">
        <v>6.5</v>
      </c>
      <c r="Y31" s="229">
        <v>1.41E-2</v>
      </c>
      <c r="Z31" s="228">
        <v>0.15</v>
      </c>
      <c r="AA31" s="228">
        <v>0.9</v>
      </c>
      <c r="AB31" s="228">
        <v>-0.75</v>
      </c>
      <c r="AC31" s="229">
        <v>2.9999999999999997E-4</v>
      </c>
      <c r="AD31" s="228">
        <v>0.15</v>
      </c>
      <c r="AE31" s="228">
        <v>0.9</v>
      </c>
      <c r="AF31" s="228">
        <v>-0.75</v>
      </c>
      <c r="AG31" s="229">
        <v>2.9999999999999997E-4</v>
      </c>
      <c r="AH31" s="228">
        <v>2.8</v>
      </c>
      <c r="AI31" s="228">
        <v>3.6</v>
      </c>
      <c r="AJ31" s="228">
        <v>-0.8</v>
      </c>
      <c r="AK31" s="229">
        <v>6.1000000000000004E-3</v>
      </c>
      <c r="AL31" s="228">
        <v>5.65</v>
      </c>
      <c r="AM31" s="228">
        <v>6.25</v>
      </c>
      <c r="AN31" s="228">
        <v>-0.6</v>
      </c>
      <c r="AO31" s="229">
        <v>1.2200000000000001E-2</v>
      </c>
      <c r="AP31" s="228">
        <v>460.06</v>
      </c>
      <c r="AQ31" s="228">
        <v>462.56</v>
      </c>
      <c r="AR31" s="228">
        <v>0</v>
      </c>
      <c r="AS31" s="228">
        <v>577</v>
      </c>
      <c r="AT31" s="228">
        <v>676</v>
      </c>
      <c r="AU31" s="228">
        <v>-99</v>
      </c>
      <c r="AV31" s="229">
        <v>-0.14630000000000001</v>
      </c>
      <c r="AW31" s="228">
        <v>468</v>
      </c>
      <c r="AX31" s="228">
        <v>566</v>
      </c>
      <c r="AY31" s="228">
        <v>-98</v>
      </c>
      <c r="AZ31" s="229">
        <v>-0.17319999999999999</v>
      </c>
      <c r="BA31" s="228">
        <v>93</v>
      </c>
      <c r="BB31" s="228">
        <v>95</v>
      </c>
      <c r="BC31" s="228">
        <v>-1</v>
      </c>
      <c r="BD31" s="229">
        <v>-1.46E-2</v>
      </c>
      <c r="BE31" s="228">
        <v>16</v>
      </c>
      <c r="BF31" s="228">
        <v>16</v>
      </c>
      <c r="BG31" s="228">
        <v>1</v>
      </c>
      <c r="BH31" s="229">
        <v>3.3799999999999997E-2</v>
      </c>
      <c r="BI31" s="230">
        <v>3598</v>
      </c>
      <c r="BJ31" s="230">
        <v>3278</v>
      </c>
      <c r="BK31" s="228">
        <v>319</v>
      </c>
      <c r="BL31" s="229">
        <v>9.74E-2</v>
      </c>
      <c r="BM31" s="230">
        <v>1788</v>
      </c>
      <c r="BN31" s="230">
        <v>1526</v>
      </c>
      <c r="BO31" s="228">
        <v>262</v>
      </c>
      <c r="BP31" s="229">
        <v>0.1716</v>
      </c>
      <c r="BQ31" s="230">
        <v>5963</v>
      </c>
      <c r="BR31" s="230">
        <v>5480</v>
      </c>
      <c r="BS31" s="228">
        <v>482</v>
      </c>
      <c r="BT31" s="229">
        <v>8.7999999999999995E-2</v>
      </c>
      <c r="BU31" s="230">
        <v>14792143</v>
      </c>
      <c r="BV31" s="230">
        <v>12746989</v>
      </c>
      <c r="BW31" s="230">
        <v>2045154</v>
      </c>
      <c r="BX31" s="229">
        <v>0.16039999999999999</v>
      </c>
      <c r="BY31" s="230">
        <v>4895</v>
      </c>
      <c r="BZ31" s="230">
        <v>4897</v>
      </c>
      <c r="CA31" s="228">
        <v>-2</v>
      </c>
      <c r="CB31" s="229">
        <v>-5.0000000000000001E-4</v>
      </c>
      <c r="CC31" s="230">
        <v>4204</v>
      </c>
      <c r="CD31" s="230">
        <v>4238</v>
      </c>
      <c r="CE31" s="228">
        <v>-35</v>
      </c>
      <c r="CF31" s="229">
        <v>-8.2000000000000007E-3</v>
      </c>
      <c r="CG31" s="228">
        <v>502</v>
      </c>
      <c r="CH31" s="228">
        <v>475</v>
      </c>
      <c r="CI31" s="228">
        <v>28</v>
      </c>
      <c r="CJ31" s="229">
        <v>5.8500000000000003E-2</v>
      </c>
      <c r="CK31" s="228">
        <v>189</v>
      </c>
      <c r="CL31" s="228">
        <v>184</v>
      </c>
      <c r="CM31" s="228">
        <v>4</v>
      </c>
      <c r="CN31" s="229">
        <v>2.4400000000000002E-2</v>
      </c>
      <c r="CO31" s="230">
        <v>1941</v>
      </c>
      <c r="CP31" s="230">
        <v>1911</v>
      </c>
      <c r="CQ31" s="228">
        <v>30</v>
      </c>
      <c r="CR31" s="229">
        <v>1.5599999999999999E-2</v>
      </c>
      <c r="CS31" s="230">
        <v>1459</v>
      </c>
      <c r="CT31" s="230">
        <v>1364</v>
      </c>
      <c r="CU31" s="228">
        <v>96</v>
      </c>
      <c r="CV31" s="229">
        <v>7.0199999999999999E-2</v>
      </c>
      <c r="CW31" s="230">
        <v>8295</v>
      </c>
      <c r="CX31" s="230">
        <v>8172</v>
      </c>
      <c r="CY31" s="228">
        <v>123</v>
      </c>
      <c r="CZ31" s="229">
        <v>1.5100000000000001E-2</v>
      </c>
      <c r="DA31" s="228">
        <v>31.06</v>
      </c>
      <c r="DB31" s="228">
        <v>31.25</v>
      </c>
      <c r="DC31" s="228">
        <v>-0.19</v>
      </c>
      <c r="DD31" s="228">
        <v>-0.19</v>
      </c>
      <c r="DE31" s="228">
        <v>37.28</v>
      </c>
      <c r="DF31" s="228">
        <v>37.32</v>
      </c>
      <c r="DG31" s="228">
        <v>-6.22</v>
      </c>
      <c r="DH31" s="228">
        <v>-0.04</v>
      </c>
      <c r="DI31" s="228">
        <v>29.9</v>
      </c>
      <c r="DJ31" s="228">
        <v>30.17</v>
      </c>
      <c r="DK31" s="228">
        <v>-0.27</v>
      </c>
      <c r="DL31" s="228">
        <v>-0.27</v>
      </c>
      <c r="DM31" s="228">
        <v>33.409999999999997</v>
      </c>
      <c r="DN31" s="228">
        <v>33.57</v>
      </c>
      <c r="DO31" s="228">
        <v>-0.16</v>
      </c>
      <c r="DP31" s="228">
        <v>-0.16</v>
      </c>
      <c r="DQ31" s="228">
        <v>0.75</v>
      </c>
      <c r="DR31" s="228">
        <v>0.71</v>
      </c>
      <c r="DS31" s="228">
        <v>0.04</v>
      </c>
      <c r="DT31" s="229">
        <v>5.6300000000000003E-2</v>
      </c>
      <c r="DU31" s="228">
        <v>500</v>
      </c>
      <c r="DV31" s="228">
        <v>400</v>
      </c>
      <c r="DW31" s="228">
        <v>0.5</v>
      </c>
      <c r="DX31" s="228">
        <v>0.47</v>
      </c>
      <c r="DY31" s="228">
        <v>0.03</v>
      </c>
      <c r="DZ31" s="229">
        <v>6.3799999999999996E-2</v>
      </c>
      <c r="EA31" s="229">
        <v>0.14119999999999999</v>
      </c>
      <c r="EB31" s="230">
        <v>14230050</v>
      </c>
      <c r="EC31" s="229">
        <v>5.7000000000000002E-3</v>
      </c>
      <c r="ED31" s="229">
        <v>0.14119999999999999</v>
      </c>
      <c r="EE31" s="228">
        <v>2.5</v>
      </c>
      <c r="EF31" s="229">
        <v>5.4000000000000003E-3</v>
      </c>
      <c r="EG31" s="230">
        <v>6636162</v>
      </c>
      <c r="EH31" s="230">
        <v>5683324</v>
      </c>
      <c r="EI31" s="229">
        <v>0.16769999999999999</v>
      </c>
      <c r="EJ31" s="229">
        <v>0.4486</v>
      </c>
      <c r="EK31" s="231">
        <v>3732.93</v>
      </c>
      <c r="EL31" s="231">
        <v>1712.54</v>
      </c>
      <c r="EM31" s="228">
        <v>574.33000000000004</v>
      </c>
      <c r="EN31" s="228">
        <v>96.37</v>
      </c>
      <c r="EO31" s="231">
        <v>6019.79</v>
      </c>
      <c r="EP31" s="231">
        <v>5468.63</v>
      </c>
      <c r="EQ31" s="228">
        <v>551.16999999999996</v>
      </c>
      <c r="ER31" s="229">
        <v>0.1008</v>
      </c>
      <c r="ES31" s="231">
        <v>1936.03</v>
      </c>
      <c r="ET31" s="231">
        <v>1337.71</v>
      </c>
      <c r="EU31" s="231">
        <v>4899.66</v>
      </c>
      <c r="EV31" s="231">
        <v>535778534</v>
      </c>
      <c r="EW31" s="231">
        <v>8173.4</v>
      </c>
      <c r="EX31" s="231">
        <v>7972.44</v>
      </c>
      <c r="EY31" s="228">
        <v>200.96</v>
      </c>
      <c r="EZ31" s="229">
        <v>2.52E-2</v>
      </c>
      <c r="FA31" s="229">
        <v>0.33439999999999998</v>
      </c>
      <c r="FB31" s="227" t="s">
        <v>693</v>
      </c>
      <c r="FC31">
        <f t="shared" si="0"/>
        <v>691</v>
      </c>
    </row>
    <row r="32" spans="1:159" ht="17.25" thickBot="1" x14ac:dyDescent="0.3">
      <c r="A32" s="226">
        <v>46129</v>
      </c>
      <c r="B32" s="227" t="s">
        <v>162</v>
      </c>
      <c r="C32" s="227" t="s">
        <v>187</v>
      </c>
      <c r="D32" s="228">
        <v>500</v>
      </c>
      <c r="E32" s="228">
        <v>11</v>
      </c>
      <c r="F32" s="231">
        <v>1858.1</v>
      </c>
      <c r="G32" s="231">
        <v>1847.3</v>
      </c>
      <c r="H32" s="228">
        <v>10.8</v>
      </c>
      <c r="I32" s="229">
        <v>5.7999999999999996E-3</v>
      </c>
      <c r="J32" s="231">
        <v>1860.5</v>
      </c>
      <c r="K32" s="231">
        <v>1855.8</v>
      </c>
      <c r="L32" s="228">
        <v>4.7</v>
      </c>
      <c r="M32" s="229">
        <v>2.5000000000000001E-3</v>
      </c>
      <c r="N32" s="231">
        <v>1858.1</v>
      </c>
      <c r="O32" s="231">
        <v>1847.3</v>
      </c>
      <c r="P32" s="228">
        <v>10.8</v>
      </c>
      <c r="Q32" s="229">
        <v>5.7999999999999996E-3</v>
      </c>
      <c r="R32" s="231">
        <v>1854.9</v>
      </c>
      <c r="S32" s="231">
        <v>1843.8</v>
      </c>
      <c r="T32" s="228">
        <v>11.1</v>
      </c>
      <c r="U32" s="229">
        <v>6.0000000000000001E-3</v>
      </c>
      <c r="V32" s="231">
        <v>1852.6</v>
      </c>
      <c r="W32" s="231">
        <v>1849.4</v>
      </c>
      <c r="X32" s="228">
        <v>3.2</v>
      </c>
      <c r="Y32" s="229">
        <v>1.6999999999999999E-3</v>
      </c>
      <c r="Z32" s="228">
        <v>-2.4</v>
      </c>
      <c r="AA32" s="228">
        <v>-8.5</v>
      </c>
      <c r="AB32" s="228">
        <v>6.1</v>
      </c>
      <c r="AC32" s="229">
        <v>-1.2999999999999999E-3</v>
      </c>
      <c r="AD32" s="228">
        <v>-2.4</v>
      </c>
      <c r="AE32" s="228">
        <v>-8.5</v>
      </c>
      <c r="AF32" s="228">
        <v>6.1</v>
      </c>
      <c r="AG32" s="229">
        <v>-1.2999999999999999E-3</v>
      </c>
      <c r="AH32" s="228">
        <v>-5.6</v>
      </c>
      <c r="AI32" s="228">
        <v>-12</v>
      </c>
      <c r="AJ32" s="228">
        <v>6.4</v>
      </c>
      <c r="AK32" s="229">
        <v>-3.0000000000000001E-3</v>
      </c>
      <c r="AL32" s="228">
        <v>-7.9</v>
      </c>
      <c r="AM32" s="228">
        <v>-6.4</v>
      </c>
      <c r="AN32" s="228">
        <v>-1.5</v>
      </c>
      <c r="AO32" s="229">
        <v>-4.1999999999999997E-3</v>
      </c>
      <c r="AP32" s="231">
        <v>1855.47</v>
      </c>
      <c r="AQ32" s="231">
        <v>1853.99</v>
      </c>
      <c r="AR32" s="228">
        <v>0</v>
      </c>
      <c r="AS32" s="228">
        <v>276</v>
      </c>
      <c r="AT32" s="228">
        <v>304</v>
      </c>
      <c r="AU32" s="228">
        <v>-28</v>
      </c>
      <c r="AV32" s="229">
        <v>-9.1499999999999998E-2</v>
      </c>
      <c r="AW32" s="228">
        <v>220</v>
      </c>
      <c r="AX32" s="228">
        <v>284</v>
      </c>
      <c r="AY32" s="228">
        <v>-64</v>
      </c>
      <c r="AZ32" s="229">
        <v>-0.22689999999999999</v>
      </c>
      <c r="BA32" s="228">
        <v>52</v>
      </c>
      <c r="BB32" s="228">
        <v>18</v>
      </c>
      <c r="BC32" s="228">
        <v>34</v>
      </c>
      <c r="BD32" s="229">
        <v>1.8923000000000001</v>
      </c>
      <c r="BE32" s="228">
        <v>4</v>
      </c>
      <c r="BF32" s="228">
        <v>1</v>
      </c>
      <c r="BG32" s="228">
        <v>2</v>
      </c>
      <c r="BH32" s="229">
        <v>1.8571</v>
      </c>
      <c r="BI32" s="228">
        <v>706</v>
      </c>
      <c r="BJ32" s="228">
        <v>650</v>
      </c>
      <c r="BK32" s="228">
        <v>55</v>
      </c>
      <c r="BL32" s="229">
        <v>8.5099999999999995E-2</v>
      </c>
      <c r="BM32" s="228">
        <v>450</v>
      </c>
      <c r="BN32" s="228">
        <v>344</v>
      </c>
      <c r="BO32" s="228">
        <v>107</v>
      </c>
      <c r="BP32" s="229">
        <v>0.31019999999999998</v>
      </c>
      <c r="BQ32" s="230">
        <v>1432</v>
      </c>
      <c r="BR32" s="230">
        <v>1298</v>
      </c>
      <c r="BS32" s="228">
        <v>134</v>
      </c>
      <c r="BT32" s="229">
        <v>0.10340000000000001</v>
      </c>
      <c r="BU32" s="230">
        <v>1059041</v>
      </c>
      <c r="BV32" s="230">
        <v>1306013</v>
      </c>
      <c r="BW32" s="230">
        <v>-246972</v>
      </c>
      <c r="BX32" s="229">
        <v>-0.18909999999999999</v>
      </c>
      <c r="BY32" s="230">
        <v>1502</v>
      </c>
      <c r="BZ32" s="230">
        <v>1457</v>
      </c>
      <c r="CA32" s="228">
        <v>46</v>
      </c>
      <c r="CB32" s="229">
        <v>3.15E-2</v>
      </c>
      <c r="CC32" s="230">
        <v>1435</v>
      </c>
      <c r="CD32" s="230">
        <v>1425</v>
      </c>
      <c r="CE32" s="228">
        <v>11</v>
      </c>
      <c r="CF32" s="229">
        <v>7.6E-3</v>
      </c>
      <c r="CG32" s="228">
        <v>62</v>
      </c>
      <c r="CH32" s="228">
        <v>28</v>
      </c>
      <c r="CI32" s="228">
        <v>34</v>
      </c>
      <c r="CJ32" s="229">
        <v>1.1901999999999999</v>
      </c>
      <c r="CK32" s="228">
        <v>5</v>
      </c>
      <c r="CL32" s="228">
        <v>4</v>
      </c>
      <c r="CM32" s="228">
        <v>1</v>
      </c>
      <c r="CN32" s="229">
        <v>0.35899999999999999</v>
      </c>
      <c r="CO32" s="228">
        <v>602</v>
      </c>
      <c r="CP32" s="228">
        <v>614</v>
      </c>
      <c r="CQ32" s="228">
        <v>-12</v>
      </c>
      <c r="CR32" s="229">
        <v>-1.9099999999999999E-2</v>
      </c>
      <c r="CS32" s="228">
        <v>369</v>
      </c>
      <c r="CT32" s="228">
        <v>375</v>
      </c>
      <c r="CU32" s="228">
        <v>-6</v>
      </c>
      <c r="CV32" s="229">
        <v>-1.7100000000000001E-2</v>
      </c>
      <c r="CW32" s="230">
        <v>2473</v>
      </c>
      <c r="CX32" s="230">
        <v>2445</v>
      </c>
      <c r="CY32" s="228">
        <v>28</v>
      </c>
      <c r="CZ32" s="229">
        <v>1.14E-2</v>
      </c>
      <c r="DA32" s="228">
        <v>33.83</v>
      </c>
      <c r="DB32" s="228">
        <v>35.909999999999997</v>
      </c>
      <c r="DC32" s="228">
        <v>-2.08</v>
      </c>
      <c r="DD32" s="228">
        <v>-2.08</v>
      </c>
      <c r="DE32" s="228">
        <v>39.880000000000003</v>
      </c>
      <c r="DF32" s="228">
        <v>39.97</v>
      </c>
      <c r="DG32" s="228">
        <v>-6.05</v>
      </c>
      <c r="DH32" s="228">
        <v>-0.09</v>
      </c>
      <c r="DI32" s="228">
        <v>32.47</v>
      </c>
      <c r="DJ32" s="228">
        <v>34.92</v>
      </c>
      <c r="DK32" s="228">
        <v>-2.4500000000000002</v>
      </c>
      <c r="DL32" s="228">
        <v>-2.4500000000000002</v>
      </c>
      <c r="DM32" s="228">
        <v>35.96</v>
      </c>
      <c r="DN32" s="228">
        <v>37.799999999999997</v>
      </c>
      <c r="DO32" s="228">
        <v>-1.84</v>
      </c>
      <c r="DP32" s="228">
        <v>-1.84</v>
      </c>
      <c r="DQ32" s="228">
        <v>0.61</v>
      </c>
      <c r="DR32" s="228">
        <v>0.61</v>
      </c>
      <c r="DS32" s="228">
        <v>0</v>
      </c>
      <c r="DT32" s="229">
        <v>0</v>
      </c>
      <c r="DU32" s="231">
        <v>1800</v>
      </c>
      <c r="DV32" s="231">
        <v>1800</v>
      </c>
      <c r="DW32" s="228">
        <v>0.64</v>
      </c>
      <c r="DX32" s="228">
        <v>0.53</v>
      </c>
      <c r="DY32" s="228">
        <v>0.11</v>
      </c>
      <c r="DZ32" s="229">
        <v>0.20749999999999999</v>
      </c>
      <c r="EA32" s="229">
        <v>4.4600000000000001E-2</v>
      </c>
      <c r="EB32" s="230">
        <v>172000</v>
      </c>
      <c r="EC32" s="229">
        <v>-1.6999999999999999E-3</v>
      </c>
      <c r="ED32" s="229">
        <v>4.4600000000000001E-2</v>
      </c>
      <c r="EE32" s="228">
        <v>-1.48</v>
      </c>
      <c r="EF32" s="229">
        <v>-8.0000000000000004E-4</v>
      </c>
      <c r="EG32" s="230">
        <v>488987</v>
      </c>
      <c r="EH32" s="230">
        <v>750930</v>
      </c>
      <c r="EI32" s="229">
        <v>-0.3488</v>
      </c>
      <c r="EJ32" s="229">
        <v>0.4617</v>
      </c>
      <c r="EK32" s="228">
        <v>733.37</v>
      </c>
      <c r="EL32" s="228">
        <v>437.53</v>
      </c>
      <c r="EM32" s="228">
        <v>275.39</v>
      </c>
      <c r="EN32" s="228">
        <v>36.61</v>
      </c>
      <c r="EO32" s="231">
        <v>1446.29</v>
      </c>
      <c r="EP32" s="231">
        <v>1306.9100000000001</v>
      </c>
      <c r="EQ32" s="228">
        <v>139.38</v>
      </c>
      <c r="ER32" s="229">
        <v>0.1067</v>
      </c>
      <c r="ES32" s="228">
        <v>599.66</v>
      </c>
      <c r="ET32" s="228">
        <v>337.92</v>
      </c>
      <c r="EU32" s="231">
        <v>1502.34</v>
      </c>
      <c r="EV32" s="231">
        <v>40107751</v>
      </c>
      <c r="EW32" s="231">
        <v>2439.92</v>
      </c>
      <c r="EX32" s="231">
        <v>2401.16</v>
      </c>
      <c r="EY32" s="228">
        <v>38.76</v>
      </c>
      <c r="EZ32" s="229">
        <v>1.61E-2</v>
      </c>
      <c r="FA32" s="229">
        <v>0.33189999999999997</v>
      </c>
      <c r="FB32" s="227" t="s">
        <v>555</v>
      </c>
      <c r="FC32">
        <f t="shared" si="0"/>
        <v>67</v>
      </c>
    </row>
    <row r="33" spans="1:159" ht="17.25" thickBot="1" x14ac:dyDescent="0.3">
      <c r="A33" s="226">
        <v>46129</v>
      </c>
      <c r="B33" s="227" t="s">
        <v>188</v>
      </c>
      <c r="C33" s="227" t="s">
        <v>189</v>
      </c>
      <c r="D33" s="228">
        <v>475</v>
      </c>
      <c r="E33" s="228">
        <v>11</v>
      </c>
      <c r="F33" s="231">
        <v>1849</v>
      </c>
      <c r="G33" s="231">
        <v>1844</v>
      </c>
      <c r="H33" s="228">
        <v>5</v>
      </c>
      <c r="I33" s="229">
        <v>2.7000000000000001E-3</v>
      </c>
      <c r="J33" s="231">
        <v>1846.9</v>
      </c>
      <c r="K33" s="231">
        <v>1840.6</v>
      </c>
      <c r="L33" s="228">
        <v>6.3</v>
      </c>
      <c r="M33" s="229">
        <v>3.3999999999999998E-3</v>
      </c>
      <c r="N33" s="231">
        <v>1849</v>
      </c>
      <c r="O33" s="231">
        <v>1844</v>
      </c>
      <c r="P33" s="228">
        <v>5</v>
      </c>
      <c r="Q33" s="229">
        <v>2.7000000000000001E-3</v>
      </c>
      <c r="R33" s="231">
        <v>1859.5</v>
      </c>
      <c r="S33" s="231">
        <v>1852.5</v>
      </c>
      <c r="T33" s="228">
        <v>7</v>
      </c>
      <c r="U33" s="229">
        <v>3.8E-3</v>
      </c>
      <c r="V33" s="231">
        <v>1870.8</v>
      </c>
      <c r="W33" s="231">
        <v>1865.9</v>
      </c>
      <c r="X33" s="228">
        <v>4.9000000000000004</v>
      </c>
      <c r="Y33" s="229">
        <v>2.5999999999999999E-3</v>
      </c>
      <c r="Z33" s="228">
        <v>2.1</v>
      </c>
      <c r="AA33" s="228">
        <v>3.4</v>
      </c>
      <c r="AB33" s="228">
        <v>-1.3</v>
      </c>
      <c r="AC33" s="229">
        <v>1.1000000000000001E-3</v>
      </c>
      <c r="AD33" s="228">
        <v>2.1</v>
      </c>
      <c r="AE33" s="228">
        <v>3.4</v>
      </c>
      <c r="AF33" s="228">
        <v>-1.3</v>
      </c>
      <c r="AG33" s="229">
        <v>1.1000000000000001E-3</v>
      </c>
      <c r="AH33" s="228">
        <v>12.6</v>
      </c>
      <c r="AI33" s="228">
        <v>11.9</v>
      </c>
      <c r="AJ33" s="228">
        <v>0.7</v>
      </c>
      <c r="AK33" s="229">
        <v>6.7999999999999996E-3</v>
      </c>
      <c r="AL33" s="228">
        <v>23.9</v>
      </c>
      <c r="AM33" s="228">
        <v>25.3</v>
      </c>
      <c r="AN33" s="228">
        <v>-1.4</v>
      </c>
      <c r="AO33" s="229">
        <v>1.29E-2</v>
      </c>
      <c r="AP33" s="231">
        <v>1844.71</v>
      </c>
      <c r="AQ33" s="231">
        <v>1853.02</v>
      </c>
      <c r="AR33" s="228">
        <v>0</v>
      </c>
      <c r="AS33" s="228">
        <v>723</v>
      </c>
      <c r="AT33" s="230">
        <v>1432</v>
      </c>
      <c r="AU33" s="228">
        <v>-709</v>
      </c>
      <c r="AV33" s="229">
        <v>-0.49509999999999998</v>
      </c>
      <c r="AW33" s="228">
        <v>577</v>
      </c>
      <c r="AX33" s="230">
        <v>1031</v>
      </c>
      <c r="AY33" s="228">
        <v>-454</v>
      </c>
      <c r="AZ33" s="229">
        <v>-0.44030000000000002</v>
      </c>
      <c r="BA33" s="228">
        <v>140</v>
      </c>
      <c r="BB33" s="228">
        <v>213</v>
      </c>
      <c r="BC33" s="228">
        <v>-73</v>
      </c>
      <c r="BD33" s="229">
        <v>-0.34339999999999998</v>
      </c>
      <c r="BE33" s="228">
        <v>6</v>
      </c>
      <c r="BF33" s="228">
        <v>188</v>
      </c>
      <c r="BG33" s="228">
        <v>-182</v>
      </c>
      <c r="BH33" s="229">
        <v>-0.96819999999999995</v>
      </c>
      <c r="BI33" s="230">
        <v>2884</v>
      </c>
      <c r="BJ33" s="230">
        <v>4551</v>
      </c>
      <c r="BK33" s="230">
        <v>-1668</v>
      </c>
      <c r="BL33" s="229">
        <v>-0.3664</v>
      </c>
      <c r="BM33" s="230">
        <v>1363</v>
      </c>
      <c r="BN33" s="230">
        <v>1964</v>
      </c>
      <c r="BO33" s="228">
        <v>-601</v>
      </c>
      <c r="BP33" s="229">
        <v>-0.30580000000000002</v>
      </c>
      <c r="BQ33" s="230">
        <v>4970</v>
      </c>
      <c r="BR33" s="230">
        <v>7947</v>
      </c>
      <c r="BS33" s="230">
        <v>-2977</v>
      </c>
      <c r="BT33" s="229">
        <v>-0.37459999999999999</v>
      </c>
      <c r="BU33" s="230">
        <v>7465210</v>
      </c>
      <c r="BV33" s="230">
        <v>17135469</v>
      </c>
      <c r="BW33" s="230">
        <v>-9670259</v>
      </c>
      <c r="BX33" s="229">
        <v>-0.56430000000000002</v>
      </c>
      <c r="BY33" s="230">
        <v>11220</v>
      </c>
      <c r="BZ33" s="230">
        <v>11238</v>
      </c>
      <c r="CA33" s="228">
        <v>-18</v>
      </c>
      <c r="CB33" s="229">
        <v>-1.6000000000000001E-3</v>
      </c>
      <c r="CC33" s="230">
        <v>8358</v>
      </c>
      <c r="CD33" s="230">
        <v>8473</v>
      </c>
      <c r="CE33" s="228">
        <v>-115</v>
      </c>
      <c r="CF33" s="229">
        <v>-1.35E-2</v>
      </c>
      <c r="CG33" s="230">
        <v>1923</v>
      </c>
      <c r="CH33" s="230">
        <v>1828</v>
      </c>
      <c r="CI33" s="228">
        <v>94</v>
      </c>
      <c r="CJ33" s="229">
        <v>5.16E-2</v>
      </c>
      <c r="CK33" s="228">
        <v>940</v>
      </c>
      <c r="CL33" s="228">
        <v>938</v>
      </c>
      <c r="CM33" s="228">
        <v>2</v>
      </c>
      <c r="CN33" s="229">
        <v>2.2000000000000001E-3</v>
      </c>
      <c r="CO33" s="230">
        <v>2533</v>
      </c>
      <c r="CP33" s="230">
        <v>2428</v>
      </c>
      <c r="CQ33" s="228">
        <v>106</v>
      </c>
      <c r="CR33" s="229">
        <v>4.36E-2</v>
      </c>
      <c r="CS33" s="230">
        <v>1544</v>
      </c>
      <c r="CT33" s="230">
        <v>1491</v>
      </c>
      <c r="CU33" s="228">
        <v>53</v>
      </c>
      <c r="CV33" s="229">
        <v>3.5299999999999998E-2</v>
      </c>
      <c r="CW33" s="230">
        <v>15298</v>
      </c>
      <c r="CX33" s="230">
        <v>15157</v>
      </c>
      <c r="CY33" s="228">
        <v>140</v>
      </c>
      <c r="CZ33" s="229">
        <v>9.2999999999999992E-3</v>
      </c>
      <c r="DA33" s="228">
        <v>22.81</v>
      </c>
      <c r="DB33" s="228">
        <v>24.12</v>
      </c>
      <c r="DC33" s="228">
        <v>-1.31</v>
      </c>
      <c r="DD33" s="228">
        <v>-1.31</v>
      </c>
      <c r="DE33" s="228">
        <v>24.21</v>
      </c>
      <c r="DF33" s="228">
        <v>24.27</v>
      </c>
      <c r="DG33" s="228">
        <v>-1.4</v>
      </c>
      <c r="DH33" s="228">
        <v>-0.06</v>
      </c>
      <c r="DI33" s="228">
        <v>22.06</v>
      </c>
      <c r="DJ33" s="228">
        <v>24.18</v>
      </c>
      <c r="DK33" s="228">
        <v>-2.12</v>
      </c>
      <c r="DL33" s="228">
        <v>-2.12</v>
      </c>
      <c r="DM33" s="228">
        <v>24.41</v>
      </c>
      <c r="DN33" s="228">
        <v>23.98</v>
      </c>
      <c r="DO33" s="228">
        <v>0.43</v>
      </c>
      <c r="DP33" s="228">
        <v>0.43</v>
      </c>
      <c r="DQ33" s="228">
        <v>0.61</v>
      </c>
      <c r="DR33" s="228">
        <v>0.61</v>
      </c>
      <c r="DS33" s="228">
        <v>0</v>
      </c>
      <c r="DT33" s="229">
        <v>0</v>
      </c>
      <c r="DU33" s="231">
        <v>1900</v>
      </c>
      <c r="DV33" s="231">
        <v>1800</v>
      </c>
      <c r="DW33" s="228">
        <v>0.47</v>
      </c>
      <c r="DX33" s="228">
        <v>0.43</v>
      </c>
      <c r="DY33" s="228">
        <v>0.04</v>
      </c>
      <c r="DZ33" s="229">
        <v>9.2999999999999999E-2</v>
      </c>
      <c r="EA33" s="229">
        <v>0.25509999999999999</v>
      </c>
      <c r="EB33" s="230">
        <v>14958225</v>
      </c>
      <c r="EC33" s="229">
        <v>5.7000000000000002E-3</v>
      </c>
      <c r="ED33" s="229">
        <v>0.25509999999999999</v>
      </c>
      <c r="EE33" s="228">
        <v>8.31</v>
      </c>
      <c r="EF33" s="229">
        <v>4.4999999999999997E-3</v>
      </c>
      <c r="EG33" s="230">
        <v>3966487</v>
      </c>
      <c r="EH33" s="230">
        <v>6335316</v>
      </c>
      <c r="EI33" s="229">
        <v>-0.37390000000000001</v>
      </c>
      <c r="EJ33" s="229">
        <v>0.53129999999999999</v>
      </c>
      <c r="EK33" s="231">
        <v>2971.56</v>
      </c>
      <c r="EL33" s="231">
        <v>1332.45</v>
      </c>
      <c r="EM33" s="228">
        <v>721.84</v>
      </c>
      <c r="EN33" s="228">
        <v>142.52000000000001</v>
      </c>
      <c r="EO33" s="231">
        <v>5025.84</v>
      </c>
      <c r="EP33" s="231">
        <v>8097.68</v>
      </c>
      <c r="EQ33" s="231">
        <v>-3071.83</v>
      </c>
      <c r="ER33" s="229">
        <v>-0.37930000000000003</v>
      </c>
      <c r="ES33" s="231">
        <v>2598.84</v>
      </c>
      <c r="ET33" s="231">
        <v>1504.4</v>
      </c>
      <c r="EU33" s="231">
        <v>11242.31</v>
      </c>
      <c r="EV33" s="231">
        <v>342859930</v>
      </c>
      <c r="EW33" s="231">
        <v>15345.56</v>
      </c>
      <c r="EX33" s="231">
        <v>15171.16</v>
      </c>
      <c r="EY33" s="228">
        <v>174.4</v>
      </c>
      <c r="EZ33" s="229">
        <v>1.15E-2</v>
      </c>
      <c r="FA33" s="229">
        <v>0.24129999999999999</v>
      </c>
      <c r="FB33" s="227" t="s">
        <v>693</v>
      </c>
      <c r="FC33">
        <f t="shared" si="0"/>
        <v>2862</v>
      </c>
    </row>
    <row r="34" spans="1:159" ht="17.25" thickBot="1" x14ac:dyDescent="0.3">
      <c r="A34" s="226">
        <v>46129</v>
      </c>
      <c r="B34" s="227" t="s">
        <v>184</v>
      </c>
      <c r="C34" s="227" t="s">
        <v>190</v>
      </c>
      <c r="D34" s="228">
        <v>2625</v>
      </c>
      <c r="E34" s="228">
        <v>11</v>
      </c>
      <c r="F34" s="228">
        <v>317.22000000000003</v>
      </c>
      <c r="G34" s="228">
        <v>309.98</v>
      </c>
      <c r="H34" s="228">
        <v>7.24</v>
      </c>
      <c r="I34" s="229">
        <v>2.3400000000000001E-2</v>
      </c>
      <c r="J34" s="228">
        <v>316.79000000000002</v>
      </c>
      <c r="K34" s="228">
        <v>309.26</v>
      </c>
      <c r="L34" s="228">
        <v>7.53</v>
      </c>
      <c r="M34" s="229">
        <v>2.4299999999999999E-2</v>
      </c>
      <c r="N34" s="228">
        <v>317.22000000000003</v>
      </c>
      <c r="O34" s="228">
        <v>309.98</v>
      </c>
      <c r="P34" s="228">
        <v>7.24</v>
      </c>
      <c r="Q34" s="229">
        <v>2.3400000000000001E-2</v>
      </c>
      <c r="R34" s="228">
        <v>318.72000000000003</v>
      </c>
      <c r="S34" s="228">
        <v>312.20999999999998</v>
      </c>
      <c r="T34" s="228">
        <v>6.51</v>
      </c>
      <c r="U34" s="229">
        <v>2.0899999999999998E-2</v>
      </c>
      <c r="V34" s="228">
        <v>320.14999999999998</v>
      </c>
      <c r="W34" s="228">
        <v>314</v>
      </c>
      <c r="X34" s="228">
        <v>6.15</v>
      </c>
      <c r="Y34" s="229">
        <v>1.9599999999999999E-2</v>
      </c>
      <c r="Z34" s="228">
        <v>0.43</v>
      </c>
      <c r="AA34" s="228">
        <v>0.72</v>
      </c>
      <c r="AB34" s="228">
        <v>-0.28999999999999998</v>
      </c>
      <c r="AC34" s="229">
        <v>1.4E-3</v>
      </c>
      <c r="AD34" s="228">
        <v>0.43</v>
      </c>
      <c r="AE34" s="228">
        <v>0.72</v>
      </c>
      <c r="AF34" s="228">
        <v>-0.28999999999999998</v>
      </c>
      <c r="AG34" s="229">
        <v>1.4E-3</v>
      </c>
      <c r="AH34" s="228">
        <v>1.93</v>
      </c>
      <c r="AI34" s="228">
        <v>2.95</v>
      </c>
      <c r="AJ34" s="228">
        <v>-1.02</v>
      </c>
      <c r="AK34" s="229">
        <v>6.1000000000000004E-3</v>
      </c>
      <c r="AL34" s="228">
        <v>3.36</v>
      </c>
      <c r="AM34" s="228">
        <v>4.74</v>
      </c>
      <c r="AN34" s="228">
        <v>-1.38</v>
      </c>
      <c r="AO34" s="229">
        <v>1.06E-2</v>
      </c>
      <c r="AP34" s="228">
        <v>313.02</v>
      </c>
      <c r="AQ34" s="228">
        <v>314.19</v>
      </c>
      <c r="AR34" s="228">
        <v>0</v>
      </c>
      <c r="AS34" s="230">
        <v>1175</v>
      </c>
      <c r="AT34" s="230">
        <v>1590</v>
      </c>
      <c r="AU34" s="228">
        <v>-415</v>
      </c>
      <c r="AV34" s="229">
        <v>-0.26119999999999999</v>
      </c>
      <c r="AW34" s="228">
        <v>995</v>
      </c>
      <c r="AX34" s="230">
        <v>1447</v>
      </c>
      <c r="AY34" s="228">
        <v>-452</v>
      </c>
      <c r="AZ34" s="229">
        <v>-0.31209999999999999</v>
      </c>
      <c r="BA34" s="228">
        <v>163</v>
      </c>
      <c r="BB34" s="228">
        <v>129</v>
      </c>
      <c r="BC34" s="228">
        <v>34</v>
      </c>
      <c r="BD34" s="229">
        <v>0.26150000000000001</v>
      </c>
      <c r="BE34" s="228">
        <v>17</v>
      </c>
      <c r="BF34" s="228">
        <v>14</v>
      </c>
      <c r="BG34" s="228">
        <v>3</v>
      </c>
      <c r="BH34" s="229">
        <v>0.19159999999999999</v>
      </c>
      <c r="BI34" s="230">
        <v>4722</v>
      </c>
      <c r="BJ34" s="230">
        <v>4669</v>
      </c>
      <c r="BK34" s="228">
        <v>53</v>
      </c>
      <c r="BL34" s="229">
        <v>1.14E-2</v>
      </c>
      <c r="BM34" s="230">
        <v>2821</v>
      </c>
      <c r="BN34" s="230">
        <v>2022</v>
      </c>
      <c r="BO34" s="228">
        <v>799</v>
      </c>
      <c r="BP34" s="229">
        <v>0.39529999999999998</v>
      </c>
      <c r="BQ34" s="230">
        <v>8718</v>
      </c>
      <c r="BR34" s="230">
        <v>8281</v>
      </c>
      <c r="BS34" s="228">
        <v>437</v>
      </c>
      <c r="BT34" s="229">
        <v>5.28E-2</v>
      </c>
      <c r="BU34" s="230">
        <v>26045345</v>
      </c>
      <c r="BV34" s="230">
        <v>29471776</v>
      </c>
      <c r="BW34" s="230">
        <v>-3426431</v>
      </c>
      <c r="BX34" s="229">
        <v>-0.1163</v>
      </c>
      <c r="BY34" s="230">
        <v>3165</v>
      </c>
      <c r="BZ34" s="230">
        <v>3178</v>
      </c>
      <c r="CA34" s="228">
        <v>-13</v>
      </c>
      <c r="CB34" s="229">
        <v>-4.0000000000000001E-3</v>
      </c>
      <c r="CC34" s="230">
        <v>3006</v>
      </c>
      <c r="CD34" s="230">
        <v>3046</v>
      </c>
      <c r="CE34" s="228">
        <v>-40</v>
      </c>
      <c r="CF34" s="229">
        <v>-1.32E-2</v>
      </c>
      <c r="CG34" s="228">
        <v>143</v>
      </c>
      <c r="CH34" s="228">
        <v>115</v>
      </c>
      <c r="CI34" s="228">
        <v>29</v>
      </c>
      <c r="CJ34" s="229">
        <v>0.24909999999999999</v>
      </c>
      <c r="CK34" s="228">
        <v>16</v>
      </c>
      <c r="CL34" s="228">
        <v>18</v>
      </c>
      <c r="CM34" s="228">
        <v>-1</v>
      </c>
      <c r="CN34" s="229">
        <v>-7.1099999999999997E-2</v>
      </c>
      <c r="CO34" s="230">
        <v>1389</v>
      </c>
      <c r="CP34" s="230">
        <v>1343</v>
      </c>
      <c r="CQ34" s="228">
        <v>47</v>
      </c>
      <c r="CR34" s="229">
        <v>3.4799999999999998E-2</v>
      </c>
      <c r="CS34" s="230">
        <v>1229</v>
      </c>
      <c r="CT34" s="230">
        <v>1225</v>
      </c>
      <c r="CU34" s="228">
        <v>4</v>
      </c>
      <c r="CV34" s="229">
        <v>3.0000000000000001E-3</v>
      </c>
      <c r="CW34" s="230">
        <v>5783</v>
      </c>
      <c r="CX34" s="230">
        <v>5746</v>
      </c>
      <c r="CY34" s="228">
        <v>38</v>
      </c>
      <c r="CZ34" s="229">
        <v>6.4999999999999997E-3</v>
      </c>
      <c r="DA34" s="228">
        <v>40.03</v>
      </c>
      <c r="DB34" s="228">
        <v>45.78</v>
      </c>
      <c r="DC34" s="228">
        <v>-5.75</v>
      </c>
      <c r="DD34" s="228">
        <v>-5.75</v>
      </c>
      <c r="DE34" s="228">
        <v>47.37</v>
      </c>
      <c r="DF34" s="228">
        <v>47.38</v>
      </c>
      <c r="DG34" s="228">
        <v>-7.34</v>
      </c>
      <c r="DH34" s="228">
        <v>-0.01</v>
      </c>
      <c r="DI34" s="228">
        <v>38.44</v>
      </c>
      <c r="DJ34" s="228">
        <v>44.99</v>
      </c>
      <c r="DK34" s="228">
        <v>-6.55</v>
      </c>
      <c r="DL34" s="228">
        <v>-6.55</v>
      </c>
      <c r="DM34" s="228">
        <v>42.69</v>
      </c>
      <c r="DN34" s="228">
        <v>47.62</v>
      </c>
      <c r="DO34" s="228">
        <v>-4.93</v>
      </c>
      <c r="DP34" s="228">
        <v>-4.93</v>
      </c>
      <c r="DQ34" s="228">
        <v>0.88</v>
      </c>
      <c r="DR34" s="228">
        <v>0.91</v>
      </c>
      <c r="DS34" s="228">
        <v>-0.03</v>
      </c>
      <c r="DT34" s="229">
        <v>-3.3000000000000002E-2</v>
      </c>
      <c r="DU34" s="228">
        <v>300</v>
      </c>
      <c r="DV34" s="228">
        <v>310</v>
      </c>
      <c r="DW34" s="228">
        <v>0.6</v>
      </c>
      <c r="DX34" s="228">
        <v>0.43</v>
      </c>
      <c r="DY34" s="228">
        <v>0.17</v>
      </c>
      <c r="DZ34" s="229">
        <v>0.39529999999999998</v>
      </c>
      <c r="EA34" s="229">
        <v>5.04E-2</v>
      </c>
      <c r="EB34" s="230">
        <v>4168500</v>
      </c>
      <c r="EC34" s="229">
        <v>4.7000000000000002E-3</v>
      </c>
      <c r="ED34" s="229">
        <v>5.04E-2</v>
      </c>
      <c r="EE34" s="228">
        <v>1.17</v>
      </c>
      <c r="EF34" s="229">
        <v>3.7000000000000002E-3</v>
      </c>
      <c r="EG34" s="230">
        <v>8067151</v>
      </c>
      <c r="EH34" s="230">
        <v>13462571</v>
      </c>
      <c r="EI34" s="229">
        <v>-0.40079999999999999</v>
      </c>
      <c r="EJ34" s="229">
        <v>0.30969999999999998</v>
      </c>
      <c r="EK34" s="231">
        <v>4865.8100000000004</v>
      </c>
      <c r="EL34" s="231">
        <v>2660.24</v>
      </c>
      <c r="EM34" s="231">
        <v>1160</v>
      </c>
      <c r="EN34" s="228">
        <v>134.02000000000001</v>
      </c>
      <c r="EO34" s="231">
        <v>8686.0499999999993</v>
      </c>
      <c r="EP34" s="231">
        <v>8057.17</v>
      </c>
      <c r="EQ34" s="228">
        <v>628.88</v>
      </c>
      <c r="ER34" s="229">
        <v>7.8100000000000003E-2</v>
      </c>
      <c r="ES34" s="231">
        <v>1301.98</v>
      </c>
      <c r="ET34" s="231">
        <v>1074.6500000000001</v>
      </c>
      <c r="EU34" s="231">
        <v>3166.1</v>
      </c>
      <c r="EV34" s="231">
        <v>192361942</v>
      </c>
      <c r="EW34" s="231">
        <v>5542.73</v>
      </c>
      <c r="EX34" s="231">
        <v>5394.92</v>
      </c>
      <c r="EY34" s="228">
        <v>147.81</v>
      </c>
      <c r="EZ34" s="229">
        <v>2.7400000000000001E-2</v>
      </c>
      <c r="FA34" s="229">
        <v>0.94779999999999998</v>
      </c>
      <c r="FB34" s="227" t="s">
        <v>693</v>
      </c>
      <c r="FC34">
        <f t="shared" si="0"/>
        <v>159</v>
      </c>
    </row>
    <row r="35" spans="1:159" ht="17.25" thickBot="1" x14ac:dyDescent="0.3">
      <c r="A35" s="226">
        <v>46129</v>
      </c>
      <c r="B35" s="227" t="s">
        <v>170</v>
      </c>
      <c r="C35" s="227" t="s">
        <v>191</v>
      </c>
      <c r="D35" s="228">
        <v>2500</v>
      </c>
      <c r="E35" s="228">
        <v>11</v>
      </c>
      <c r="F35" s="228">
        <v>358.45</v>
      </c>
      <c r="G35" s="228">
        <v>350.8</v>
      </c>
      <c r="H35" s="228">
        <v>7.65</v>
      </c>
      <c r="I35" s="229">
        <v>2.18E-2</v>
      </c>
      <c r="J35" s="228">
        <v>358.1</v>
      </c>
      <c r="K35" s="228">
        <v>350.75</v>
      </c>
      <c r="L35" s="228">
        <v>7.35</v>
      </c>
      <c r="M35" s="229">
        <v>2.1000000000000001E-2</v>
      </c>
      <c r="N35" s="228">
        <v>358.45</v>
      </c>
      <c r="O35" s="228">
        <v>350.8</v>
      </c>
      <c r="P35" s="228">
        <v>7.65</v>
      </c>
      <c r="Q35" s="229">
        <v>2.18E-2</v>
      </c>
      <c r="R35" s="228">
        <v>360.55</v>
      </c>
      <c r="S35" s="228">
        <v>352.7</v>
      </c>
      <c r="T35" s="228">
        <v>7.85</v>
      </c>
      <c r="U35" s="229">
        <v>2.23E-2</v>
      </c>
      <c r="V35" s="228">
        <v>362.75</v>
      </c>
      <c r="W35" s="228">
        <v>354.8</v>
      </c>
      <c r="X35" s="228">
        <v>7.95</v>
      </c>
      <c r="Y35" s="229">
        <v>2.24E-2</v>
      </c>
      <c r="Z35" s="228">
        <v>0.35</v>
      </c>
      <c r="AA35" s="228">
        <v>0.05</v>
      </c>
      <c r="AB35" s="228">
        <v>0.3</v>
      </c>
      <c r="AC35" s="229">
        <v>1E-3</v>
      </c>
      <c r="AD35" s="228">
        <v>0.35</v>
      </c>
      <c r="AE35" s="228">
        <v>0.05</v>
      </c>
      <c r="AF35" s="228">
        <v>0.3</v>
      </c>
      <c r="AG35" s="229">
        <v>1E-3</v>
      </c>
      <c r="AH35" s="228">
        <v>2.4500000000000002</v>
      </c>
      <c r="AI35" s="228">
        <v>1.95</v>
      </c>
      <c r="AJ35" s="228">
        <v>0.5</v>
      </c>
      <c r="AK35" s="229">
        <v>6.7999999999999996E-3</v>
      </c>
      <c r="AL35" s="228">
        <v>4.6500000000000004</v>
      </c>
      <c r="AM35" s="228">
        <v>4.05</v>
      </c>
      <c r="AN35" s="228">
        <v>0.6</v>
      </c>
      <c r="AO35" s="229">
        <v>1.2999999999999999E-2</v>
      </c>
      <c r="AP35" s="228">
        <v>355.97</v>
      </c>
      <c r="AQ35" s="228">
        <v>357.95</v>
      </c>
      <c r="AR35" s="228">
        <v>0</v>
      </c>
      <c r="AS35" s="228">
        <v>327</v>
      </c>
      <c r="AT35" s="228">
        <v>198</v>
      </c>
      <c r="AU35" s="228">
        <v>129</v>
      </c>
      <c r="AV35" s="229">
        <v>0.65410000000000001</v>
      </c>
      <c r="AW35" s="228">
        <v>265</v>
      </c>
      <c r="AX35" s="228">
        <v>164</v>
      </c>
      <c r="AY35" s="228">
        <v>101</v>
      </c>
      <c r="AZ35" s="229">
        <v>0.61350000000000005</v>
      </c>
      <c r="BA35" s="228">
        <v>57</v>
      </c>
      <c r="BB35" s="228">
        <v>30</v>
      </c>
      <c r="BC35" s="228">
        <v>27</v>
      </c>
      <c r="BD35" s="229">
        <v>0.88529999999999998</v>
      </c>
      <c r="BE35" s="228">
        <v>5</v>
      </c>
      <c r="BF35" s="228">
        <v>3</v>
      </c>
      <c r="BG35" s="228">
        <v>2</v>
      </c>
      <c r="BH35" s="229">
        <v>0.54049999999999998</v>
      </c>
      <c r="BI35" s="230">
        <v>2153</v>
      </c>
      <c r="BJ35" s="228">
        <v>680</v>
      </c>
      <c r="BK35" s="230">
        <v>1474</v>
      </c>
      <c r="BL35" s="229">
        <v>2.1678000000000002</v>
      </c>
      <c r="BM35" s="228">
        <v>510</v>
      </c>
      <c r="BN35" s="228">
        <v>257</v>
      </c>
      <c r="BO35" s="228">
        <v>252</v>
      </c>
      <c r="BP35" s="229">
        <v>0.9798</v>
      </c>
      <c r="BQ35" s="230">
        <v>2991</v>
      </c>
      <c r="BR35" s="230">
        <v>1135</v>
      </c>
      <c r="BS35" s="230">
        <v>1855</v>
      </c>
      <c r="BT35" s="229">
        <v>1.6344000000000001</v>
      </c>
      <c r="BU35" s="230">
        <v>2494709</v>
      </c>
      <c r="BV35" s="230">
        <v>2753733</v>
      </c>
      <c r="BW35" s="230">
        <v>-259024</v>
      </c>
      <c r="BX35" s="229">
        <v>-9.4100000000000003E-2</v>
      </c>
      <c r="BY35" s="230">
        <v>1321</v>
      </c>
      <c r="BZ35" s="230">
        <v>1370</v>
      </c>
      <c r="CA35" s="228">
        <v>-49</v>
      </c>
      <c r="CB35" s="229">
        <v>-3.5799999999999998E-2</v>
      </c>
      <c r="CC35" s="230">
        <v>1209</v>
      </c>
      <c r="CD35" s="230">
        <v>1274</v>
      </c>
      <c r="CE35" s="228">
        <v>-65</v>
      </c>
      <c r="CF35" s="229">
        <v>-5.0700000000000002E-2</v>
      </c>
      <c r="CG35" s="228">
        <v>104</v>
      </c>
      <c r="CH35" s="228">
        <v>88</v>
      </c>
      <c r="CI35" s="228">
        <v>16</v>
      </c>
      <c r="CJ35" s="229">
        <v>0.17580000000000001</v>
      </c>
      <c r="CK35" s="228">
        <v>8</v>
      </c>
      <c r="CL35" s="228">
        <v>8</v>
      </c>
      <c r="CM35" s="228">
        <v>0</v>
      </c>
      <c r="CN35" s="229">
        <v>1.14E-2</v>
      </c>
      <c r="CO35" s="228">
        <v>871</v>
      </c>
      <c r="CP35" s="228">
        <v>857</v>
      </c>
      <c r="CQ35" s="228">
        <v>14</v>
      </c>
      <c r="CR35" s="229">
        <v>1.6299999999999999E-2</v>
      </c>
      <c r="CS35" s="228">
        <v>557</v>
      </c>
      <c r="CT35" s="228">
        <v>545</v>
      </c>
      <c r="CU35" s="228">
        <v>11</v>
      </c>
      <c r="CV35" s="229">
        <v>2.0899999999999998E-2</v>
      </c>
      <c r="CW35" s="230">
        <v>2748</v>
      </c>
      <c r="CX35" s="230">
        <v>2772</v>
      </c>
      <c r="CY35" s="228">
        <v>-24</v>
      </c>
      <c r="CZ35" s="229">
        <v>-8.5000000000000006E-3</v>
      </c>
      <c r="DA35" s="228">
        <v>31.91</v>
      </c>
      <c r="DB35" s="228">
        <v>33.24</v>
      </c>
      <c r="DC35" s="228">
        <v>-1.33</v>
      </c>
      <c r="DD35" s="228">
        <v>-1.33</v>
      </c>
      <c r="DE35" s="228">
        <v>36.340000000000003</v>
      </c>
      <c r="DF35" s="228">
        <v>36.32</v>
      </c>
      <c r="DG35" s="228">
        <v>-4.43</v>
      </c>
      <c r="DH35" s="228">
        <v>0.02</v>
      </c>
      <c r="DI35" s="228">
        <v>31.36</v>
      </c>
      <c r="DJ35" s="228">
        <v>32.86</v>
      </c>
      <c r="DK35" s="228">
        <v>-1.5</v>
      </c>
      <c r="DL35" s="228">
        <v>-1.5</v>
      </c>
      <c r="DM35" s="228">
        <v>34.200000000000003</v>
      </c>
      <c r="DN35" s="228">
        <v>34.25</v>
      </c>
      <c r="DO35" s="228">
        <v>-0.05</v>
      </c>
      <c r="DP35" s="228">
        <v>-0.05</v>
      </c>
      <c r="DQ35" s="228">
        <v>0.64</v>
      </c>
      <c r="DR35" s="228">
        <v>0.64</v>
      </c>
      <c r="DS35" s="228">
        <v>0</v>
      </c>
      <c r="DT35" s="229">
        <v>0</v>
      </c>
      <c r="DU35" s="228">
        <v>370</v>
      </c>
      <c r="DV35" s="228">
        <v>340</v>
      </c>
      <c r="DW35" s="228">
        <v>0.24</v>
      </c>
      <c r="DX35" s="228">
        <v>0.38</v>
      </c>
      <c r="DY35" s="228">
        <v>-0.14000000000000001</v>
      </c>
      <c r="DZ35" s="229">
        <v>-0.36840000000000001</v>
      </c>
      <c r="EA35" s="229">
        <v>8.4500000000000006E-2</v>
      </c>
      <c r="EB35" s="230">
        <v>2680000</v>
      </c>
      <c r="EC35" s="229">
        <v>5.8999999999999999E-3</v>
      </c>
      <c r="ED35" s="229">
        <v>8.4500000000000006E-2</v>
      </c>
      <c r="EE35" s="228">
        <v>1.98</v>
      </c>
      <c r="EF35" s="229">
        <v>5.5999999999999999E-3</v>
      </c>
      <c r="EG35" s="230">
        <v>1185108</v>
      </c>
      <c r="EH35" s="230">
        <v>1608434</v>
      </c>
      <c r="EI35" s="229">
        <v>-0.26319999999999999</v>
      </c>
      <c r="EJ35" s="229">
        <v>0.47499999999999998</v>
      </c>
      <c r="EK35" s="231">
        <v>2217.7800000000002</v>
      </c>
      <c r="EL35" s="228">
        <v>498.35</v>
      </c>
      <c r="EM35" s="228">
        <v>325.55</v>
      </c>
      <c r="EN35" s="228">
        <v>22.11</v>
      </c>
      <c r="EO35" s="231">
        <v>3041.68</v>
      </c>
      <c r="EP35" s="231">
        <v>1143.6099999999999</v>
      </c>
      <c r="EQ35" s="231">
        <v>1898.07</v>
      </c>
      <c r="ER35" s="229">
        <v>1.6597</v>
      </c>
      <c r="ES35" s="228">
        <v>908.93</v>
      </c>
      <c r="ET35" s="228">
        <v>542.79</v>
      </c>
      <c r="EU35" s="231">
        <v>1321.68</v>
      </c>
      <c r="EV35" s="231">
        <v>108004143</v>
      </c>
      <c r="EW35" s="231">
        <v>2773.4</v>
      </c>
      <c r="EX35" s="231">
        <v>2762.9</v>
      </c>
      <c r="EY35" s="228">
        <v>10.5</v>
      </c>
      <c r="EZ35" s="229">
        <v>3.8E-3</v>
      </c>
      <c r="FA35" s="229">
        <v>0.70989999999999998</v>
      </c>
      <c r="FB35" s="227" t="s">
        <v>693</v>
      </c>
      <c r="FC35">
        <f t="shared" si="0"/>
        <v>112</v>
      </c>
    </row>
    <row r="36" spans="1:159" ht="17.25" thickBot="1" x14ac:dyDescent="0.3">
      <c r="A36" s="226">
        <v>46129</v>
      </c>
      <c r="B36" s="227" t="s">
        <v>184</v>
      </c>
      <c r="C36" s="227" t="s">
        <v>677</v>
      </c>
      <c r="D36" s="228">
        <v>325</v>
      </c>
      <c r="E36" s="228">
        <v>11</v>
      </c>
      <c r="F36" s="231">
        <v>1856.5</v>
      </c>
      <c r="G36" s="231">
        <v>1839.5</v>
      </c>
      <c r="H36" s="228">
        <v>17</v>
      </c>
      <c r="I36" s="229">
        <v>9.1999999999999998E-3</v>
      </c>
      <c r="J36" s="231">
        <v>1866.1</v>
      </c>
      <c r="K36" s="231">
        <v>1849.3</v>
      </c>
      <c r="L36" s="228">
        <v>16.8</v>
      </c>
      <c r="M36" s="229">
        <v>9.1000000000000004E-3</v>
      </c>
      <c r="N36" s="231">
        <v>1856.5</v>
      </c>
      <c r="O36" s="231">
        <v>1839.5</v>
      </c>
      <c r="P36" s="228">
        <v>17</v>
      </c>
      <c r="Q36" s="229">
        <v>9.1999999999999998E-3</v>
      </c>
      <c r="R36" s="231">
        <v>1837.2</v>
      </c>
      <c r="S36" s="231">
        <v>1824.2</v>
      </c>
      <c r="T36" s="228">
        <v>13</v>
      </c>
      <c r="U36" s="229">
        <v>7.1000000000000004E-3</v>
      </c>
      <c r="V36" s="231">
        <v>1805</v>
      </c>
      <c r="W36" s="231">
        <v>1805</v>
      </c>
      <c r="X36" s="228">
        <v>0</v>
      </c>
      <c r="Y36" s="229">
        <v>0</v>
      </c>
      <c r="Z36" s="228">
        <v>-9.6</v>
      </c>
      <c r="AA36" s="228">
        <v>-9.8000000000000007</v>
      </c>
      <c r="AB36" s="228">
        <v>0.2</v>
      </c>
      <c r="AC36" s="229">
        <v>-5.1000000000000004E-3</v>
      </c>
      <c r="AD36" s="228">
        <v>-9.6</v>
      </c>
      <c r="AE36" s="228">
        <v>-9.8000000000000007</v>
      </c>
      <c r="AF36" s="228">
        <v>0.2</v>
      </c>
      <c r="AG36" s="229">
        <v>-5.1000000000000004E-3</v>
      </c>
      <c r="AH36" s="228">
        <v>-28.9</v>
      </c>
      <c r="AI36" s="228">
        <v>-25.1</v>
      </c>
      <c r="AJ36" s="228">
        <v>-3.8</v>
      </c>
      <c r="AK36" s="229">
        <v>-1.55E-2</v>
      </c>
      <c r="AL36" s="228">
        <v>-61.1</v>
      </c>
      <c r="AM36" s="228">
        <v>-44.3</v>
      </c>
      <c r="AN36" s="228">
        <v>-16.8</v>
      </c>
      <c r="AO36" s="229">
        <v>-3.27E-2</v>
      </c>
      <c r="AP36" s="231">
        <v>1841.28</v>
      </c>
      <c r="AQ36" s="231">
        <v>1819.61</v>
      </c>
      <c r="AR36" s="228">
        <v>0</v>
      </c>
      <c r="AS36" s="228">
        <v>260</v>
      </c>
      <c r="AT36" s="228">
        <v>331</v>
      </c>
      <c r="AU36" s="228">
        <v>-72</v>
      </c>
      <c r="AV36" s="229">
        <v>-0.2165</v>
      </c>
      <c r="AW36" s="228">
        <v>189</v>
      </c>
      <c r="AX36" s="228">
        <v>261</v>
      </c>
      <c r="AY36" s="228">
        <v>-72</v>
      </c>
      <c r="AZ36" s="229">
        <v>-0.27710000000000001</v>
      </c>
      <c r="BA36" s="228">
        <v>71</v>
      </c>
      <c r="BB36" s="228">
        <v>70</v>
      </c>
      <c r="BC36" s="228">
        <v>1</v>
      </c>
      <c r="BD36" s="229">
        <v>1.9099999999999999E-2</v>
      </c>
      <c r="BE36" s="228">
        <v>0</v>
      </c>
      <c r="BF36" s="228">
        <v>1</v>
      </c>
      <c r="BG36" s="228">
        <v>-1</v>
      </c>
      <c r="BH36" s="229">
        <v>-1</v>
      </c>
      <c r="BI36" s="228">
        <v>324</v>
      </c>
      <c r="BJ36" s="230">
        <v>1270</v>
      </c>
      <c r="BK36" s="228">
        <v>-946</v>
      </c>
      <c r="BL36" s="229">
        <v>-0.74490000000000001</v>
      </c>
      <c r="BM36" s="228">
        <v>167</v>
      </c>
      <c r="BN36" s="228">
        <v>375</v>
      </c>
      <c r="BO36" s="228">
        <v>-208</v>
      </c>
      <c r="BP36" s="229">
        <v>-0.55449999999999999</v>
      </c>
      <c r="BQ36" s="228">
        <v>751</v>
      </c>
      <c r="BR36" s="230">
        <v>1977</v>
      </c>
      <c r="BS36" s="230">
        <v>-1226</v>
      </c>
      <c r="BT36" s="229">
        <v>-0.62019999999999997</v>
      </c>
      <c r="BU36" s="230">
        <v>455812</v>
      </c>
      <c r="BV36" s="230">
        <v>1596922</v>
      </c>
      <c r="BW36" s="230">
        <v>-1141110</v>
      </c>
      <c r="BX36" s="229">
        <v>-0.71460000000000001</v>
      </c>
      <c r="BY36" s="228">
        <v>660</v>
      </c>
      <c r="BZ36" s="228">
        <v>596</v>
      </c>
      <c r="CA36" s="228">
        <v>64</v>
      </c>
      <c r="CB36" s="229">
        <v>0.10730000000000001</v>
      </c>
      <c r="CC36" s="228">
        <v>479</v>
      </c>
      <c r="CD36" s="228">
        <v>465</v>
      </c>
      <c r="CE36" s="228">
        <v>14</v>
      </c>
      <c r="CF36" s="229">
        <v>0.03</v>
      </c>
      <c r="CG36" s="228">
        <v>180</v>
      </c>
      <c r="CH36" s="228">
        <v>130</v>
      </c>
      <c r="CI36" s="228">
        <v>50</v>
      </c>
      <c r="CJ36" s="229">
        <v>0.38450000000000001</v>
      </c>
      <c r="CK36" s="228">
        <v>1</v>
      </c>
      <c r="CL36" s="228">
        <v>1</v>
      </c>
      <c r="CM36" s="228">
        <v>0</v>
      </c>
      <c r="CN36" s="229">
        <v>0</v>
      </c>
      <c r="CO36" s="228">
        <v>289</v>
      </c>
      <c r="CP36" s="228">
        <v>293</v>
      </c>
      <c r="CQ36" s="228">
        <v>-5</v>
      </c>
      <c r="CR36" s="229">
        <v>-1.5599999999999999E-2</v>
      </c>
      <c r="CS36" s="228">
        <v>181</v>
      </c>
      <c r="CT36" s="228">
        <v>178</v>
      </c>
      <c r="CU36" s="228">
        <v>3</v>
      </c>
      <c r="CV36" s="229">
        <v>1.6199999999999999E-2</v>
      </c>
      <c r="CW36" s="230">
        <v>1130</v>
      </c>
      <c r="CX36" s="230">
        <v>1068</v>
      </c>
      <c r="CY36" s="228">
        <v>62</v>
      </c>
      <c r="CZ36" s="229">
        <v>5.8299999999999998E-2</v>
      </c>
      <c r="DA36" s="228">
        <v>40.380000000000003</v>
      </c>
      <c r="DB36" s="228">
        <v>39.94</v>
      </c>
      <c r="DC36" s="228">
        <v>0.44</v>
      </c>
      <c r="DD36" s="228">
        <v>0.44</v>
      </c>
      <c r="DE36" s="228">
        <v>42.65</v>
      </c>
      <c r="DF36" s="228">
        <v>42.74</v>
      </c>
      <c r="DG36" s="228">
        <v>-2.27</v>
      </c>
      <c r="DH36" s="228">
        <v>-0.09</v>
      </c>
      <c r="DI36" s="228">
        <v>38.1</v>
      </c>
      <c r="DJ36" s="228">
        <v>39.479999999999997</v>
      </c>
      <c r="DK36" s="228">
        <v>-1.38</v>
      </c>
      <c r="DL36" s="228">
        <v>-1.38</v>
      </c>
      <c r="DM36" s="228">
        <v>44.79</v>
      </c>
      <c r="DN36" s="228">
        <v>41.51</v>
      </c>
      <c r="DO36" s="228">
        <v>3.28</v>
      </c>
      <c r="DP36" s="228">
        <v>3.28</v>
      </c>
      <c r="DQ36" s="228">
        <v>0.63</v>
      </c>
      <c r="DR36" s="228">
        <v>0.61</v>
      </c>
      <c r="DS36" s="228">
        <v>0.02</v>
      </c>
      <c r="DT36" s="229">
        <v>3.2800000000000003E-2</v>
      </c>
      <c r="DU36" s="231">
        <v>1960</v>
      </c>
      <c r="DV36" s="231">
        <v>1500</v>
      </c>
      <c r="DW36" s="228">
        <v>0.52</v>
      </c>
      <c r="DX36" s="228">
        <v>0.3</v>
      </c>
      <c r="DY36" s="228">
        <v>0.22</v>
      </c>
      <c r="DZ36" s="229">
        <v>0.73329999999999995</v>
      </c>
      <c r="EA36" s="229">
        <v>0.27489999999999998</v>
      </c>
      <c r="EB36" s="230">
        <v>708175</v>
      </c>
      <c r="EC36" s="229">
        <v>-1.04E-2</v>
      </c>
      <c r="ED36" s="229">
        <v>0.27489999999999998</v>
      </c>
      <c r="EE36" s="228">
        <v>-21.67</v>
      </c>
      <c r="EF36" s="229">
        <v>-1.18E-2</v>
      </c>
      <c r="EG36" s="230">
        <v>160540</v>
      </c>
      <c r="EH36" s="230">
        <v>614502</v>
      </c>
      <c r="EI36" s="229">
        <v>-0.73870000000000002</v>
      </c>
      <c r="EJ36" s="229">
        <v>0.35220000000000001</v>
      </c>
      <c r="EK36" s="228">
        <v>341.72</v>
      </c>
      <c r="EL36" s="228">
        <v>153.22999999999999</v>
      </c>
      <c r="EM36" s="228">
        <v>256.61</v>
      </c>
      <c r="EN36" s="228">
        <v>45.31</v>
      </c>
      <c r="EO36" s="228">
        <v>751.57</v>
      </c>
      <c r="EP36" s="231">
        <v>2012.7</v>
      </c>
      <c r="EQ36" s="231">
        <v>-1261.1400000000001</v>
      </c>
      <c r="ER36" s="229">
        <v>-0.62660000000000005</v>
      </c>
      <c r="ES36" s="228">
        <v>283.18</v>
      </c>
      <c r="ET36" s="228">
        <v>160.66999999999999</v>
      </c>
      <c r="EU36" s="228">
        <v>658.35</v>
      </c>
      <c r="EV36" s="231">
        <v>15745076</v>
      </c>
      <c r="EW36" s="231">
        <v>1102.2</v>
      </c>
      <c r="EX36" s="231">
        <v>1033.51</v>
      </c>
      <c r="EY36" s="228">
        <v>68.69</v>
      </c>
      <c r="EZ36" s="229">
        <v>6.6500000000000004E-2</v>
      </c>
      <c r="FA36" s="229">
        <v>0.3866</v>
      </c>
      <c r="FB36" s="227" t="s">
        <v>555</v>
      </c>
      <c r="FC36">
        <f t="shared" si="0"/>
        <v>181</v>
      </c>
    </row>
    <row r="37" spans="1:159" ht="17.25" thickBot="1" x14ac:dyDescent="0.3">
      <c r="A37" s="226">
        <v>46129</v>
      </c>
      <c r="B37" s="227" t="s">
        <v>162</v>
      </c>
      <c r="C37" s="227" t="s">
        <v>192</v>
      </c>
      <c r="D37" s="228">
        <v>25</v>
      </c>
      <c r="E37" s="228">
        <v>11</v>
      </c>
      <c r="F37" s="231">
        <v>37580</v>
      </c>
      <c r="G37" s="231">
        <v>37570</v>
      </c>
      <c r="H37" s="228">
        <v>10</v>
      </c>
      <c r="I37" s="229">
        <v>2.9999999999999997E-4</v>
      </c>
      <c r="J37" s="231">
        <v>37505</v>
      </c>
      <c r="K37" s="231">
        <v>37440</v>
      </c>
      <c r="L37" s="228">
        <v>65</v>
      </c>
      <c r="M37" s="229">
        <v>1.6999999999999999E-3</v>
      </c>
      <c r="N37" s="231">
        <v>37580</v>
      </c>
      <c r="O37" s="231">
        <v>37570</v>
      </c>
      <c r="P37" s="228">
        <v>10</v>
      </c>
      <c r="Q37" s="229">
        <v>2.9999999999999997E-4</v>
      </c>
      <c r="R37" s="231">
        <v>37730</v>
      </c>
      <c r="S37" s="231">
        <v>37710</v>
      </c>
      <c r="T37" s="228">
        <v>20</v>
      </c>
      <c r="U37" s="229">
        <v>5.0000000000000001E-4</v>
      </c>
      <c r="V37" s="231">
        <v>38015</v>
      </c>
      <c r="W37" s="231">
        <v>37825</v>
      </c>
      <c r="X37" s="228">
        <v>190</v>
      </c>
      <c r="Y37" s="229">
        <v>5.0000000000000001E-3</v>
      </c>
      <c r="Z37" s="228">
        <v>75</v>
      </c>
      <c r="AA37" s="228">
        <v>130</v>
      </c>
      <c r="AB37" s="228">
        <v>-55</v>
      </c>
      <c r="AC37" s="229">
        <v>2E-3</v>
      </c>
      <c r="AD37" s="228">
        <v>75</v>
      </c>
      <c r="AE37" s="228">
        <v>130</v>
      </c>
      <c r="AF37" s="228">
        <v>-55</v>
      </c>
      <c r="AG37" s="229">
        <v>2E-3</v>
      </c>
      <c r="AH37" s="228">
        <v>225</v>
      </c>
      <c r="AI37" s="228">
        <v>270</v>
      </c>
      <c r="AJ37" s="228">
        <v>-45</v>
      </c>
      <c r="AK37" s="229">
        <v>6.0000000000000001E-3</v>
      </c>
      <c r="AL37" s="228">
        <v>510</v>
      </c>
      <c r="AM37" s="228">
        <v>385</v>
      </c>
      <c r="AN37" s="228">
        <v>125</v>
      </c>
      <c r="AO37" s="229">
        <v>1.3599999999999999E-2</v>
      </c>
      <c r="AP37" s="231">
        <v>37655.879999999997</v>
      </c>
      <c r="AQ37" s="231">
        <v>37838.199999999997</v>
      </c>
      <c r="AR37" s="228">
        <v>0</v>
      </c>
      <c r="AS37" s="228">
        <v>106</v>
      </c>
      <c r="AT37" s="228">
        <v>158</v>
      </c>
      <c r="AU37" s="228">
        <v>-51</v>
      </c>
      <c r="AV37" s="229">
        <v>-0.32500000000000001</v>
      </c>
      <c r="AW37" s="228">
        <v>95</v>
      </c>
      <c r="AX37" s="228">
        <v>144</v>
      </c>
      <c r="AY37" s="228">
        <v>-49</v>
      </c>
      <c r="AZ37" s="229">
        <v>-0.34160000000000001</v>
      </c>
      <c r="BA37" s="228">
        <v>10</v>
      </c>
      <c r="BB37" s="228">
        <v>12</v>
      </c>
      <c r="BC37" s="228">
        <v>-2</v>
      </c>
      <c r="BD37" s="229">
        <v>-0.15909999999999999</v>
      </c>
      <c r="BE37" s="228">
        <v>1</v>
      </c>
      <c r="BF37" s="228">
        <v>1</v>
      </c>
      <c r="BG37" s="228">
        <v>0</v>
      </c>
      <c r="BH37" s="229">
        <v>0</v>
      </c>
      <c r="BI37" s="228">
        <v>666</v>
      </c>
      <c r="BJ37" s="228">
        <v>914</v>
      </c>
      <c r="BK37" s="228">
        <v>-248</v>
      </c>
      <c r="BL37" s="229">
        <v>-0.27129999999999999</v>
      </c>
      <c r="BM37" s="230">
        <v>2504</v>
      </c>
      <c r="BN37" s="228">
        <v>955</v>
      </c>
      <c r="BO37" s="230">
        <v>1548</v>
      </c>
      <c r="BP37" s="229">
        <v>1.6209</v>
      </c>
      <c r="BQ37" s="230">
        <v>3276</v>
      </c>
      <c r="BR37" s="230">
        <v>2027</v>
      </c>
      <c r="BS37" s="230">
        <v>1249</v>
      </c>
      <c r="BT37" s="229">
        <v>0.61650000000000005</v>
      </c>
      <c r="BU37" s="230">
        <v>29588</v>
      </c>
      <c r="BV37" s="230">
        <v>32630</v>
      </c>
      <c r="BW37" s="230">
        <v>-3042</v>
      </c>
      <c r="BX37" s="229">
        <v>-9.3200000000000005E-2</v>
      </c>
      <c r="BY37" s="230">
        <v>1027</v>
      </c>
      <c r="BZ37" s="230">
        <v>1044</v>
      </c>
      <c r="CA37" s="228">
        <v>-16</v>
      </c>
      <c r="CB37" s="229">
        <v>-1.5800000000000002E-2</v>
      </c>
      <c r="CC37" s="228">
        <v>990</v>
      </c>
      <c r="CD37" s="230">
        <v>1009</v>
      </c>
      <c r="CE37" s="228">
        <v>-19</v>
      </c>
      <c r="CF37" s="229">
        <v>-1.84E-2</v>
      </c>
      <c r="CG37" s="228">
        <v>34</v>
      </c>
      <c r="CH37" s="228">
        <v>33</v>
      </c>
      <c r="CI37" s="228">
        <v>2</v>
      </c>
      <c r="CJ37" s="229">
        <v>5.16E-2</v>
      </c>
      <c r="CK37" s="228">
        <v>3</v>
      </c>
      <c r="CL37" s="228">
        <v>2</v>
      </c>
      <c r="CM37" s="228">
        <v>0</v>
      </c>
      <c r="CN37" s="229">
        <v>0.20830000000000001</v>
      </c>
      <c r="CO37" s="228">
        <v>954</v>
      </c>
      <c r="CP37" s="228">
        <v>958</v>
      </c>
      <c r="CQ37" s="228">
        <v>-3</v>
      </c>
      <c r="CR37" s="229">
        <v>-3.3999999999999998E-3</v>
      </c>
      <c r="CS37" s="228">
        <v>848</v>
      </c>
      <c r="CT37" s="228">
        <v>850</v>
      </c>
      <c r="CU37" s="228">
        <v>-2</v>
      </c>
      <c r="CV37" s="229">
        <v>-2.8999999999999998E-3</v>
      </c>
      <c r="CW37" s="230">
        <v>2829</v>
      </c>
      <c r="CX37" s="230">
        <v>2852</v>
      </c>
      <c r="CY37" s="228">
        <v>-22</v>
      </c>
      <c r="CZ37" s="229">
        <v>-7.7999999999999996E-3</v>
      </c>
      <c r="DA37" s="228">
        <v>38.76</v>
      </c>
      <c r="DB37" s="228">
        <v>41.97</v>
      </c>
      <c r="DC37" s="228">
        <v>-3.21</v>
      </c>
      <c r="DD37" s="228">
        <v>-3.21</v>
      </c>
      <c r="DE37" s="228">
        <v>35</v>
      </c>
      <c r="DF37" s="228">
        <v>35.08</v>
      </c>
      <c r="DG37" s="228">
        <v>3.76</v>
      </c>
      <c r="DH37" s="228">
        <v>-0.08</v>
      </c>
      <c r="DI37" s="228">
        <v>35</v>
      </c>
      <c r="DJ37" s="228">
        <v>35.950000000000003</v>
      </c>
      <c r="DK37" s="228">
        <v>-0.95</v>
      </c>
      <c r="DL37" s="228">
        <v>-0.95</v>
      </c>
      <c r="DM37" s="228">
        <v>39.76</v>
      </c>
      <c r="DN37" s="228">
        <v>47.73</v>
      </c>
      <c r="DO37" s="228">
        <v>-7.97</v>
      </c>
      <c r="DP37" s="228">
        <v>-7.97</v>
      </c>
      <c r="DQ37" s="228">
        <v>0.89</v>
      </c>
      <c r="DR37" s="228">
        <v>0.89</v>
      </c>
      <c r="DS37" s="228">
        <v>0</v>
      </c>
      <c r="DT37" s="229">
        <v>0</v>
      </c>
      <c r="DU37" s="231">
        <v>40000</v>
      </c>
      <c r="DV37" s="231">
        <v>30000</v>
      </c>
      <c r="DW37" s="228">
        <v>3.76</v>
      </c>
      <c r="DX37" s="228">
        <v>1.05</v>
      </c>
      <c r="DY37" s="228">
        <v>2.71</v>
      </c>
      <c r="DZ37" s="229">
        <v>2.581</v>
      </c>
      <c r="EA37" s="229">
        <v>3.6200000000000003E-2</v>
      </c>
      <c r="EB37" s="230">
        <v>9325</v>
      </c>
      <c r="EC37" s="229">
        <v>4.0000000000000001E-3</v>
      </c>
      <c r="ED37" s="229">
        <v>3.6200000000000003E-2</v>
      </c>
      <c r="EE37" s="228">
        <v>182.32</v>
      </c>
      <c r="EF37" s="229">
        <v>4.7999999999999996E-3</v>
      </c>
      <c r="EG37" s="230">
        <v>7703</v>
      </c>
      <c r="EH37" s="230">
        <v>11609</v>
      </c>
      <c r="EI37" s="229">
        <v>-0.33650000000000002</v>
      </c>
      <c r="EJ37" s="229">
        <v>0.26029999999999998</v>
      </c>
      <c r="EK37" s="228">
        <v>702.96</v>
      </c>
      <c r="EL37" s="231">
        <v>2038.56</v>
      </c>
      <c r="EM37" s="228">
        <v>106.63</v>
      </c>
      <c r="EN37" s="228">
        <v>36.07</v>
      </c>
      <c r="EO37" s="231">
        <v>2848.15</v>
      </c>
      <c r="EP37" s="231">
        <v>1955.58</v>
      </c>
      <c r="EQ37" s="228">
        <v>892.57</v>
      </c>
      <c r="ER37" s="229">
        <v>0.45639999999999997</v>
      </c>
      <c r="ES37" s="228">
        <v>943.39</v>
      </c>
      <c r="ET37" s="228">
        <v>737.08</v>
      </c>
      <c r="EU37" s="231">
        <v>1027.42</v>
      </c>
      <c r="EV37" s="231">
        <v>868841</v>
      </c>
      <c r="EW37" s="231">
        <v>2707.89</v>
      </c>
      <c r="EX37" s="231">
        <v>2734.67</v>
      </c>
      <c r="EY37" s="228">
        <v>-26.78</v>
      </c>
      <c r="EZ37" s="229">
        <v>-9.7999999999999997E-3</v>
      </c>
      <c r="FA37" s="229">
        <v>0.86660000000000004</v>
      </c>
      <c r="FB37" s="227" t="s">
        <v>693</v>
      </c>
      <c r="FC37">
        <f t="shared" si="0"/>
        <v>37</v>
      </c>
    </row>
    <row r="38" spans="1:159" ht="17.25" thickBot="1" x14ac:dyDescent="0.3">
      <c r="A38" s="226">
        <v>46129</v>
      </c>
      <c r="B38" s="227" t="s">
        <v>193</v>
      </c>
      <c r="C38" s="227" t="s">
        <v>194</v>
      </c>
      <c r="D38" s="228">
        <v>1975</v>
      </c>
      <c r="E38" s="228">
        <v>11</v>
      </c>
      <c r="F38" s="228">
        <v>313.05</v>
      </c>
      <c r="G38" s="228">
        <v>308.85000000000002</v>
      </c>
      <c r="H38" s="228">
        <v>4.2</v>
      </c>
      <c r="I38" s="229">
        <v>1.3599999999999999E-2</v>
      </c>
      <c r="J38" s="228">
        <v>312.10000000000002</v>
      </c>
      <c r="K38" s="228">
        <v>307.95</v>
      </c>
      <c r="L38" s="228">
        <v>4.1500000000000004</v>
      </c>
      <c r="M38" s="229">
        <v>1.35E-2</v>
      </c>
      <c r="N38" s="228">
        <v>313.05</v>
      </c>
      <c r="O38" s="228">
        <v>308.85000000000002</v>
      </c>
      <c r="P38" s="228">
        <v>4.2</v>
      </c>
      <c r="Q38" s="229">
        <v>1.3599999999999999E-2</v>
      </c>
      <c r="R38" s="228">
        <v>314.55</v>
      </c>
      <c r="S38" s="228">
        <v>310.45</v>
      </c>
      <c r="T38" s="228">
        <v>4.0999999999999996</v>
      </c>
      <c r="U38" s="229">
        <v>1.32E-2</v>
      </c>
      <c r="V38" s="228">
        <v>316.64999999999998</v>
      </c>
      <c r="W38" s="228">
        <v>312.05</v>
      </c>
      <c r="X38" s="228">
        <v>4.5999999999999996</v>
      </c>
      <c r="Y38" s="229">
        <v>1.47E-2</v>
      </c>
      <c r="Z38" s="228">
        <v>0.95</v>
      </c>
      <c r="AA38" s="228">
        <v>0.9</v>
      </c>
      <c r="AB38" s="228">
        <v>0.05</v>
      </c>
      <c r="AC38" s="229">
        <v>3.0000000000000001E-3</v>
      </c>
      <c r="AD38" s="228">
        <v>0.95</v>
      </c>
      <c r="AE38" s="228">
        <v>0.9</v>
      </c>
      <c r="AF38" s="228">
        <v>0.05</v>
      </c>
      <c r="AG38" s="229">
        <v>3.0000000000000001E-3</v>
      </c>
      <c r="AH38" s="228">
        <v>2.4500000000000002</v>
      </c>
      <c r="AI38" s="228">
        <v>2.5</v>
      </c>
      <c r="AJ38" s="228">
        <v>-0.05</v>
      </c>
      <c r="AK38" s="229">
        <v>7.9000000000000008E-3</v>
      </c>
      <c r="AL38" s="228">
        <v>4.55</v>
      </c>
      <c r="AM38" s="228">
        <v>4.0999999999999996</v>
      </c>
      <c r="AN38" s="228">
        <v>0.45</v>
      </c>
      <c r="AO38" s="229">
        <v>1.46E-2</v>
      </c>
      <c r="AP38" s="228">
        <v>311.77</v>
      </c>
      <c r="AQ38" s="228">
        <v>312.95999999999998</v>
      </c>
      <c r="AR38" s="228">
        <v>0</v>
      </c>
      <c r="AS38" s="228">
        <v>247</v>
      </c>
      <c r="AT38" s="228">
        <v>254</v>
      </c>
      <c r="AU38" s="228">
        <v>-7</v>
      </c>
      <c r="AV38" s="229">
        <v>-2.7E-2</v>
      </c>
      <c r="AW38" s="228">
        <v>214</v>
      </c>
      <c r="AX38" s="228">
        <v>225</v>
      </c>
      <c r="AY38" s="228">
        <v>-11</v>
      </c>
      <c r="AZ38" s="229">
        <v>-5.0500000000000003E-2</v>
      </c>
      <c r="BA38" s="228">
        <v>29</v>
      </c>
      <c r="BB38" s="228">
        <v>26</v>
      </c>
      <c r="BC38" s="228">
        <v>3</v>
      </c>
      <c r="BD38" s="229">
        <v>0.11559999999999999</v>
      </c>
      <c r="BE38" s="228">
        <v>4</v>
      </c>
      <c r="BF38" s="228">
        <v>2</v>
      </c>
      <c r="BG38" s="228">
        <v>1</v>
      </c>
      <c r="BH38" s="229">
        <v>0.63160000000000005</v>
      </c>
      <c r="BI38" s="230">
        <v>1098</v>
      </c>
      <c r="BJ38" s="228">
        <v>743</v>
      </c>
      <c r="BK38" s="228">
        <v>355</v>
      </c>
      <c r="BL38" s="229">
        <v>0.47749999999999998</v>
      </c>
      <c r="BM38" s="228">
        <v>527</v>
      </c>
      <c r="BN38" s="228">
        <v>438</v>
      </c>
      <c r="BO38" s="228">
        <v>89</v>
      </c>
      <c r="BP38" s="229">
        <v>0.2036</v>
      </c>
      <c r="BQ38" s="230">
        <v>1871</v>
      </c>
      <c r="BR38" s="230">
        <v>1434</v>
      </c>
      <c r="BS38" s="228">
        <v>437</v>
      </c>
      <c r="BT38" s="229">
        <v>0.30470000000000003</v>
      </c>
      <c r="BU38" s="230">
        <v>11291151</v>
      </c>
      <c r="BV38" s="230">
        <v>14433575</v>
      </c>
      <c r="BW38" s="230">
        <v>-3142424</v>
      </c>
      <c r="BX38" s="229">
        <v>-0.2177</v>
      </c>
      <c r="BY38" s="230">
        <v>1713</v>
      </c>
      <c r="BZ38" s="230">
        <v>1715</v>
      </c>
      <c r="CA38" s="228">
        <v>-2</v>
      </c>
      <c r="CB38" s="229">
        <v>-1E-3</v>
      </c>
      <c r="CC38" s="230">
        <v>1633</v>
      </c>
      <c r="CD38" s="230">
        <v>1637</v>
      </c>
      <c r="CE38" s="228">
        <v>-4</v>
      </c>
      <c r="CF38" s="229">
        <v>-2.3999999999999998E-3</v>
      </c>
      <c r="CG38" s="228">
        <v>74</v>
      </c>
      <c r="CH38" s="228">
        <v>73</v>
      </c>
      <c r="CI38" s="228">
        <v>1</v>
      </c>
      <c r="CJ38" s="229">
        <v>2.0400000000000001E-2</v>
      </c>
      <c r="CK38" s="228">
        <v>6</v>
      </c>
      <c r="CL38" s="228">
        <v>5</v>
      </c>
      <c r="CM38" s="228">
        <v>1</v>
      </c>
      <c r="CN38" s="229">
        <v>0.11899999999999999</v>
      </c>
      <c r="CO38" s="228">
        <v>714</v>
      </c>
      <c r="CP38" s="228">
        <v>702</v>
      </c>
      <c r="CQ38" s="228">
        <v>12</v>
      </c>
      <c r="CR38" s="229">
        <v>1.7399999999999999E-2</v>
      </c>
      <c r="CS38" s="228">
        <v>627</v>
      </c>
      <c r="CT38" s="228">
        <v>617</v>
      </c>
      <c r="CU38" s="228">
        <v>10</v>
      </c>
      <c r="CV38" s="229">
        <v>1.6E-2</v>
      </c>
      <c r="CW38" s="230">
        <v>3054</v>
      </c>
      <c r="CX38" s="230">
        <v>3034</v>
      </c>
      <c r="CY38" s="228">
        <v>20</v>
      </c>
      <c r="CZ38" s="229">
        <v>6.7000000000000002E-3</v>
      </c>
      <c r="DA38" s="228">
        <v>38.549999999999997</v>
      </c>
      <c r="DB38" s="228">
        <v>40.56</v>
      </c>
      <c r="DC38" s="228">
        <v>-2.0099999999999998</v>
      </c>
      <c r="DD38" s="228">
        <v>-2.0099999999999998</v>
      </c>
      <c r="DE38" s="228">
        <v>37.35</v>
      </c>
      <c r="DF38" s="228">
        <v>37.4</v>
      </c>
      <c r="DG38" s="228">
        <v>1.2</v>
      </c>
      <c r="DH38" s="228">
        <v>-0.05</v>
      </c>
      <c r="DI38" s="228">
        <v>37.909999999999997</v>
      </c>
      <c r="DJ38" s="228">
        <v>39.880000000000003</v>
      </c>
      <c r="DK38" s="228">
        <v>-1.97</v>
      </c>
      <c r="DL38" s="228">
        <v>-1.97</v>
      </c>
      <c r="DM38" s="228">
        <v>39.89</v>
      </c>
      <c r="DN38" s="228">
        <v>41.72</v>
      </c>
      <c r="DO38" s="228">
        <v>-1.83</v>
      </c>
      <c r="DP38" s="228">
        <v>-1.83</v>
      </c>
      <c r="DQ38" s="228">
        <v>0.88</v>
      </c>
      <c r="DR38" s="228">
        <v>0.88</v>
      </c>
      <c r="DS38" s="228">
        <v>0</v>
      </c>
      <c r="DT38" s="229">
        <v>0</v>
      </c>
      <c r="DU38" s="228">
        <v>350</v>
      </c>
      <c r="DV38" s="228">
        <v>300</v>
      </c>
      <c r="DW38" s="228">
        <v>0.48</v>
      </c>
      <c r="DX38" s="228">
        <v>0.59</v>
      </c>
      <c r="DY38" s="228">
        <v>-0.11</v>
      </c>
      <c r="DZ38" s="229">
        <v>-0.18640000000000001</v>
      </c>
      <c r="EA38" s="229">
        <v>4.6699999999999998E-2</v>
      </c>
      <c r="EB38" s="230">
        <v>2490475</v>
      </c>
      <c r="EC38" s="229">
        <v>4.7999999999999996E-3</v>
      </c>
      <c r="ED38" s="229">
        <v>4.6699999999999998E-2</v>
      </c>
      <c r="EE38" s="228">
        <v>1.19</v>
      </c>
      <c r="EF38" s="229">
        <v>3.8E-3</v>
      </c>
      <c r="EG38" s="230">
        <v>6893701</v>
      </c>
      <c r="EH38" s="230">
        <v>8357898</v>
      </c>
      <c r="EI38" s="229">
        <v>-0.17519999999999999</v>
      </c>
      <c r="EJ38" s="229">
        <v>0.61050000000000004</v>
      </c>
      <c r="EK38" s="231">
        <v>1158.46</v>
      </c>
      <c r="EL38" s="228">
        <v>512.58000000000004</v>
      </c>
      <c r="EM38" s="228">
        <v>246.02</v>
      </c>
      <c r="EN38" s="228">
        <v>55.92</v>
      </c>
      <c r="EO38" s="231">
        <v>1917.06</v>
      </c>
      <c r="EP38" s="231">
        <v>1455.49</v>
      </c>
      <c r="EQ38" s="228">
        <v>461.57</v>
      </c>
      <c r="ER38" s="229">
        <v>0.31709999999999999</v>
      </c>
      <c r="ES38" s="228">
        <v>723.75</v>
      </c>
      <c r="ET38" s="228">
        <v>577.02</v>
      </c>
      <c r="EU38" s="231">
        <v>1713.41</v>
      </c>
      <c r="EV38" s="231">
        <v>306020745</v>
      </c>
      <c r="EW38" s="231">
        <v>3014.18</v>
      </c>
      <c r="EX38" s="231">
        <v>2965.83</v>
      </c>
      <c r="EY38" s="228">
        <v>48.35</v>
      </c>
      <c r="EZ38" s="229">
        <v>1.6299999999999999E-2</v>
      </c>
      <c r="FA38" s="229">
        <v>0.31879999999999997</v>
      </c>
      <c r="FB38" s="227" t="s">
        <v>693</v>
      </c>
      <c r="FC38">
        <f t="shared" si="0"/>
        <v>80</v>
      </c>
    </row>
    <row r="39" spans="1:159" ht="17.25" thickBot="1" x14ac:dyDescent="0.3">
      <c r="A39" s="226">
        <v>46129</v>
      </c>
      <c r="B39" s="227" t="s">
        <v>168</v>
      </c>
      <c r="C39" s="227" t="s">
        <v>195</v>
      </c>
      <c r="D39" s="228">
        <v>125</v>
      </c>
      <c r="E39" s="228">
        <v>11</v>
      </c>
      <c r="F39" s="231">
        <v>5737.5</v>
      </c>
      <c r="G39" s="231">
        <v>5588</v>
      </c>
      <c r="H39" s="228">
        <v>149.5</v>
      </c>
      <c r="I39" s="229">
        <v>2.6800000000000001E-2</v>
      </c>
      <c r="J39" s="231">
        <v>5735.5</v>
      </c>
      <c r="K39" s="231">
        <v>5586</v>
      </c>
      <c r="L39" s="228">
        <v>149.5</v>
      </c>
      <c r="M39" s="229">
        <v>2.6800000000000001E-2</v>
      </c>
      <c r="N39" s="231">
        <v>5737.5</v>
      </c>
      <c r="O39" s="231">
        <v>5588</v>
      </c>
      <c r="P39" s="228">
        <v>149.5</v>
      </c>
      <c r="Q39" s="229">
        <v>2.6800000000000001E-2</v>
      </c>
      <c r="R39" s="231">
        <v>5771.5</v>
      </c>
      <c r="S39" s="231">
        <v>5623</v>
      </c>
      <c r="T39" s="228">
        <v>148.5</v>
      </c>
      <c r="U39" s="229">
        <v>2.64E-2</v>
      </c>
      <c r="V39" s="231">
        <v>5792</v>
      </c>
      <c r="W39" s="231">
        <v>5649</v>
      </c>
      <c r="X39" s="228">
        <v>143</v>
      </c>
      <c r="Y39" s="229">
        <v>2.53E-2</v>
      </c>
      <c r="Z39" s="228">
        <v>2</v>
      </c>
      <c r="AA39" s="228">
        <v>2</v>
      </c>
      <c r="AB39" s="228">
        <v>0</v>
      </c>
      <c r="AC39" s="229">
        <v>2.9999999999999997E-4</v>
      </c>
      <c r="AD39" s="228">
        <v>2</v>
      </c>
      <c r="AE39" s="228">
        <v>2</v>
      </c>
      <c r="AF39" s="228">
        <v>0</v>
      </c>
      <c r="AG39" s="229">
        <v>2.9999999999999997E-4</v>
      </c>
      <c r="AH39" s="228">
        <v>36</v>
      </c>
      <c r="AI39" s="228">
        <v>37</v>
      </c>
      <c r="AJ39" s="228">
        <v>-1</v>
      </c>
      <c r="AK39" s="229">
        <v>6.3E-3</v>
      </c>
      <c r="AL39" s="228">
        <v>56.5</v>
      </c>
      <c r="AM39" s="228">
        <v>63</v>
      </c>
      <c r="AN39" s="228">
        <v>-6.5</v>
      </c>
      <c r="AO39" s="229">
        <v>9.9000000000000008E-3</v>
      </c>
      <c r="AP39" s="231">
        <v>5706</v>
      </c>
      <c r="AQ39" s="231">
        <v>5724.4</v>
      </c>
      <c r="AR39" s="228">
        <v>0</v>
      </c>
      <c r="AS39" s="228">
        <v>251</v>
      </c>
      <c r="AT39" s="228">
        <v>230</v>
      </c>
      <c r="AU39" s="228">
        <v>21</v>
      </c>
      <c r="AV39" s="229">
        <v>9.1700000000000004E-2</v>
      </c>
      <c r="AW39" s="228">
        <v>235</v>
      </c>
      <c r="AX39" s="228">
        <v>213</v>
      </c>
      <c r="AY39" s="228">
        <v>22</v>
      </c>
      <c r="AZ39" s="229">
        <v>0.1048</v>
      </c>
      <c r="BA39" s="228">
        <v>15</v>
      </c>
      <c r="BB39" s="228">
        <v>16</v>
      </c>
      <c r="BC39" s="228">
        <v>-1</v>
      </c>
      <c r="BD39" s="229">
        <v>-5.8000000000000003E-2</v>
      </c>
      <c r="BE39" s="228">
        <v>1</v>
      </c>
      <c r="BF39" s="228">
        <v>1</v>
      </c>
      <c r="BG39" s="228">
        <v>0</v>
      </c>
      <c r="BH39" s="229">
        <v>-0.25</v>
      </c>
      <c r="BI39" s="230">
        <v>1436</v>
      </c>
      <c r="BJ39" s="228">
        <v>681</v>
      </c>
      <c r="BK39" s="228">
        <v>755</v>
      </c>
      <c r="BL39" s="229">
        <v>1.1085</v>
      </c>
      <c r="BM39" s="228">
        <v>405</v>
      </c>
      <c r="BN39" s="228">
        <v>294</v>
      </c>
      <c r="BO39" s="228">
        <v>112</v>
      </c>
      <c r="BP39" s="229">
        <v>0.38059999999999999</v>
      </c>
      <c r="BQ39" s="230">
        <v>2092</v>
      </c>
      <c r="BR39" s="230">
        <v>1205</v>
      </c>
      <c r="BS39" s="228">
        <v>888</v>
      </c>
      <c r="BT39" s="229">
        <v>0.73699999999999999</v>
      </c>
      <c r="BU39" s="230">
        <v>358878</v>
      </c>
      <c r="BV39" s="230">
        <v>465602</v>
      </c>
      <c r="BW39" s="230">
        <v>-106724</v>
      </c>
      <c r="BX39" s="229">
        <v>-0.22919999999999999</v>
      </c>
      <c r="BY39" s="230">
        <v>1601</v>
      </c>
      <c r="BZ39" s="230">
        <v>1577</v>
      </c>
      <c r="CA39" s="228">
        <v>24</v>
      </c>
      <c r="CB39" s="229">
        <v>1.5100000000000001E-2</v>
      </c>
      <c r="CC39" s="230">
        <v>1544</v>
      </c>
      <c r="CD39" s="230">
        <v>1519</v>
      </c>
      <c r="CE39" s="228">
        <v>24</v>
      </c>
      <c r="CF39" s="229">
        <v>1.6E-2</v>
      </c>
      <c r="CG39" s="228">
        <v>54</v>
      </c>
      <c r="CH39" s="228">
        <v>54</v>
      </c>
      <c r="CI39" s="228">
        <v>0</v>
      </c>
      <c r="CJ39" s="229">
        <v>0</v>
      </c>
      <c r="CK39" s="228">
        <v>3</v>
      </c>
      <c r="CL39" s="228">
        <v>4</v>
      </c>
      <c r="CM39" s="228">
        <v>-1</v>
      </c>
      <c r="CN39" s="229">
        <v>-0.1633</v>
      </c>
      <c r="CO39" s="228">
        <v>327</v>
      </c>
      <c r="CP39" s="228">
        <v>333</v>
      </c>
      <c r="CQ39" s="228">
        <v>-6</v>
      </c>
      <c r="CR39" s="229">
        <v>-1.83E-2</v>
      </c>
      <c r="CS39" s="228">
        <v>346</v>
      </c>
      <c r="CT39" s="228">
        <v>309</v>
      </c>
      <c r="CU39" s="228">
        <v>38</v>
      </c>
      <c r="CV39" s="229">
        <v>0.122</v>
      </c>
      <c r="CW39" s="230">
        <v>2274</v>
      </c>
      <c r="CX39" s="230">
        <v>2219</v>
      </c>
      <c r="CY39" s="228">
        <v>55</v>
      </c>
      <c r="CZ39" s="229">
        <v>2.4899999999999999E-2</v>
      </c>
      <c r="DA39" s="228">
        <v>25.06</v>
      </c>
      <c r="DB39" s="228">
        <v>26.6</v>
      </c>
      <c r="DC39" s="228">
        <v>-1.54</v>
      </c>
      <c r="DD39" s="228">
        <v>-1.54</v>
      </c>
      <c r="DE39" s="228">
        <v>24.79</v>
      </c>
      <c r="DF39" s="228">
        <v>24.6</v>
      </c>
      <c r="DG39" s="228">
        <v>0.27</v>
      </c>
      <c r="DH39" s="228">
        <v>0.19</v>
      </c>
      <c r="DI39" s="228">
        <v>24.5</v>
      </c>
      <c r="DJ39" s="228">
        <v>26.29</v>
      </c>
      <c r="DK39" s="228">
        <v>-1.79</v>
      </c>
      <c r="DL39" s="228">
        <v>-1.79</v>
      </c>
      <c r="DM39" s="228">
        <v>27.06</v>
      </c>
      <c r="DN39" s="228">
        <v>27.32</v>
      </c>
      <c r="DO39" s="228">
        <v>-0.26</v>
      </c>
      <c r="DP39" s="228">
        <v>-0.26</v>
      </c>
      <c r="DQ39" s="228">
        <v>1.06</v>
      </c>
      <c r="DR39" s="228">
        <v>0.93</v>
      </c>
      <c r="DS39" s="228">
        <v>0.13</v>
      </c>
      <c r="DT39" s="229">
        <v>0.13980000000000001</v>
      </c>
      <c r="DU39" s="231">
        <v>6000</v>
      </c>
      <c r="DV39" s="231">
        <v>5000</v>
      </c>
      <c r="DW39" s="228">
        <v>0.28000000000000003</v>
      </c>
      <c r="DX39" s="228">
        <v>0.43</v>
      </c>
      <c r="DY39" s="228">
        <v>-0.15</v>
      </c>
      <c r="DZ39" s="229">
        <v>-0.3488</v>
      </c>
      <c r="EA39" s="229">
        <v>3.5499999999999997E-2</v>
      </c>
      <c r="EB39" s="230">
        <v>100125</v>
      </c>
      <c r="EC39" s="229">
        <v>5.8999999999999999E-3</v>
      </c>
      <c r="ED39" s="229">
        <v>3.5499999999999997E-2</v>
      </c>
      <c r="EE39" s="228">
        <v>18.399999999999999</v>
      </c>
      <c r="EF39" s="229">
        <v>3.2000000000000002E-3</v>
      </c>
      <c r="EG39" s="230">
        <v>193427</v>
      </c>
      <c r="EH39" s="230">
        <v>287854</v>
      </c>
      <c r="EI39" s="229">
        <v>-0.32800000000000001</v>
      </c>
      <c r="EJ39" s="229">
        <v>0.53900000000000003</v>
      </c>
      <c r="EK39" s="231">
        <v>1469.85</v>
      </c>
      <c r="EL39" s="228">
        <v>394.46</v>
      </c>
      <c r="EM39" s="228">
        <v>249.77</v>
      </c>
      <c r="EN39" s="228">
        <v>31.05</v>
      </c>
      <c r="EO39" s="231">
        <v>2114.08</v>
      </c>
      <c r="EP39" s="231">
        <v>1199.06</v>
      </c>
      <c r="EQ39" s="228">
        <v>915.02</v>
      </c>
      <c r="ER39" s="229">
        <v>0.7631</v>
      </c>
      <c r="ES39" s="228">
        <v>333.81</v>
      </c>
      <c r="ET39" s="228">
        <v>318.14</v>
      </c>
      <c r="EU39" s="231">
        <v>1600.97</v>
      </c>
      <c r="EV39" s="231">
        <v>14553559</v>
      </c>
      <c r="EW39" s="231">
        <v>2252.91</v>
      </c>
      <c r="EX39" s="231">
        <v>2157.0100000000002</v>
      </c>
      <c r="EY39" s="228">
        <v>95.9</v>
      </c>
      <c r="EZ39" s="229">
        <v>4.4499999999999998E-2</v>
      </c>
      <c r="FA39" s="229">
        <v>0.27229999999999999</v>
      </c>
      <c r="FB39" s="227" t="s">
        <v>555</v>
      </c>
      <c r="FC39">
        <f t="shared" si="0"/>
        <v>57</v>
      </c>
    </row>
    <row r="40" spans="1:159" ht="17.25" thickBot="1" x14ac:dyDescent="0.3">
      <c r="A40" s="226">
        <v>46129</v>
      </c>
      <c r="B40" s="227" t="s">
        <v>175</v>
      </c>
      <c r="C40" s="227" t="s">
        <v>583</v>
      </c>
      <c r="D40" s="228">
        <v>375</v>
      </c>
      <c r="E40" s="228">
        <v>11</v>
      </c>
      <c r="F40" s="231">
        <v>3540.9</v>
      </c>
      <c r="G40" s="231">
        <v>3443.3</v>
      </c>
      <c r="H40" s="228">
        <v>97.6</v>
      </c>
      <c r="I40" s="229">
        <v>2.8299999999999999E-2</v>
      </c>
      <c r="J40" s="231">
        <v>3531.5</v>
      </c>
      <c r="K40" s="231">
        <v>3446.7</v>
      </c>
      <c r="L40" s="228">
        <v>84.8</v>
      </c>
      <c r="M40" s="229">
        <v>2.46E-2</v>
      </c>
      <c r="N40" s="231">
        <v>3540.9</v>
      </c>
      <c r="O40" s="231">
        <v>3443.3</v>
      </c>
      <c r="P40" s="228">
        <v>97.6</v>
      </c>
      <c r="Q40" s="229">
        <v>2.8299999999999999E-2</v>
      </c>
      <c r="R40" s="231">
        <v>3542.2</v>
      </c>
      <c r="S40" s="231">
        <v>3443.9</v>
      </c>
      <c r="T40" s="228">
        <v>98.3</v>
      </c>
      <c r="U40" s="229">
        <v>2.8500000000000001E-2</v>
      </c>
      <c r="V40" s="231">
        <v>3546.4</v>
      </c>
      <c r="W40" s="231">
        <v>3453.6</v>
      </c>
      <c r="X40" s="228">
        <v>92.8</v>
      </c>
      <c r="Y40" s="229">
        <v>2.69E-2</v>
      </c>
      <c r="Z40" s="228">
        <v>9.4</v>
      </c>
      <c r="AA40" s="228">
        <v>-3.4</v>
      </c>
      <c r="AB40" s="228">
        <v>12.8</v>
      </c>
      <c r="AC40" s="229">
        <v>2.7000000000000001E-3</v>
      </c>
      <c r="AD40" s="228">
        <v>9.4</v>
      </c>
      <c r="AE40" s="228">
        <v>-3.4</v>
      </c>
      <c r="AF40" s="228">
        <v>12.8</v>
      </c>
      <c r="AG40" s="229">
        <v>2.7000000000000001E-3</v>
      </c>
      <c r="AH40" s="228">
        <v>10.7</v>
      </c>
      <c r="AI40" s="228">
        <v>-2.8</v>
      </c>
      <c r="AJ40" s="228">
        <v>13.5</v>
      </c>
      <c r="AK40" s="229">
        <v>3.0000000000000001E-3</v>
      </c>
      <c r="AL40" s="228">
        <v>14.9</v>
      </c>
      <c r="AM40" s="228">
        <v>6.9</v>
      </c>
      <c r="AN40" s="228">
        <v>8</v>
      </c>
      <c r="AO40" s="229">
        <v>4.1999999999999997E-3</v>
      </c>
      <c r="AP40" s="231">
        <v>3491.04</v>
      </c>
      <c r="AQ40" s="231">
        <v>3495.16</v>
      </c>
      <c r="AR40" s="228">
        <v>0</v>
      </c>
      <c r="AS40" s="230">
        <v>1999</v>
      </c>
      <c r="AT40" s="230">
        <v>1141</v>
      </c>
      <c r="AU40" s="228">
        <v>858</v>
      </c>
      <c r="AV40" s="229">
        <v>0.75219999999999998</v>
      </c>
      <c r="AW40" s="230">
        <v>1666</v>
      </c>
      <c r="AX40" s="228">
        <v>985</v>
      </c>
      <c r="AY40" s="228">
        <v>681</v>
      </c>
      <c r="AZ40" s="229">
        <v>0.69179999999999997</v>
      </c>
      <c r="BA40" s="228">
        <v>286</v>
      </c>
      <c r="BB40" s="228">
        <v>132</v>
      </c>
      <c r="BC40" s="228">
        <v>155</v>
      </c>
      <c r="BD40" s="229">
        <v>1.1746000000000001</v>
      </c>
      <c r="BE40" s="228">
        <v>46</v>
      </c>
      <c r="BF40" s="228">
        <v>24</v>
      </c>
      <c r="BG40" s="228">
        <v>22</v>
      </c>
      <c r="BH40" s="229">
        <v>0.91210000000000002</v>
      </c>
      <c r="BI40" s="230">
        <v>11903</v>
      </c>
      <c r="BJ40" s="230">
        <v>5695</v>
      </c>
      <c r="BK40" s="230">
        <v>6208</v>
      </c>
      <c r="BL40" s="229">
        <v>1.0901000000000001</v>
      </c>
      <c r="BM40" s="230">
        <v>9113</v>
      </c>
      <c r="BN40" s="230">
        <v>5072</v>
      </c>
      <c r="BO40" s="230">
        <v>4041</v>
      </c>
      <c r="BP40" s="229">
        <v>0.79659999999999997</v>
      </c>
      <c r="BQ40" s="230">
        <v>23015</v>
      </c>
      <c r="BR40" s="230">
        <v>11908</v>
      </c>
      <c r="BS40" s="230">
        <v>11107</v>
      </c>
      <c r="BT40" s="229">
        <v>0.93269999999999997</v>
      </c>
      <c r="BU40" s="230">
        <v>6083283</v>
      </c>
      <c r="BV40" s="230">
        <v>4790050</v>
      </c>
      <c r="BW40" s="230">
        <v>1293233</v>
      </c>
      <c r="BX40" s="229">
        <v>0.27</v>
      </c>
      <c r="BY40" s="230">
        <v>2977</v>
      </c>
      <c r="BZ40" s="230">
        <v>2816</v>
      </c>
      <c r="CA40" s="228">
        <v>161</v>
      </c>
      <c r="CB40" s="229">
        <v>5.7200000000000001E-2</v>
      </c>
      <c r="CC40" s="230">
        <v>2592</v>
      </c>
      <c r="CD40" s="230">
        <v>2541</v>
      </c>
      <c r="CE40" s="228">
        <v>52</v>
      </c>
      <c r="CF40" s="229">
        <v>2.0400000000000001E-2</v>
      </c>
      <c r="CG40" s="228">
        <v>336</v>
      </c>
      <c r="CH40" s="228">
        <v>233</v>
      </c>
      <c r="CI40" s="228">
        <v>103</v>
      </c>
      <c r="CJ40" s="229">
        <v>0.44269999999999998</v>
      </c>
      <c r="CK40" s="228">
        <v>48</v>
      </c>
      <c r="CL40" s="228">
        <v>42</v>
      </c>
      <c r="CM40" s="228">
        <v>6</v>
      </c>
      <c r="CN40" s="229">
        <v>0.1411</v>
      </c>
      <c r="CO40" s="230">
        <v>2833</v>
      </c>
      <c r="CP40" s="230">
        <v>2506</v>
      </c>
      <c r="CQ40" s="228">
        <v>327</v>
      </c>
      <c r="CR40" s="229">
        <v>0.13059999999999999</v>
      </c>
      <c r="CS40" s="230">
        <v>3753</v>
      </c>
      <c r="CT40" s="230">
        <v>3238</v>
      </c>
      <c r="CU40" s="228">
        <v>515</v>
      </c>
      <c r="CV40" s="229">
        <v>0.15890000000000001</v>
      </c>
      <c r="CW40" s="230">
        <v>9563</v>
      </c>
      <c r="CX40" s="230">
        <v>8560</v>
      </c>
      <c r="CY40" s="230">
        <v>1003</v>
      </c>
      <c r="CZ40" s="229">
        <v>0.1171</v>
      </c>
      <c r="DA40" s="228">
        <v>41.49</v>
      </c>
      <c r="DB40" s="228">
        <v>43.82</v>
      </c>
      <c r="DC40" s="228">
        <v>-2.33</v>
      </c>
      <c r="DD40" s="228">
        <v>-2.33</v>
      </c>
      <c r="DE40" s="228">
        <v>59.22</v>
      </c>
      <c r="DF40" s="228">
        <v>59.28</v>
      </c>
      <c r="DG40" s="228">
        <v>-17.73</v>
      </c>
      <c r="DH40" s="228">
        <v>-0.06</v>
      </c>
      <c r="DI40" s="228">
        <v>38.4</v>
      </c>
      <c r="DJ40" s="228">
        <v>41.05</v>
      </c>
      <c r="DK40" s="228">
        <v>-2.65</v>
      </c>
      <c r="DL40" s="228">
        <v>-2.65</v>
      </c>
      <c r="DM40" s="228">
        <v>45.53</v>
      </c>
      <c r="DN40" s="228">
        <v>46.93</v>
      </c>
      <c r="DO40" s="228">
        <v>-1.4</v>
      </c>
      <c r="DP40" s="228">
        <v>-1.4</v>
      </c>
      <c r="DQ40" s="228">
        <v>1.32</v>
      </c>
      <c r="DR40" s="228">
        <v>1.29</v>
      </c>
      <c r="DS40" s="228">
        <v>0.03</v>
      </c>
      <c r="DT40" s="229">
        <v>2.3300000000000001E-2</v>
      </c>
      <c r="DU40" s="231">
        <v>3500</v>
      </c>
      <c r="DV40" s="231">
        <v>3400</v>
      </c>
      <c r="DW40" s="228">
        <v>0.77</v>
      </c>
      <c r="DX40" s="228">
        <v>0.89</v>
      </c>
      <c r="DY40" s="228">
        <v>-0.12</v>
      </c>
      <c r="DZ40" s="229">
        <v>-0.1348</v>
      </c>
      <c r="EA40" s="229">
        <v>0.12920000000000001</v>
      </c>
      <c r="EB40" s="230">
        <v>777750</v>
      </c>
      <c r="EC40" s="229">
        <v>4.0000000000000002E-4</v>
      </c>
      <c r="ED40" s="229">
        <v>0.12920000000000001</v>
      </c>
      <c r="EE40" s="228">
        <v>4.12</v>
      </c>
      <c r="EF40" s="229">
        <v>1.1999999999999999E-3</v>
      </c>
      <c r="EG40" s="230">
        <v>1244324</v>
      </c>
      <c r="EH40" s="230">
        <v>1452309</v>
      </c>
      <c r="EI40" s="229">
        <v>-0.14319999999999999</v>
      </c>
      <c r="EJ40" s="229">
        <v>0.20449999999999999</v>
      </c>
      <c r="EK40" s="231">
        <v>12257.85</v>
      </c>
      <c r="EL40" s="231">
        <v>8614.4699999999993</v>
      </c>
      <c r="EM40" s="231">
        <v>1971.22</v>
      </c>
      <c r="EN40" s="228">
        <v>96.05</v>
      </c>
      <c r="EO40" s="231">
        <v>22843.54</v>
      </c>
      <c r="EP40" s="231">
        <v>11611.74</v>
      </c>
      <c r="EQ40" s="231">
        <v>11231.8</v>
      </c>
      <c r="ER40" s="229">
        <v>0.96730000000000005</v>
      </c>
      <c r="ES40" s="231">
        <v>2674.47</v>
      </c>
      <c r="ET40" s="231">
        <v>3255.87</v>
      </c>
      <c r="EU40" s="231">
        <v>2977.21</v>
      </c>
      <c r="EV40" s="231">
        <v>61182611</v>
      </c>
      <c r="EW40" s="231">
        <v>8907.5499999999993</v>
      </c>
      <c r="EX40" s="231">
        <v>7814.15</v>
      </c>
      <c r="EY40" s="231">
        <v>1093.4000000000001</v>
      </c>
      <c r="EZ40" s="229">
        <v>0.1399</v>
      </c>
      <c r="FA40" s="229">
        <v>0.44140000000000001</v>
      </c>
      <c r="FB40" s="227" t="s">
        <v>555</v>
      </c>
      <c r="FC40">
        <f t="shared" si="0"/>
        <v>385</v>
      </c>
    </row>
    <row r="41" spans="1:159" ht="17.25" thickBot="1" x14ac:dyDescent="0.3">
      <c r="A41" s="226">
        <v>46129</v>
      </c>
      <c r="B41" s="227" t="s">
        <v>175</v>
      </c>
      <c r="C41" s="227" t="s">
        <v>610</v>
      </c>
      <c r="D41" s="228">
        <v>750</v>
      </c>
      <c r="E41" s="228">
        <v>11</v>
      </c>
      <c r="F41" s="228">
        <v>752.35</v>
      </c>
      <c r="G41" s="228">
        <v>738.1</v>
      </c>
      <c r="H41" s="228">
        <v>14.25</v>
      </c>
      <c r="I41" s="229">
        <v>1.9300000000000001E-2</v>
      </c>
      <c r="J41" s="228">
        <v>750.15</v>
      </c>
      <c r="K41" s="228">
        <v>738.4</v>
      </c>
      <c r="L41" s="228">
        <v>11.75</v>
      </c>
      <c r="M41" s="229">
        <v>1.5900000000000001E-2</v>
      </c>
      <c r="N41" s="228">
        <v>752.35</v>
      </c>
      <c r="O41" s="228">
        <v>738.1</v>
      </c>
      <c r="P41" s="228">
        <v>14.25</v>
      </c>
      <c r="Q41" s="229">
        <v>1.9300000000000001E-2</v>
      </c>
      <c r="R41" s="228">
        <v>742.7</v>
      </c>
      <c r="S41" s="228">
        <v>729.95</v>
      </c>
      <c r="T41" s="228">
        <v>12.75</v>
      </c>
      <c r="U41" s="229">
        <v>1.7500000000000002E-2</v>
      </c>
      <c r="V41" s="228">
        <v>738.65</v>
      </c>
      <c r="W41" s="228">
        <v>730.05</v>
      </c>
      <c r="X41" s="228">
        <v>8.6</v>
      </c>
      <c r="Y41" s="229">
        <v>1.18E-2</v>
      </c>
      <c r="Z41" s="228">
        <v>2.2000000000000002</v>
      </c>
      <c r="AA41" s="228">
        <v>-0.3</v>
      </c>
      <c r="AB41" s="228">
        <v>2.5</v>
      </c>
      <c r="AC41" s="229">
        <v>2.8999999999999998E-3</v>
      </c>
      <c r="AD41" s="228">
        <v>2.2000000000000002</v>
      </c>
      <c r="AE41" s="228">
        <v>-0.3</v>
      </c>
      <c r="AF41" s="228">
        <v>2.5</v>
      </c>
      <c r="AG41" s="229">
        <v>2.8999999999999998E-3</v>
      </c>
      <c r="AH41" s="228">
        <v>-7.45</v>
      </c>
      <c r="AI41" s="228">
        <v>-8.4499999999999993</v>
      </c>
      <c r="AJ41" s="228">
        <v>1</v>
      </c>
      <c r="AK41" s="229">
        <v>-9.9000000000000008E-3</v>
      </c>
      <c r="AL41" s="228">
        <v>-11.5</v>
      </c>
      <c r="AM41" s="228">
        <v>-8.35</v>
      </c>
      <c r="AN41" s="228">
        <v>-3.15</v>
      </c>
      <c r="AO41" s="229">
        <v>-1.5299999999999999E-2</v>
      </c>
      <c r="AP41" s="228">
        <v>747.49</v>
      </c>
      <c r="AQ41" s="228">
        <v>736.18</v>
      </c>
      <c r="AR41" s="228">
        <v>0</v>
      </c>
      <c r="AS41" s="228">
        <v>192</v>
      </c>
      <c r="AT41" s="228">
        <v>120</v>
      </c>
      <c r="AU41" s="228">
        <v>72</v>
      </c>
      <c r="AV41" s="229">
        <v>0.59809999999999997</v>
      </c>
      <c r="AW41" s="228">
        <v>148</v>
      </c>
      <c r="AX41" s="228">
        <v>96</v>
      </c>
      <c r="AY41" s="228">
        <v>52</v>
      </c>
      <c r="AZ41" s="229">
        <v>0.54600000000000004</v>
      </c>
      <c r="BA41" s="228">
        <v>41</v>
      </c>
      <c r="BB41" s="228">
        <v>22</v>
      </c>
      <c r="BC41" s="228">
        <v>19</v>
      </c>
      <c r="BD41" s="229">
        <v>0.84440000000000004</v>
      </c>
      <c r="BE41" s="228">
        <v>3</v>
      </c>
      <c r="BF41" s="228">
        <v>2</v>
      </c>
      <c r="BG41" s="228">
        <v>1</v>
      </c>
      <c r="BH41" s="229">
        <v>0.3846</v>
      </c>
      <c r="BI41" s="228">
        <v>512</v>
      </c>
      <c r="BJ41" s="228">
        <v>282</v>
      </c>
      <c r="BK41" s="228">
        <v>231</v>
      </c>
      <c r="BL41" s="229">
        <v>0.81979999999999997</v>
      </c>
      <c r="BM41" s="228">
        <v>250</v>
      </c>
      <c r="BN41" s="228">
        <v>145</v>
      </c>
      <c r="BO41" s="228">
        <v>105</v>
      </c>
      <c r="BP41" s="229">
        <v>0.72470000000000001</v>
      </c>
      <c r="BQ41" s="228">
        <v>954</v>
      </c>
      <c r="BR41" s="228">
        <v>547</v>
      </c>
      <c r="BS41" s="228">
        <v>408</v>
      </c>
      <c r="BT41" s="229">
        <v>0.74590000000000001</v>
      </c>
      <c r="BU41" s="230">
        <v>2371105</v>
      </c>
      <c r="BV41" s="230">
        <v>1530576</v>
      </c>
      <c r="BW41" s="230">
        <v>840529</v>
      </c>
      <c r="BX41" s="229">
        <v>0.54920000000000002</v>
      </c>
      <c r="BY41" s="228">
        <v>571</v>
      </c>
      <c r="BZ41" s="228">
        <v>555</v>
      </c>
      <c r="CA41" s="228">
        <v>17</v>
      </c>
      <c r="CB41" s="229">
        <v>0.03</v>
      </c>
      <c r="CC41" s="228">
        <v>479</v>
      </c>
      <c r="CD41" s="228">
        <v>473</v>
      </c>
      <c r="CE41" s="228">
        <v>6</v>
      </c>
      <c r="CF41" s="229">
        <v>1.3100000000000001E-2</v>
      </c>
      <c r="CG41" s="228">
        <v>87</v>
      </c>
      <c r="CH41" s="228">
        <v>77</v>
      </c>
      <c r="CI41" s="228">
        <v>10</v>
      </c>
      <c r="CJ41" s="229">
        <v>0.1239</v>
      </c>
      <c r="CK41" s="228">
        <v>5</v>
      </c>
      <c r="CL41" s="228">
        <v>5</v>
      </c>
      <c r="CM41" s="228">
        <v>1</v>
      </c>
      <c r="CN41" s="229">
        <v>0.1852</v>
      </c>
      <c r="CO41" s="228">
        <v>225</v>
      </c>
      <c r="CP41" s="228">
        <v>200</v>
      </c>
      <c r="CQ41" s="228">
        <v>25</v>
      </c>
      <c r="CR41" s="229">
        <v>0.12429999999999999</v>
      </c>
      <c r="CS41" s="228">
        <v>192</v>
      </c>
      <c r="CT41" s="228">
        <v>154</v>
      </c>
      <c r="CU41" s="228">
        <v>38</v>
      </c>
      <c r="CV41" s="229">
        <v>0.2437</v>
      </c>
      <c r="CW41" s="228">
        <v>988</v>
      </c>
      <c r="CX41" s="228">
        <v>909</v>
      </c>
      <c r="CY41" s="228">
        <v>79</v>
      </c>
      <c r="CZ41" s="229">
        <v>8.6999999999999994E-2</v>
      </c>
      <c r="DA41" s="228">
        <v>32.450000000000003</v>
      </c>
      <c r="DB41" s="228">
        <v>32.53</v>
      </c>
      <c r="DC41" s="228">
        <v>-0.08</v>
      </c>
      <c r="DD41" s="228">
        <v>-0.08</v>
      </c>
      <c r="DE41" s="228">
        <v>40.96</v>
      </c>
      <c r="DF41" s="228">
        <v>40.98</v>
      </c>
      <c r="DG41" s="228">
        <v>-8.51</v>
      </c>
      <c r="DH41" s="228">
        <v>-0.02</v>
      </c>
      <c r="DI41" s="228">
        <v>30.68</v>
      </c>
      <c r="DJ41" s="228">
        <v>31.41</v>
      </c>
      <c r="DK41" s="228">
        <v>-0.73</v>
      </c>
      <c r="DL41" s="228">
        <v>-0.73</v>
      </c>
      <c r="DM41" s="228">
        <v>36.06</v>
      </c>
      <c r="DN41" s="228">
        <v>34.69</v>
      </c>
      <c r="DO41" s="228">
        <v>1.37</v>
      </c>
      <c r="DP41" s="228">
        <v>1.37</v>
      </c>
      <c r="DQ41" s="228">
        <v>0.85</v>
      </c>
      <c r="DR41" s="228">
        <v>0.77</v>
      </c>
      <c r="DS41" s="228">
        <v>0.08</v>
      </c>
      <c r="DT41" s="229">
        <v>0.10390000000000001</v>
      </c>
      <c r="DU41" s="228">
        <v>800</v>
      </c>
      <c r="DV41" s="228">
        <v>700</v>
      </c>
      <c r="DW41" s="228">
        <v>0.49</v>
      </c>
      <c r="DX41" s="228">
        <v>0.52</v>
      </c>
      <c r="DY41" s="228">
        <v>-0.03</v>
      </c>
      <c r="DZ41" s="229">
        <v>-5.7700000000000001E-2</v>
      </c>
      <c r="EA41" s="229">
        <v>0.16170000000000001</v>
      </c>
      <c r="EB41" s="230">
        <v>1089750</v>
      </c>
      <c r="EC41" s="229">
        <v>-1.2800000000000001E-2</v>
      </c>
      <c r="ED41" s="229">
        <v>0.16170000000000001</v>
      </c>
      <c r="EE41" s="228">
        <v>-11.31</v>
      </c>
      <c r="EF41" s="229">
        <v>-1.5100000000000001E-2</v>
      </c>
      <c r="EG41" s="230">
        <v>1017656</v>
      </c>
      <c r="EH41" s="230">
        <v>526736</v>
      </c>
      <c r="EI41" s="229">
        <v>0.93200000000000005</v>
      </c>
      <c r="EJ41" s="229">
        <v>0.42920000000000003</v>
      </c>
      <c r="EK41" s="228">
        <v>529.62</v>
      </c>
      <c r="EL41" s="228">
        <v>239.48</v>
      </c>
      <c r="EM41" s="228">
        <v>189.72</v>
      </c>
      <c r="EN41" s="228">
        <v>22.94</v>
      </c>
      <c r="EO41" s="228">
        <v>958.81</v>
      </c>
      <c r="EP41" s="228">
        <v>539.54999999999995</v>
      </c>
      <c r="EQ41" s="228">
        <v>419.26</v>
      </c>
      <c r="ER41" s="229">
        <v>0.77700000000000002</v>
      </c>
      <c r="ES41" s="228">
        <v>221.8</v>
      </c>
      <c r="ET41" s="228">
        <v>173.93</v>
      </c>
      <c r="EU41" s="228">
        <v>570.27</v>
      </c>
      <c r="EV41" s="231">
        <v>37147595</v>
      </c>
      <c r="EW41" s="228">
        <v>966</v>
      </c>
      <c r="EX41" s="228">
        <v>876.81</v>
      </c>
      <c r="EY41" s="228">
        <v>89.19</v>
      </c>
      <c r="EZ41" s="229">
        <v>0.1017</v>
      </c>
      <c r="FA41" s="229">
        <v>0.3533</v>
      </c>
      <c r="FB41" s="227" t="s">
        <v>555</v>
      </c>
      <c r="FC41">
        <f t="shared" si="0"/>
        <v>92</v>
      </c>
    </row>
    <row r="42" spans="1:159" ht="17.25" thickBot="1" x14ac:dyDescent="0.3">
      <c r="A42" s="226">
        <v>46129</v>
      </c>
      <c r="B42" s="227" t="s">
        <v>172</v>
      </c>
      <c r="C42" s="227" t="s">
        <v>196</v>
      </c>
      <c r="D42" s="228">
        <v>6750</v>
      </c>
      <c r="E42" s="228">
        <v>11</v>
      </c>
      <c r="F42" s="228">
        <v>142.61000000000001</v>
      </c>
      <c r="G42" s="228">
        <v>141.46</v>
      </c>
      <c r="H42" s="228">
        <v>1.1499999999999999</v>
      </c>
      <c r="I42" s="229">
        <v>8.0999999999999996E-3</v>
      </c>
      <c r="J42" s="228">
        <v>142.37</v>
      </c>
      <c r="K42" s="228">
        <v>141.03</v>
      </c>
      <c r="L42" s="228">
        <v>1.34</v>
      </c>
      <c r="M42" s="229">
        <v>9.4999999999999998E-3</v>
      </c>
      <c r="N42" s="228">
        <v>142.61000000000001</v>
      </c>
      <c r="O42" s="228">
        <v>141.46</v>
      </c>
      <c r="P42" s="228">
        <v>1.1499999999999999</v>
      </c>
      <c r="Q42" s="229">
        <v>8.0999999999999996E-3</v>
      </c>
      <c r="R42" s="228">
        <v>143.41</v>
      </c>
      <c r="S42" s="228">
        <v>142.19999999999999</v>
      </c>
      <c r="T42" s="228">
        <v>1.21</v>
      </c>
      <c r="U42" s="229">
        <v>8.5000000000000006E-3</v>
      </c>
      <c r="V42" s="228">
        <v>144.37</v>
      </c>
      <c r="W42" s="228">
        <v>143.13999999999999</v>
      </c>
      <c r="X42" s="228">
        <v>1.23</v>
      </c>
      <c r="Y42" s="229">
        <v>8.6E-3</v>
      </c>
      <c r="Z42" s="228">
        <v>0.24</v>
      </c>
      <c r="AA42" s="228">
        <v>0.43</v>
      </c>
      <c r="AB42" s="228">
        <v>-0.19</v>
      </c>
      <c r="AC42" s="229">
        <v>1.6999999999999999E-3</v>
      </c>
      <c r="AD42" s="228">
        <v>0.24</v>
      </c>
      <c r="AE42" s="228">
        <v>0.43</v>
      </c>
      <c r="AF42" s="228">
        <v>-0.19</v>
      </c>
      <c r="AG42" s="229">
        <v>1.6999999999999999E-3</v>
      </c>
      <c r="AH42" s="228">
        <v>1.04</v>
      </c>
      <c r="AI42" s="228">
        <v>1.17</v>
      </c>
      <c r="AJ42" s="228">
        <v>-0.13</v>
      </c>
      <c r="AK42" s="229">
        <v>7.3000000000000001E-3</v>
      </c>
      <c r="AL42" s="228">
        <v>2</v>
      </c>
      <c r="AM42" s="228">
        <v>2.11</v>
      </c>
      <c r="AN42" s="228">
        <v>-0.11</v>
      </c>
      <c r="AO42" s="229">
        <v>1.4E-2</v>
      </c>
      <c r="AP42" s="228">
        <v>142.08000000000001</v>
      </c>
      <c r="AQ42" s="228">
        <v>142.97</v>
      </c>
      <c r="AR42" s="228">
        <v>0</v>
      </c>
      <c r="AS42" s="228">
        <v>732</v>
      </c>
      <c r="AT42" s="228">
        <v>448</v>
      </c>
      <c r="AU42" s="228">
        <v>284</v>
      </c>
      <c r="AV42" s="229">
        <v>0.63429999999999997</v>
      </c>
      <c r="AW42" s="228">
        <v>465</v>
      </c>
      <c r="AX42" s="228">
        <v>348</v>
      </c>
      <c r="AY42" s="228">
        <v>117</v>
      </c>
      <c r="AZ42" s="229">
        <v>0.33789999999999998</v>
      </c>
      <c r="BA42" s="228">
        <v>86</v>
      </c>
      <c r="BB42" s="228">
        <v>92</v>
      </c>
      <c r="BC42" s="228">
        <v>-5</v>
      </c>
      <c r="BD42" s="229">
        <v>-5.9700000000000003E-2</v>
      </c>
      <c r="BE42" s="228">
        <v>180</v>
      </c>
      <c r="BF42" s="228">
        <v>8</v>
      </c>
      <c r="BG42" s="228">
        <v>172</v>
      </c>
      <c r="BH42" s="229">
        <v>21.023499999999999</v>
      </c>
      <c r="BI42" s="228">
        <v>929</v>
      </c>
      <c r="BJ42" s="228">
        <v>759</v>
      </c>
      <c r="BK42" s="228">
        <v>170</v>
      </c>
      <c r="BL42" s="229">
        <v>0.22450000000000001</v>
      </c>
      <c r="BM42" s="228">
        <v>529</v>
      </c>
      <c r="BN42" s="228">
        <v>597</v>
      </c>
      <c r="BO42" s="228">
        <v>-68</v>
      </c>
      <c r="BP42" s="229">
        <v>-0.1142</v>
      </c>
      <c r="BQ42" s="230">
        <v>2190</v>
      </c>
      <c r="BR42" s="230">
        <v>1804</v>
      </c>
      <c r="BS42" s="228">
        <v>386</v>
      </c>
      <c r="BT42" s="229">
        <v>0.21410000000000001</v>
      </c>
      <c r="BU42" s="230">
        <v>14964789</v>
      </c>
      <c r="BV42" s="230">
        <v>27622484</v>
      </c>
      <c r="BW42" s="230">
        <v>-12657695</v>
      </c>
      <c r="BX42" s="229">
        <v>-0.4582</v>
      </c>
      <c r="BY42" s="230">
        <v>2830</v>
      </c>
      <c r="BZ42" s="230">
        <v>2829</v>
      </c>
      <c r="CA42" s="228">
        <v>1</v>
      </c>
      <c r="CB42" s="229">
        <v>4.0000000000000002E-4</v>
      </c>
      <c r="CC42" s="230">
        <v>2389</v>
      </c>
      <c r="CD42" s="230">
        <v>2605</v>
      </c>
      <c r="CE42" s="228">
        <v>-216</v>
      </c>
      <c r="CF42" s="229">
        <v>-8.3000000000000004E-2</v>
      </c>
      <c r="CG42" s="228">
        <v>244</v>
      </c>
      <c r="CH42" s="228">
        <v>201</v>
      </c>
      <c r="CI42" s="228">
        <v>43</v>
      </c>
      <c r="CJ42" s="229">
        <v>0.21310000000000001</v>
      </c>
      <c r="CK42" s="228">
        <v>197</v>
      </c>
      <c r="CL42" s="228">
        <v>23</v>
      </c>
      <c r="CM42" s="228">
        <v>174</v>
      </c>
      <c r="CN42" s="229">
        <v>7.6371000000000002</v>
      </c>
      <c r="CO42" s="230">
        <v>1074</v>
      </c>
      <c r="CP42" s="230">
        <v>1058</v>
      </c>
      <c r="CQ42" s="228">
        <v>16</v>
      </c>
      <c r="CR42" s="229">
        <v>1.49E-2</v>
      </c>
      <c r="CS42" s="228">
        <v>996</v>
      </c>
      <c r="CT42" s="228">
        <v>987</v>
      </c>
      <c r="CU42" s="228">
        <v>8</v>
      </c>
      <c r="CV42" s="229">
        <v>8.6E-3</v>
      </c>
      <c r="CW42" s="230">
        <v>4900</v>
      </c>
      <c r="CX42" s="230">
        <v>4875</v>
      </c>
      <c r="CY42" s="228">
        <v>25</v>
      </c>
      <c r="CZ42" s="229">
        <v>5.1999999999999998E-3</v>
      </c>
      <c r="DA42" s="228">
        <v>35.15</v>
      </c>
      <c r="DB42" s="228">
        <v>35.58</v>
      </c>
      <c r="DC42" s="228">
        <v>-0.43</v>
      </c>
      <c r="DD42" s="228">
        <v>-0.43</v>
      </c>
      <c r="DE42" s="228">
        <v>39.14</v>
      </c>
      <c r="DF42" s="228">
        <v>39.22</v>
      </c>
      <c r="DG42" s="228">
        <v>-3.99</v>
      </c>
      <c r="DH42" s="228">
        <v>-0.08</v>
      </c>
      <c r="DI42" s="228">
        <v>33.97</v>
      </c>
      <c r="DJ42" s="228">
        <v>34.299999999999997</v>
      </c>
      <c r="DK42" s="228">
        <v>-0.33</v>
      </c>
      <c r="DL42" s="228">
        <v>-0.33</v>
      </c>
      <c r="DM42" s="228">
        <v>37.229999999999997</v>
      </c>
      <c r="DN42" s="228">
        <v>37.21</v>
      </c>
      <c r="DO42" s="228">
        <v>0.02</v>
      </c>
      <c r="DP42" s="228">
        <v>0.02</v>
      </c>
      <c r="DQ42" s="228">
        <v>0.93</v>
      </c>
      <c r="DR42" s="228">
        <v>0.93</v>
      </c>
      <c r="DS42" s="228">
        <v>0</v>
      </c>
      <c r="DT42" s="229">
        <v>0</v>
      </c>
      <c r="DU42" s="228">
        <v>150</v>
      </c>
      <c r="DV42" s="228">
        <v>140</v>
      </c>
      <c r="DW42" s="228">
        <v>0.56999999999999995</v>
      </c>
      <c r="DX42" s="228">
        <v>0.79</v>
      </c>
      <c r="DY42" s="228">
        <v>-0.22</v>
      </c>
      <c r="DZ42" s="229">
        <v>-0.27850000000000003</v>
      </c>
      <c r="EA42" s="229">
        <v>0.156</v>
      </c>
      <c r="EB42" s="230">
        <v>15727500</v>
      </c>
      <c r="EC42" s="229">
        <v>5.5999999999999999E-3</v>
      </c>
      <c r="ED42" s="229">
        <v>0.156</v>
      </c>
      <c r="EE42" s="228">
        <v>0.89</v>
      </c>
      <c r="EF42" s="229">
        <v>6.3E-3</v>
      </c>
      <c r="EG42" s="230">
        <v>5133895</v>
      </c>
      <c r="EH42" s="230">
        <v>13685743</v>
      </c>
      <c r="EI42" s="229">
        <v>-0.62490000000000001</v>
      </c>
      <c r="EJ42" s="229">
        <v>0.34310000000000002</v>
      </c>
      <c r="EK42" s="228">
        <v>963.14</v>
      </c>
      <c r="EL42" s="228">
        <v>521.86</v>
      </c>
      <c r="EM42" s="228">
        <v>731.64</v>
      </c>
      <c r="EN42" s="228">
        <v>49.73</v>
      </c>
      <c r="EO42" s="231">
        <v>2216.64</v>
      </c>
      <c r="EP42" s="231">
        <v>1820.54</v>
      </c>
      <c r="EQ42" s="228">
        <v>396.1</v>
      </c>
      <c r="ER42" s="229">
        <v>0.21759999999999999</v>
      </c>
      <c r="ES42" s="231">
        <v>1077.31</v>
      </c>
      <c r="ET42" s="228">
        <v>948.43</v>
      </c>
      <c r="EU42" s="231">
        <v>2834.19</v>
      </c>
      <c r="EV42" s="231">
        <v>504315430</v>
      </c>
      <c r="EW42" s="231">
        <v>4859.93</v>
      </c>
      <c r="EX42" s="231">
        <v>4805.08</v>
      </c>
      <c r="EY42" s="228">
        <v>54.85</v>
      </c>
      <c r="EZ42" s="229">
        <v>1.14E-2</v>
      </c>
      <c r="FA42" s="229">
        <v>0.68130000000000002</v>
      </c>
      <c r="FB42" s="227" t="s">
        <v>555</v>
      </c>
      <c r="FC42">
        <f t="shared" si="0"/>
        <v>441</v>
      </c>
    </row>
    <row r="43" spans="1:159" ht="17.25" thickBot="1" x14ac:dyDescent="0.3">
      <c r="A43" s="226">
        <v>46129</v>
      </c>
      <c r="B43" s="227" t="s">
        <v>175</v>
      </c>
      <c r="C43" s="227" t="s">
        <v>596</v>
      </c>
      <c r="D43" s="228">
        <v>475</v>
      </c>
      <c r="E43" s="228">
        <v>11</v>
      </c>
      <c r="F43" s="231">
        <v>1396.1</v>
      </c>
      <c r="G43" s="231">
        <v>1372.3</v>
      </c>
      <c r="H43" s="228">
        <v>23.8</v>
      </c>
      <c r="I43" s="229">
        <v>1.7299999999999999E-2</v>
      </c>
      <c r="J43" s="231">
        <v>1393.2</v>
      </c>
      <c r="K43" s="231">
        <v>1367.8</v>
      </c>
      <c r="L43" s="228">
        <v>25.4</v>
      </c>
      <c r="M43" s="229">
        <v>1.8599999999999998E-2</v>
      </c>
      <c r="N43" s="231">
        <v>1396.1</v>
      </c>
      <c r="O43" s="231">
        <v>1372.3</v>
      </c>
      <c r="P43" s="228">
        <v>23.8</v>
      </c>
      <c r="Q43" s="229">
        <v>1.7299999999999999E-2</v>
      </c>
      <c r="R43" s="231">
        <v>1386.2</v>
      </c>
      <c r="S43" s="231">
        <v>1360.7</v>
      </c>
      <c r="T43" s="228">
        <v>25.5</v>
      </c>
      <c r="U43" s="229">
        <v>1.8700000000000001E-2</v>
      </c>
      <c r="V43" s="231">
        <v>1380.7</v>
      </c>
      <c r="W43" s="231">
        <v>1353.5</v>
      </c>
      <c r="X43" s="228">
        <v>27.2</v>
      </c>
      <c r="Y43" s="229">
        <v>2.01E-2</v>
      </c>
      <c r="Z43" s="228">
        <v>2.9</v>
      </c>
      <c r="AA43" s="228">
        <v>4.5</v>
      </c>
      <c r="AB43" s="228">
        <v>-1.6</v>
      </c>
      <c r="AC43" s="229">
        <v>2.0999999999999999E-3</v>
      </c>
      <c r="AD43" s="228">
        <v>2.9</v>
      </c>
      <c r="AE43" s="228">
        <v>4.5</v>
      </c>
      <c r="AF43" s="228">
        <v>-1.6</v>
      </c>
      <c r="AG43" s="229">
        <v>2.0999999999999999E-3</v>
      </c>
      <c r="AH43" s="228">
        <v>-7</v>
      </c>
      <c r="AI43" s="228">
        <v>-7.1</v>
      </c>
      <c r="AJ43" s="228">
        <v>0.1</v>
      </c>
      <c r="AK43" s="229">
        <v>-5.0000000000000001E-3</v>
      </c>
      <c r="AL43" s="228">
        <v>-12.5</v>
      </c>
      <c r="AM43" s="228">
        <v>-14.3</v>
      </c>
      <c r="AN43" s="228">
        <v>1.8</v>
      </c>
      <c r="AO43" s="229">
        <v>-8.9999999999999993E-3</v>
      </c>
      <c r="AP43" s="231">
        <v>1389.45</v>
      </c>
      <c r="AQ43" s="231">
        <v>1379.74</v>
      </c>
      <c r="AR43" s="228">
        <v>0</v>
      </c>
      <c r="AS43" s="228">
        <v>340</v>
      </c>
      <c r="AT43" s="228">
        <v>356</v>
      </c>
      <c r="AU43" s="228">
        <v>-16</v>
      </c>
      <c r="AV43" s="229">
        <v>-4.3999999999999997E-2</v>
      </c>
      <c r="AW43" s="228">
        <v>241</v>
      </c>
      <c r="AX43" s="228">
        <v>249</v>
      </c>
      <c r="AY43" s="228">
        <v>-8</v>
      </c>
      <c r="AZ43" s="229">
        <v>-3.1199999999999999E-2</v>
      </c>
      <c r="BA43" s="228">
        <v>83</v>
      </c>
      <c r="BB43" s="228">
        <v>88</v>
      </c>
      <c r="BC43" s="228">
        <v>-5</v>
      </c>
      <c r="BD43" s="229">
        <v>-5.3699999999999998E-2</v>
      </c>
      <c r="BE43" s="228">
        <v>16</v>
      </c>
      <c r="BF43" s="228">
        <v>19</v>
      </c>
      <c r="BG43" s="228">
        <v>-3</v>
      </c>
      <c r="BH43" s="229">
        <v>-0.16669999999999999</v>
      </c>
      <c r="BI43" s="230">
        <v>1546</v>
      </c>
      <c r="BJ43" s="230">
        <v>1106</v>
      </c>
      <c r="BK43" s="228">
        <v>440</v>
      </c>
      <c r="BL43" s="229">
        <v>0.39750000000000002</v>
      </c>
      <c r="BM43" s="228">
        <v>878</v>
      </c>
      <c r="BN43" s="228">
        <v>620</v>
      </c>
      <c r="BO43" s="228">
        <v>258</v>
      </c>
      <c r="BP43" s="229">
        <v>0.41620000000000001</v>
      </c>
      <c r="BQ43" s="230">
        <v>2764</v>
      </c>
      <c r="BR43" s="230">
        <v>2082</v>
      </c>
      <c r="BS43" s="228">
        <v>682</v>
      </c>
      <c r="BT43" s="229">
        <v>0.32769999999999999</v>
      </c>
      <c r="BU43" s="230">
        <v>2418769</v>
      </c>
      <c r="BV43" s="230">
        <v>2375688</v>
      </c>
      <c r="BW43" s="230">
        <v>43081</v>
      </c>
      <c r="BX43" s="229">
        <v>1.8100000000000002E-2</v>
      </c>
      <c r="BY43" s="230">
        <v>1529</v>
      </c>
      <c r="BZ43" s="230">
        <v>1538</v>
      </c>
      <c r="CA43" s="228">
        <v>-9</v>
      </c>
      <c r="CB43" s="229">
        <v>-6.0000000000000001E-3</v>
      </c>
      <c r="CC43" s="230">
        <v>1072</v>
      </c>
      <c r="CD43" s="230">
        <v>1102</v>
      </c>
      <c r="CE43" s="228">
        <v>-30</v>
      </c>
      <c r="CF43" s="229">
        <v>-2.76E-2</v>
      </c>
      <c r="CG43" s="228">
        <v>409</v>
      </c>
      <c r="CH43" s="228">
        <v>391</v>
      </c>
      <c r="CI43" s="228">
        <v>18</v>
      </c>
      <c r="CJ43" s="229">
        <v>4.7E-2</v>
      </c>
      <c r="CK43" s="228">
        <v>48</v>
      </c>
      <c r="CL43" s="228">
        <v>45</v>
      </c>
      <c r="CM43" s="228">
        <v>3</v>
      </c>
      <c r="CN43" s="229">
        <v>6.1899999999999997E-2</v>
      </c>
      <c r="CO43" s="228">
        <v>678</v>
      </c>
      <c r="CP43" s="228">
        <v>646</v>
      </c>
      <c r="CQ43" s="228">
        <v>33</v>
      </c>
      <c r="CR43" s="229">
        <v>5.0500000000000003E-2</v>
      </c>
      <c r="CS43" s="228">
        <v>619</v>
      </c>
      <c r="CT43" s="228">
        <v>573</v>
      </c>
      <c r="CU43" s="228">
        <v>46</v>
      </c>
      <c r="CV43" s="229">
        <v>8.1000000000000003E-2</v>
      </c>
      <c r="CW43" s="230">
        <v>2826</v>
      </c>
      <c r="CX43" s="230">
        <v>2757</v>
      </c>
      <c r="CY43" s="228">
        <v>70</v>
      </c>
      <c r="CZ43" s="229">
        <v>2.53E-2</v>
      </c>
      <c r="DA43" s="228">
        <v>35.200000000000003</v>
      </c>
      <c r="DB43" s="228">
        <v>35.49</v>
      </c>
      <c r="DC43" s="228">
        <v>-0.28999999999999998</v>
      </c>
      <c r="DD43" s="228">
        <v>-0.28999999999999998</v>
      </c>
      <c r="DE43" s="228">
        <v>46.82</v>
      </c>
      <c r="DF43" s="228">
        <v>46.88</v>
      </c>
      <c r="DG43" s="228">
        <v>-11.62</v>
      </c>
      <c r="DH43" s="228">
        <v>-0.06</v>
      </c>
      <c r="DI43" s="228">
        <v>33.229999999999997</v>
      </c>
      <c r="DJ43" s="228">
        <v>33.6</v>
      </c>
      <c r="DK43" s="228">
        <v>-0.37</v>
      </c>
      <c r="DL43" s="228">
        <v>-0.37</v>
      </c>
      <c r="DM43" s="228">
        <v>38.68</v>
      </c>
      <c r="DN43" s="228">
        <v>38.840000000000003</v>
      </c>
      <c r="DO43" s="228">
        <v>-0.16</v>
      </c>
      <c r="DP43" s="228">
        <v>-0.16</v>
      </c>
      <c r="DQ43" s="228">
        <v>0.91</v>
      </c>
      <c r="DR43" s="228">
        <v>0.89</v>
      </c>
      <c r="DS43" s="228">
        <v>0.02</v>
      </c>
      <c r="DT43" s="229">
        <v>2.2499999999999999E-2</v>
      </c>
      <c r="DU43" s="231">
        <v>1400</v>
      </c>
      <c r="DV43" s="231">
        <v>1400</v>
      </c>
      <c r="DW43" s="228">
        <v>0.56999999999999995</v>
      </c>
      <c r="DX43" s="228">
        <v>0.56000000000000005</v>
      </c>
      <c r="DY43" s="228">
        <v>0.01</v>
      </c>
      <c r="DZ43" s="229">
        <v>1.7899999999999999E-2</v>
      </c>
      <c r="EA43" s="229">
        <v>0.29899999999999999</v>
      </c>
      <c r="EB43" s="230">
        <v>3122175</v>
      </c>
      <c r="EC43" s="229">
        <v>-7.1000000000000004E-3</v>
      </c>
      <c r="ED43" s="229">
        <v>0.29899999999999999</v>
      </c>
      <c r="EE43" s="228">
        <v>-9.7100000000000009</v>
      </c>
      <c r="EF43" s="229">
        <v>-7.0000000000000001E-3</v>
      </c>
      <c r="EG43" s="230">
        <v>748115</v>
      </c>
      <c r="EH43" s="230">
        <v>773238</v>
      </c>
      <c r="EI43" s="229">
        <v>-3.2500000000000001E-2</v>
      </c>
      <c r="EJ43" s="229">
        <v>0.30930000000000002</v>
      </c>
      <c r="EK43" s="231">
        <v>1597.93</v>
      </c>
      <c r="EL43" s="228">
        <v>845.44</v>
      </c>
      <c r="EM43" s="228">
        <v>337.6</v>
      </c>
      <c r="EN43" s="228">
        <v>60.98</v>
      </c>
      <c r="EO43" s="231">
        <v>2780.97</v>
      </c>
      <c r="EP43" s="231">
        <v>2055.2399999999998</v>
      </c>
      <c r="EQ43" s="228">
        <v>725.72</v>
      </c>
      <c r="ER43" s="229">
        <v>0.35310000000000002</v>
      </c>
      <c r="ES43" s="228">
        <v>648.4</v>
      </c>
      <c r="ET43" s="228">
        <v>563.29</v>
      </c>
      <c r="EU43" s="231">
        <v>1525.19</v>
      </c>
      <c r="EV43" s="231">
        <v>26647500</v>
      </c>
      <c r="EW43" s="231">
        <v>2736.89</v>
      </c>
      <c r="EX43" s="231">
        <v>2634.41</v>
      </c>
      <c r="EY43" s="228">
        <v>102.48</v>
      </c>
      <c r="EZ43" s="229">
        <v>3.8899999999999997E-2</v>
      </c>
      <c r="FA43" s="229">
        <v>0.75970000000000004</v>
      </c>
      <c r="FB43" s="227" t="s">
        <v>693</v>
      </c>
      <c r="FC43">
        <f t="shared" si="0"/>
        <v>457</v>
      </c>
    </row>
    <row r="44" spans="1:159" ht="17.25" thickBot="1" x14ac:dyDescent="0.3">
      <c r="A44" s="226">
        <v>46129</v>
      </c>
      <c r="B44" s="227" t="s">
        <v>161</v>
      </c>
      <c r="C44" s="227" t="s">
        <v>611</v>
      </c>
      <c r="D44" s="228">
        <v>850</v>
      </c>
      <c r="E44" s="228">
        <v>11</v>
      </c>
      <c r="F44" s="228">
        <v>774.65</v>
      </c>
      <c r="G44" s="228">
        <v>757.85</v>
      </c>
      <c r="H44" s="228">
        <v>16.8</v>
      </c>
      <c r="I44" s="229">
        <v>2.2200000000000001E-2</v>
      </c>
      <c r="J44" s="228">
        <v>774.8</v>
      </c>
      <c r="K44" s="228">
        <v>755.9</v>
      </c>
      <c r="L44" s="228">
        <v>18.899999999999999</v>
      </c>
      <c r="M44" s="229">
        <v>2.5000000000000001E-2</v>
      </c>
      <c r="N44" s="228">
        <v>774.65</v>
      </c>
      <c r="O44" s="228">
        <v>757.85</v>
      </c>
      <c r="P44" s="228">
        <v>16.8</v>
      </c>
      <c r="Q44" s="229">
        <v>2.2200000000000001E-2</v>
      </c>
      <c r="R44" s="228">
        <v>779.2</v>
      </c>
      <c r="S44" s="228">
        <v>761.65</v>
      </c>
      <c r="T44" s="228">
        <v>17.55</v>
      </c>
      <c r="U44" s="229">
        <v>2.3E-2</v>
      </c>
      <c r="V44" s="228">
        <v>784.3</v>
      </c>
      <c r="W44" s="228">
        <v>767.1</v>
      </c>
      <c r="X44" s="228">
        <v>17.2</v>
      </c>
      <c r="Y44" s="229">
        <v>2.24E-2</v>
      </c>
      <c r="Z44" s="228">
        <v>-0.15</v>
      </c>
      <c r="AA44" s="228">
        <v>1.95</v>
      </c>
      <c r="AB44" s="228">
        <v>-2.1</v>
      </c>
      <c r="AC44" s="229">
        <v>-2.0000000000000001E-4</v>
      </c>
      <c r="AD44" s="228">
        <v>-0.15</v>
      </c>
      <c r="AE44" s="228">
        <v>1.95</v>
      </c>
      <c r="AF44" s="228">
        <v>-2.1</v>
      </c>
      <c r="AG44" s="229">
        <v>-2.0000000000000001E-4</v>
      </c>
      <c r="AH44" s="228">
        <v>4.4000000000000004</v>
      </c>
      <c r="AI44" s="228">
        <v>5.75</v>
      </c>
      <c r="AJ44" s="228">
        <v>-1.35</v>
      </c>
      <c r="AK44" s="229">
        <v>5.7000000000000002E-3</v>
      </c>
      <c r="AL44" s="228">
        <v>9.5</v>
      </c>
      <c r="AM44" s="228">
        <v>11.2</v>
      </c>
      <c r="AN44" s="228">
        <v>-1.7</v>
      </c>
      <c r="AO44" s="229">
        <v>1.23E-2</v>
      </c>
      <c r="AP44" s="228">
        <v>769.03</v>
      </c>
      <c r="AQ44" s="228">
        <v>774.06</v>
      </c>
      <c r="AR44" s="228">
        <v>0</v>
      </c>
      <c r="AS44" s="228">
        <v>278</v>
      </c>
      <c r="AT44" s="228">
        <v>494</v>
      </c>
      <c r="AU44" s="228">
        <v>-217</v>
      </c>
      <c r="AV44" s="229">
        <v>-0.43809999999999999</v>
      </c>
      <c r="AW44" s="228">
        <v>249</v>
      </c>
      <c r="AX44" s="228">
        <v>356</v>
      </c>
      <c r="AY44" s="228">
        <v>-108</v>
      </c>
      <c r="AZ44" s="229">
        <v>-0.3024</v>
      </c>
      <c r="BA44" s="228">
        <v>25</v>
      </c>
      <c r="BB44" s="228">
        <v>30</v>
      </c>
      <c r="BC44" s="228">
        <v>-5</v>
      </c>
      <c r="BD44" s="229">
        <v>-0.16850000000000001</v>
      </c>
      <c r="BE44" s="228">
        <v>4</v>
      </c>
      <c r="BF44" s="228">
        <v>107</v>
      </c>
      <c r="BG44" s="228">
        <v>-104</v>
      </c>
      <c r="BH44" s="229">
        <v>-0.96509999999999996</v>
      </c>
      <c r="BI44" s="230">
        <v>1065</v>
      </c>
      <c r="BJ44" s="228">
        <v>963</v>
      </c>
      <c r="BK44" s="228">
        <v>102</v>
      </c>
      <c r="BL44" s="229">
        <v>0.106</v>
      </c>
      <c r="BM44" s="228">
        <v>340</v>
      </c>
      <c r="BN44" s="228">
        <v>298</v>
      </c>
      <c r="BO44" s="228">
        <v>43</v>
      </c>
      <c r="BP44" s="229">
        <v>0.14299999999999999</v>
      </c>
      <c r="BQ44" s="230">
        <v>1683</v>
      </c>
      <c r="BR44" s="230">
        <v>1755</v>
      </c>
      <c r="BS44" s="228">
        <v>-72</v>
      </c>
      <c r="BT44" s="229">
        <v>-4.1000000000000002E-2</v>
      </c>
      <c r="BU44" s="230">
        <v>4593602</v>
      </c>
      <c r="BV44" s="230">
        <v>3706650</v>
      </c>
      <c r="BW44" s="230">
        <v>886952</v>
      </c>
      <c r="BX44" s="229">
        <v>0.23930000000000001</v>
      </c>
      <c r="BY44" s="230">
        <v>1541</v>
      </c>
      <c r="BZ44" s="230">
        <v>1576</v>
      </c>
      <c r="CA44" s="228">
        <v>-35</v>
      </c>
      <c r="CB44" s="229">
        <v>-2.23E-2</v>
      </c>
      <c r="CC44" s="230">
        <v>1400</v>
      </c>
      <c r="CD44" s="230">
        <v>1439</v>
      </c>
      <c r="CE44" s="228">
        <v>-39</v>
      </c>
      <c r="CF44" s="229">
        <v>-2.7099999999999999E-2</v>
      </c>
      <c r="CG44" s="228">
        <v>32</v>
      </c>
      <c r="CH44" s="228">
        <v>29</v>
      </c>
      <c r="CI44" s="228">
        <v>3</v>
      </c>
      <c r="CJ44" s="229">
        <v>0.1084</v>
      </c>
      <c r="CK44" s="228">
        <v>109</v>
      </c>
      <c r="CL44" s="228">
        <v>108</v>
      </c>
      <c r="CM44" s="228">
        <v>1</v>
      </c>
      <c r="CN44" s="229">
        <v>6.1000000000000004E-3</v>
      </c>
      <c r="CO44" s="228">
        <v>320</v>
      </c>
      <c r="CP44" s="228">
        <v>328</v>
      </c>
      <c r="CQ44" s="228">
        <v>-8</v>
      </c>
      <c r="CR44" s="229">
        <v>-2.47E-2</v>
      </c>
      <c r="CS44" s="228">
        <v>206</v>
      </c>
      <c r="CT44" s="228">
        <v>195</v>
      </c>
      <c r="CU44" s="228">
        <v>11</v>
      </c>
      <c r="CV44" s="229">
        <v>5.57E-2</v>
      </c>
      <c r="CW44" s="230">
        <v>2067</v>
      </c>
      <c r="CX44" s="230">
        <v>2099</v>
      </c>
      <c r="CY44" s="228">
        <v>-32</v>
      </c>
      <c r="CZ44" s="229">
        <v>-1.54E-2</v>
      </c>
      <c r="DA44" s="228">
        <v>35.43</v>
      </c>
      <c r="DB44" s="228">
        <v>38.44</v>
      </c>
      <c r="DC44" s="228">
        <v>-3.01</v>
      </c>
      <c r="DD44" s="228">
        <v>-3.01</v>
      </c>
      <c r="DE44" s="228">
        <v>42.46</v>
      </c>
      <c r="DF44" s="228">
        <v>42.46</v>
      </c>
      <c r="DG44" s="228">
        <v>-7.03</v>
      </c>
      <c r="DH44" s="228">
        <v>0</v>
      </c>
      <c r="DI44" s="228">
        <v>34.58</v>
      </c>
      <c r="DJ44" s="228">
        <v>37.94</v>
      </c>
      <c r="DK44" s="228">
        <v>-3.36</v>
      </c>
      <c r="DL44" s="228">
        <v>-3.36</v>
      </c>
      <c r="DM44" s="228">
        <v>38.1</v>
      </c>
      <c r="DN44" s="228">
        <v>40.08</v>
      </c>
      <c r="DO44" s="228">
        <v>-1.98</v>
      </c>
      <c r="DP44" s="228">
        <v>-1.98</v>
      </c>
      <c r="DQ44" s="228">
        <v>0.64</v>
      </c>
      <c r="DR44" s="228">
        <v>0.59</v>
      </c>
      <c r="DS44" s="228">
        <v>0.05</v>
      </c>
      <c r="DT44" s="229">
        <v>8.4699999999999998E-2</v>
      </c>
      <c r="DU44" s="228">
        <v>800</v>
      </c>
      <c r="DV44" s="228">
        <v>660</v>
      </c>
      <c r="DW44" s="228">
        <v>0.32</v>
      </c>
      <c r="DX44" s="228">
        <v>0.31</v>
      </c>
      <c r="DY44" s="228">
        <v>0.01</v>
      </c>
      <c r="DZ44" s="229">
        <v>3.2300000000000002E-2</v>
      </c>
      <c r="EA44" s="229">
        <v>9.1499999999999998E-2</v>
      </c>
      <c r="EB44" s="230">
        <v>1769700</v>
      </c>
      <c r="EC44" s="229">
        <v>5.8999999999999999E-3</v>
      </c>
      <c r="ED44" s="229">
        <v>9.1499999999999998E-2</v>
      </c>
      <c r="EE44" s="228">
        <v>5.03</v>
      </c>
      <c r="EF44" s="229">
        <v>6.4999999999999997E-3</v>
      </c>
      <c r="EG44" s="230">
        <v>2512283</v>
      </c>
      <c r="EH44" s="230">
        <v>1426936</v>
      </c>
      <c r="EI44" s="229">
        <v>0.76060000000000005</v>
      </c>
      <c r="EJ44" s="229">
        <v>0.54690000000000005</v>
      </c>
      <c r="EK44" s="231">
        <v>1095.57</v>
      </c>
      <c r="EL44" s="228">
        <v>331.89</v>
      </c>
      <c r="EM44" s="228">
        <v>275.93</v>
      </c>
      <c r="EN44" s="228">
        <v>46.29</v>
      </c>
      <c r="EO44" s="231">
        <v>1703.39</v>
      </c>
      <c r="EP44" s="231">
        <v>1747.81</v>
      </c>
      <c r="EQ44" s="228">
        <v>-44.42</v>
      </c>
      <c r="ER44" s="229">
        <v>-2.5399999999999999E-2</v>
      </c>
      <c r="ES44" s="228">
        <v>314.94</v>
      </c>
      <c r="ET44" s="228">
        <v>186.91</v>
      </c>
      <c r="EU44" s="231">
        <v>1542.06</v>
      </c>
      <c r="EV44" s="231">
        <v>103080397</v>
      </c>
      <c r="EW44" s="231">
        <v>2043.91</v>
      </c>
      <c r="EX44" s="231">
        <v>2037.85</v>
      </c>
      <c r="EY44" s="228">
        <v>6.06</v>
      </c>
      <c r="EZ44" s="229">
        <v>3.0000000000000001E-3</v>
      </c>
      <c r="FA44" s="229">
        <v>0.25879999999999997</v>
      </c>
      <c r="FB44" s="227" t="s">
        <v>693</v>
      </c>
      <c r="FC44">
        <f t="shared" si="0"/>
        <v>141</v>
      </c>
    </row>
    <row r="45" spans="1:159" ht="17.25" thickBot="1" x14ac:dyDescent="0.3">
      <c r="A45" s="226">
        <v>46129</v>
      </c>
      <c r="B45" s="227" t="s">
        <v>175</v>
      </c>
      <c r="C45" s="227" t="s">
        <v>198</v>
      </c>
      <c r="D45" s="228">
        <v>625</v>
      </c>
      <c r="E45" s="228">
        <v>11</v>
      </c>
      <c r="F45" s="231">
        <v>1578.4</v>
      </c>
      <c r="G45" s="231">
        <v>1572.1</v>
      </c>
      <c r="H45" s="228">
        <v>6.3</v>
      </c>
      <c r="I45" s="229">
        <v>4.0000000000000001E-3</v>
      </c>
      <c r="J45" s="231">
        <v>1579</v>
      </c>
      <c r="K45" s="231">
        <v>1569.9</v>
      </c>
      <c r="L45" s="228">
        <v>9.1</v>
      </c>
      <c r="M45" s="229">
        <v>5.7999999999999996E-3</v>
      </c>
      <c r="N45" s="231">
        <v>1578.4</v>
      </c>
      <c r="O45" s="231">
        <v>1572.1</v>
      </c>
      <c r="P45" s="228">
        <v>6.3</v>
      </c>
      <c r="Q45" s="229">
        <v>4.0000000000000001E-3</v>
      </c>
      <c r="R45" s="231">
        <v>1585.2</v>
      </c>
      <c r="S45" s="231">
        <v>1579.1</v>
      </c>
      <c r="T45" s="228">
        <v>6.1</v>
      </c>
      <c r="U45" s="229">
        <v>3.8999999999999998E-3</v>
      </c>
      <c r="V45" s="231">
        <v>1592.2</v>
      </c>
      <c r="W45" s="231">
        <v>1589.8</v>
      </c>
      <c r="X45" s="228">
        <v>2.4</v>
      </c>
      <c r="Y45" s="229">
        <v>1.5E-3</v>
      </c>
      <c r="Z45" s="228">
        <v>-0.6</v>
      </c>
      <c r="AA45" s="228">
        <v>2.2000000000000002</v>
      </c>
      <c r="AB45" s="228">
        <v>-2.8</v>
      </c>
      <c r="AC45" s="229">
        <v>-4.0000000000000002E-4</v>
      </c>
      <c r="AD45" s="228">
        <v>-0.6</v>
      </c>
      <c r="AE45" s="228">
        <v>2.2000000000000002</v>
      </c>
      <c r="AF45" s="228">
        <v>-2.8</v>
      </c>
      <c r="AG45" s="229">
        <v>-4.0000000000000002E-4</v>
      </c>
      <c r="AH45" s="228">
        <v>6.2</v>
      </c>
      <c r="AI45" s="228">
        <v>9.1999999999999993</v>
      </c>
      <c r="AJ45" s="228">
        <v>-3</v>
      </c>
      <c r="AK45" s="229">
        <v>3.8999999999999998E-3</v>
      </c>
      <c r="AL45" s="228">
        <v>13.2</v>
      </c>
      <c r="AM45" s="228">
        <v>19.899999999999999</v>
      </c>
      <c r="AN45" s="228">
        <v>-6.7</v>
      </c>
      <c r="AO45" s="229">
        <v>8.3999999999999995E-3</v>
      </c>
      <c r="AP45" s="231">
        <v>1571.69</v>
      </c>
      <c r="AQ45" s="231">
        <v>1580.69</v>
      </c>
      <c r="AR45" s="228">
        <v>0</v>
      </c>
      <c r="AS45" s="228">
        <v>534</v>
      </c>
      <c r="AT45" s="228">
        <v>540</v>
      </c>
      <c r="AU45" s="228">
        <v>-6</v>
      </c>
      <c r="AV45" s="229">
        <v>-1.15E-2</v>
      </c>
      <c r="AW45" s="228">
        <v>387</v>
      </c>
      <c r="AX45" s="228">
        <v>505</v>
      </c>
      <c r="AY45" s="228">
        <v>-117</v>
      </c>
      <c r="AZ45" s="229">
        <v>-0.23280000000000001</v>
      </c>
      <c r="BA45" s="228">
        <v>27</v>
      </c>
      <c r="BB45" s="228">
        <v>32</v>
      </c>
      <c r="BC45" s="228">
        <v>-6</v>
      </c>
      <c r="BD45" s="229">
        <v>-0.17380000000000001</v>
      </c>
      <c r="BE45" s="228">
        <v>120</v>
      </c>
      <c r="BF45" s="228">
        <v>3</v>
      </c>
      <c r="BG45" s="228">
        <v>117</v>
      </c>
      <c r="BH45" s="229">
        <v>35.909100000000002</v>
      </c>
      <c r="BI45" s="228">
        <v>753</v>
      </c>
      <c r="BJ45" s="230">
        <v>1964</v>
      </c>
      <c r="BK45" s="230">
        <v>-1211</v>
      </c>
      <c r="BL45" s="229">
        <v>-0.61650000000000005</v>
      </c>
      <c r="BM45" s="228">
        <v>499</v>
      </c>
      <c r="BN45" s="230">
        <v>1066</v>
      </c>
      <c r="BO45" s="228">
        <v>-567</v>
      </c>
      <c r="BP45" s="229">
        <v>-0.53210000000000002</v>
      </c>
      <c r="BQ45" s="230">
        <v>1786</v>
      </c>
      <c r="BR45" s="230">
        <v>3570</v>
      </c>
      <c r="BS45" s="230">
        <v>-1784</v>
      </c>
      <c r="BT45" s="229">
        <v>-0.49969999999999998</v>
      </c>
      <c r="BU45" s="230">
        <v>1234834</v>
      </c>
      <c r="BV45" s="230">
        <v>2982606</v>
      </c>
      <c r="BW45" s="230">
        <v>-1747772</v>
      </c>
      <c r="BX45" s="229">
        <v>-0.58599999999999997</v>
      </c>
      <c r="BY45" s="230">
        <v>3143</v>
      </c>
      <c r="BZ45" s="230">
        <v>3181</v>
      </c>
      <c r="CA45" s="228">
        <v>-37</v>
      </c>
      <c r="CB45" s="229">
        <v>-1.18E-2</v>
      </c>
      <c r="CC45" s="230">
        <v>2920</v>
      </c>
      <c r="CD45" s="230">
        <v>3082</v>
      </c>
      <c r="CE45" s="228">
        <v>-162</v>
      </c>
      <c r="CF45" s="229">
        <v>-5.2400000000000002E-2</v>
      </c>
      <c r="CG45" s="228">
        <v>102</v>
      </c>
      <c r="CH45" s="228">
        <v>95</v>
      </c>
      <c r="CI45" s="228">
        <v>6</v>
      </c>
      <c r="CJ45" s="229">
        <v>6.7199999999999996E-2</v>
      </c>
      <c r="CK45" s="228">
        <v>121</v>
      </c>
      <c r="CL45" s="228">
        <v>4</v>
      </c>
      <c r="CM45" s="228">
        <v>118</v>
      </c>
      <c r="CN45" s="229">
        <v>31.3947</v>
      </c>
      <c r="CO45" s="228">
        <v>748</v>
      </c>
      <c r="CP45" s="228">
        <v>707</v>
      </c>
      <c r="CQ45" s="228">
        <v>41</v>
      </c>
      <c r="CR45" s="229">
        <v>5.8000000000000003E-2</v>
      </c>
      <c r="CS45" s="228">
        <v>640</v>
      </c>
      <c r="CT45" s="228">
        <v>612</v>
      </c>
      <c r="CU45" s="228">
        <v>28</v>
      </c>
      <c r="CV45" s="229">
        <v>4.6399999999999997E-2</v>
      </c>
      <c r="CW45" s="230">
        <v>4532</v>
      </c>
      <c r="CX45" s="230">
        <v>4500</v>
      </c>
      <c r="CY45" s="228">
        <v>32</v>
      </c>
      <c r="CZ45" s="229">
        <v>7.1000000000000004E-3</v>
      </c>
      <c r="DA45" s="228">
        <v>34.92</v>
      </c>
      <c r="DB45" s="228">
        <v>35.24</v>
      </c>
      <c r="DC45" s="228">
        <v>-0.32</v>
      </c>
      <c r="DD45" s="228">
        <v>-0.32</v>
      </c>
      <c r="DE45" s="228">
        <v>41.01</v>
      </c>
      <c r="DF45" s="228">
        <v>41.11</v>
      </c>
      <c r="DG45" s="228">
        <v>-6.09</v>
      </c>
      <c r="DH45" s="228">
        <v>-0.1</v>
      </c>
      <c r="DI45" s="228">
        <v>33.53</v>
      </c>
      <c r="DJ45" s="228">
        <v>34.24</v>
      </c>
      <c r="DK45" s="228">
        <v>-0.71</v>
      </c>
      <c r="DL45" s="228">
        <v>-0.71</v>
      </c>
      <c r="DM45" s="228">
        <v>37.01</v>
      </c>
      <c r="DN45" s="228">
        <v>37.1</v>
      </c>
      <c r="DO45" s="228">
        <v>-0.09</v>
      </c>
      <c r="DP45" s="228">
        <v>-0.09</v>
      </c>
      <c r="DQ45" s="228">
        <v>0.86</v>
      </c>
      <c r="DR45" s="228">
        <v>0.86</v>
      </c>
      <c r="DS45" s="228">
        <v>0</v>
      </c>
      <c r="DT45" s="229">
        <v>0</v>
      </c>
      <c r="DU45" s="231">
        <v>1600</v>
      </c>
      <c r="DV45" s="231">
        <v>1500</v>
      </c>
      <c r="DW45" s="228">
        <v>0.66</v>
      </c>
      <c r="DX45" s="228">
        <v>0.54</v>
      </c>
      <c r="DY45" s="228">
        <v>0.12</v>
      </c>
      <c r="DZ45" s="229">
        <v>0.22220000000000001</v>
      </c>
      <c r="EA45" s="229">
        <v>7.0999999999999994E-2</v>
      </c>
      <c r="EB45" s="230">
        <v>628125</v>
      </c>
      <c r="EC45" s="229">
        <v>4.3E-3</v>
      </c>
      <c r="ED45" s="229">
        <v>7.0999999999999994E-2</v>
      </c>
      <c r="EE45" s="228">
        <v>9</v>
      </c>
      <c r="EF45" s="229">
        <v>5.7000000000000002E-3</v>
      </c>
      <c r="EG45" s="230">
        <v>670802</v>
      </c>
      <c r="EH45" s="230">
        <v>1593314</v>
      </c>
      <c r="EI45" s="229">
        <v>-0.57899999999999996</v>
      </c>
      <c r="EJ45" s="229">
        <v>0.54320000000000002</v>
      </c>
      <c r="EK45" s="228">
        <v>782.95</v>
      </c>
      <c r="EL45" s="228">
        <v>488.65</v>
      </c>
      <c r="EM45" s="228">
        <v>533.47</v>
      </c>
      <c r="EN45" s="228">
        <v>46.85</v>
      </c>
      <c r="EO45" s="231">
        <v>1805.06</v>
      </c>
      <c r="EP45" s="231">
        <v>3665.3</v>
      </c>
      <c r="EQ45" s="231">
        <v>-1860.23</v>
      </c>
      <c r="ER45" s="229">
        <v>-0.50749999999999995</v>
      </c>
      <c r="ES45" s="228">
        <v>739.82</v>
      </c>
      <c r="ET45" s="228">
        <v>600.87</v>
      </c>
      <c r="EU45" s="231">
        <v>3144.88</v>
      </c>
      <c r="EV45" s="231">
        <v>63646863</v>
      </c>
      <c r="EW45" s="231">
        <v>4485.58</v>
      </c>
      <c r="EX45" s="231">
        <v>4438.68</v>
      </c>
      <c r="EY45" s="228">
        <v>46.9</v>
      </c>
      <c r="EZ45" s="229">
        <v>1.06E-2</v>
      </c>
      <c r="FA45" s="229">
        <v>0.4511</v>
      </c>
      <c r="FB45" s="227" t="s">
        <v>693</v>
      </c>
      <c r="FC45">
        <f t="shared" si="0"/>
        <v>223</v>
      </c>
    </row>
    <row r="46" spans="1:159" ht="17.25" thickBot="1" x14ac:dyDescent="0.3">
      <c r="A46" s="226">
        <v>46129</v>
      </c>
      <c r="B46" s="227" t="s">
        <v>170</v>
      </c>
      <c r="C46" s="227" t="s">
        <v>199</v>
      </c>
      <c r="D46" s="228">
        <v>375</v>
      </c>
      <c r="E46" s="228">
        <v>11</v>
      </c>
      <c r="F46" s="231">
        <v>1245.0999999999999</v>
      </c>
      <c r="G46" s="231">
        <v>1232.0999999999999</v>
      </c>
      <c r="H46" s="228">
        <v>13</v>
      </c>
      <c r="I46" s="229">
        <v>1.06E-2</v>
      </c>
      <c r="J46" s="231">
        <v>1240.8</v>
      </c>
      <c r="K46" s="231">
        <v>1230.5</v>
      </c>
      <c r="L46" s="228">
        <v>10.3</v>
      </c>
      <c r="M46" s="229">
        <v>8.3999999999999995E-3</v>
      </c>
      <c r="N46" s="231">
        <v>1245.0999999999999</v>
      </c>
      <c r="O46" s="231">
        <v>1232.0999999999999</v>
      </c>
      <c r="P46" s="228">
        <v>13</v>
      </c>
      <c r="Q46" s="229">
        <v>1.06E-2</v>
      </c>
      <c r="R46" s="231">
        <v>1252</v>
      </c>
      <c r="S46" s="231">
        <v>1239.5999999999999</v>
      </c>
      <c r="T46" s="228">
        <v>12.4</v>
      </c>
      <c r="U46" s="229">
        <v>0.01</v>
      </c>
      <c r="V46" s="231">
        <v>1254.9000000000001</v>
      </c>
      <c r="W46" s="231">
        <v>1244</v>
      </c>
      <c r="X46" s="228">
        <v>10.9</v>
      </c>
      <c r="Y46" s="229">
        <v>8.8000000000000005E-3</v>
      </c>
      <c r="Z46" s="228">
        <v>4.3</v>
      </c>
      <c r="AA46" s="228">
        <v>1.6</v>
      </c>
      <c r="AB46" s="228">
        <v>2.7</v>
      </c>
      <c r="AC46" s="229">
        <v>3.5000000000000001E-3</v>
      </c>
      <c r="AD46" s="228">
        <v>4.3</v>
      </c>
      <c r="AE46" s="228">
        <v>1.6</v>
      </c>
      <c r="AF46" s="228">
        <v>2.7</v>
      </c>
      <c r="AG46" s="229">
        <v>3.5000000000000001E-3</v>
      </c>
      <c r="AH46" s="228">
        <v>11.2</v>
      </c>
      <c r="AI46" s="228">
        <v>9.1</v>
      </c>
      <c r="AJ46" s="228">
        <v>2.1</v>
      </c>
      <c r="AK46" s="229">
        <v>8.9999999999999993E-3</v>
      </c>
      <c r="AL46" s="228">
        <v>14.1</v>
      </c>
      <c r="AM46" s="228">
        <v>13.5</v>
      </c>
      <c r="AN46" s="228">
        <v>0.6</v>
      </c>
      <c r="AO46" s="229">
        <v>1.14E-2</v>
      </c>
      <c r="AP46" s="231">
        <v>1240.18</v>
      </c>
      <c r="AQ46" s="231">
        <v>1247.3499999999999</v>
      </c>
      <c r="AR46" s="228">
        <v>0</v>
      </c>
      <c r="AS46" s="228">
        <v>204</v>
      </c>
      <c r="AT46" s="228">
        <v>197</v>
      </c>
      <c r="AU46" s="228">
        <v>7</v>
      </c>
      <c r="AV46" s="229">
        <v>3.49E-2</v>
      </c>
      <c r="AW46" s="228">
        <v>166</v>
      </c>
      <c r="AX46" s="228">
        <v>177</v>
      </c>
      <c r="AY46" s="228">
        <v>-12</v>
      </c>
      <c r="AZ46" s="229">
        <v>-6.6799999999999998E-2</v>
      </c>
      <c r="BA46" s="228">
        <v>32</v>
      </c>
      <c r="BB46" s="228">
        <v>17</v>
      </c>
      <c r="BC46" s="228">
        <v>15</v>
      </c>
      <c r="BD46" s="229">
        <v>0.90880000000000005</v>
      </c>
      <c r="BE46" s="228">
        <v>6</v>
      </c>
      <c r="BF46" s="228">
        <v>2</v>
      </c>
      <c r="BG46" s="228">
        <v>3</v>
      </c>
      <c r="BH46" s="229">
        <v>1.44</v>
      </c>
      <c r="BI46" s="228">
        <v>734</v>
      </c>
      <c r="BJ46" s="228">
        <v>556</v>
      </c>
      <c r="BK46" s="228">
        <v>178</v>
      </c>
      <c r="BL46" s="229">
        <v>0.31990000000000002</v>
      </c>
      <c r="BM46" s="228">
        <v>274</v>
      </c>
      <c r="BN46" s="228">
        <v>175</v>
      </c>
      <c r="BO46" s="228">
        <v>99</v>
      </c>
      <c r="BP46" s="229">
        <v>0.56740000000000002</v>
      </c>
      <c r="BQ46" s="230">
        <v>1211</v>
      </c>
      <c r="BR46" s="228">
        <v>927</v>
      </c>
      <c r="BS46" s="228">
        <v>284</v>
      </c>
      <c r="BT46" s="229">
        <v>0.30609999999999998</v>
      </c>
      <c r="BU46" s="230">
        <v>2653013</v>
      </c>
      <c r="BV46" s="230">
        <v>1797631</v>
      </c>
      <c r="BW46" s="230">
        <v>855382</v>
      </c>
      <c r="BX46" s="229">
        <v>0.4758</v>
      </c>
      <c r="BY46" s="230">
        <v>1953</v>
      </c>
      <c r="BZ46" s="230">
        <v>1936</v>
      </c>
      <c r="CA46" s="228">
        <v>17</v>
      </c>
      <c r="CB46" s="229">
        <v>8.8000000000000005E-3</v>
      </c>
      <c r="CC46" s="230">
        <v>1746</v>
      </c>
      <c r="CD46" s="230">
        <v>1740</v>
      </c>
      <c r="CE46" s="228">
        <v>6</v>
      </c>
      <c r="CF46" s="229">
        <v>3.5000000000000001E-3</v>
      </c>
      <c r="CG46" s="228">
        <v>196</v>
      </c>
      <c r="CH46" s="228">
        <v>184</v>
      </c>
      <c r="CI46" s="228">
        <v>12</v>
      </c>
      <c r="CJ46" s="229">
        <v>6.5699999999999995E-2</v>
      </c>
      <c r="CK46" s="228">
        <v>11</v>
      </c>
      <c r="CL46" s="228">
        <v>12</v>
      </c>
      <c r="CM46" s="228">
        <v>-1</v>
      </c>
      <c r="CN46" s="229">
        <v>-0.1042</v>
      </c>
      <c r="CO46" s="228">
        <v>533</v>
      </c>
      <c r="CP46" s="228">
        <v>561</v>
      </c>
      <c r="CQ46" s="228">
        <v>-27</v>
      </c>
      <c r="CR46" s="229">
        <v>-4.8599999999999997E-2</v>
      </c>
      <c r="CS46" s="228">
        <v>476</v>
      </c>
      <c r="CT46" s="228">
        <v>460</v>
      </c>
      <c r="CU46" s="228">
        <v>16</v>
      </c>
      <c r="CV46" s="229">
        <v>3.4799999999999998E-2</v>
      </c>
      <c r="CW46" s="230">
        <v>2963</v>
      </c>
      <c r="CX46" s="230">
        <v>2958</v>
      </c>
      <c r="CY46" s="228">
        <v>6</v>
      </c>
      <c r="CZ46" s="229">
        <v>1.9E-3</v>
      </c>
      <c r="DA46" s="228">
        <v>22.88</v>
      </c>
      <c r="DB46" s="228">
        <v>23.91</v>
      </c>
      <c r="DC46" s="228">
        <v>-1.03</v>
      </c>
      <c r="DD46" s="228">
        <v>-1.03</v>
      </c>
      <c r="DE46" s="228">
        <v>25.03</v>
      </c>
      <c r="DF46" s="228">
        <v>25.05</v>
      </c>
      <c r="DG46" s="228">
        <v>-2.15</v>
      </c>
      <c r="DH46" s="228">
        <v>-0.02</v>
      </c>
      <c r="DI46" s="228">
        <v>22.24</v>
      </c>
      <c r="DJ46" s="228">
        <v>23.94</v>
      </c>
      <c r="DK46" s="228">
        <v>-1.7</v>
      </c>
      <c r="DL46" s="228">
        <v>-1.7</v>
      </c>
      <c r="DM46" s="228">
        <v>24.59</v>
      </c>
      <c r="DN46" s="228">
        <v>23.79</v>
      </c>
      <c r="DO46" s="228">
        <v>0.8</v>
      </c>
      <c r="DP46" s="228">
        <v>0.8</v>
      </c>
      <c r="DQ46" s="228">
        <v>0.89</v>
      </c>
      <c r="DR46" s="228">
        <v>0.82</v>
      </c>
      <c r="DS46" s="228">
        <v>7.0000000000000007E-2</v>
      </c>
      <c r="DT46" s="229">
        <v>8.5400000000000004E-2</v>
      </c>
      <c r="DU46" s="231">
        <v>1300</v>
      </c>
      <c r="DV46" s="231">
        <v>1160</v>
      </c>
      <c r="DW46" s="228">
        <v>0.37</v>
      </c>
      <c r="DX46" s="228">
        <v>0.31</v>
      </c>
      <c r="DY46" s="228">
        <v>0.06</v>
      </c>
      <c r="DZ46" s="229">
        <v>0.19350000000000001</v>
      </c>
      <c r="EA46" s="229">
        <v>0.10589999999999999</v>
      </c>
      <c r="EB46" s="230">
        <v>1574625</v>
      </c>
      <c r="EC46" s="229">
        <v>5.4999999999999997E-3</v>
      </c>
      <c r="ED46" s="229">
        <v>0.10589999999999999</v>
      </c>
      <c r="EE46" s="228">
        <v>7.17</v>
      </c>
      <c r="EF46" s="229">
        <v>5.7999999999999996E-3</v>
      </c>
      <c r="EG46" s="230">
        <v>1988311</v>
      </c>
      <c r="EH46" s="230">
        <v>1100109</v>
      </c>
      <c r="EI46" s="229">
        <v>0.80740000000000001</v>
      </c>
      <c r="EJ46" s="229">
        <v>0.74950000000000006</v>
      </c>
      <c r="EK46" s="228">
        <v>749.7</v>
      </c>
      <c r="EL46" s="228">
        <v>270</v>
      </c>
      <c r="EM46" s="228">
        <v>202.96</v>
      </c>
      <c r="EN46" s="228">
        <v>39.26</v>
      </c>
      <c r="EO46" s="231">
        <v>1222.6600000000001</v>
      </c>
      <c r="EP46" s="228">
        <v>932.53</v>
      </c>
      <c r="EQ46" s="228">
        <v>290.13</v>
      </c>
      <c r="ER46" s="229">
        <v>0.31109999999999999</v>
      </c>
      <c r="ES46" s="228">
        <v>549.55999999999995</v>
      </c>
      <c r="ET46" s="228">
        <v>452.9</v>
      </c>
      <c r="EU46" s="231">
        <v>1954.5</v>
      </c>
      <c r="EV46" s="231">
        <v>76385219</v>
      </c>
      <c r="EW46" s="231">
        <v>2956.96</v>
      </c>
      <c r="EX46" s="231">
        <v>2930.92</v>
      </c>
      <c r="EY46" s="228">
        <v>26.04</v>
      </c>
      <c r="EZ46" s="229">
        <v>8.8999999999999999E-3</v>
      </c>
      <c r="FA46" s="229">
        <v>0.31159999999999999</v>
      </c>
      <c r="FB46" s="227" t="s">
        <v>555</v>
      </c>
      <c r="FC46">
        <f t="shared" si="0"/>
        <v>207</v>
      </c>
    </row>
    <row r="47" spans="1:159" ht="17.25" thickBot="1" x14ac:dyDescent="0.3">
      <c r="A47" s="226">
        <v>46129</v>
      </c>
      <c r="B47" s="227" t="s">
        <v>227</v>
      </c>
      <c r="C47" s="227" t="s">
        <v>200</v>
      </c>
      <c r="D47" s="228">
        <v>1350</v>
      </c>
      <c r="E47" s="228">
        <v>11</v>
      </c>
      <c r="F47" s="228">
        <v>439.55</v>
      </c>
      <c r="G47" s="228">
        <v>432.35</v>
      </c>
      <c r="H47" s="228">
        <v>7.2</v>
      </c>
      <c r="I47" s="229">
        <v>1.67E-2</v>
      </c>
      <c r="J47" s="228">
        <v>438.75</v>
      </c>
      <c r="K47" s="228">
        <v>432.75</v>
      </c>
      <c r="L47" s="228">
        <v>6</v>
      </c>
      <c r="M47" s="229">
        <v>1.3899999999999999E-2</v>
      </c>
      <c r="N47" s="228">
        <v>439.55</v>
      </c>
      <c r="O47" s="228">
        <v>432.35</v>
      </c>
      <c r="P47" s="228">
        <v>7.2</v>
      </c>
      <c r="Q47" s="229">
        <v>1.67E-2</v>
      </c>
      <c r="R47" s="228">
        <v>436.5</v>
      </c>
      <c r="S47" s="228">
        <v>429.2</v>
      </c>
      <c r="T47" s="228">
        <v>7.3</v>
      </c>
      <c r="U47" s="229">
        <v>1.7000000000000001E-2</v>
      </c>
      <c r="V47" s="228">
        <v>434.65</v>
      </c>
      <c r="W47" s="228">
        <v>428.25</v>
      </c>
      <c r="X47" s="228">
        <v>6.4</v>
      </c>
      <c r="Y47" s="229">
        <v>1.49E-2</v>
      </c>
      <c r="Z47" s="228">
        <v>0.8</v>
      </c>
      <c r="AA47" s="228">
        <v>-0.4</v>
      </c>
      <c r="AB47" s="228">
        <v>1.2</v>
      </c>
      <c r="AC47" s="229">
        <v>1.8E-3</v>
      </c>
      <c r="AD47" s="228">
        <v>0.8</v>
      </c>
      <c r="AE47" s="228">
        <v>-0.4</v>
      </c>
      <c r="AF47" s="228">
        <v>1.2</v>
      </c>
      <c r="AG47" s="229">
        <v>1.8E-3</v>
      </c>
      <c r="AH47" s="228">
        <v>-2.25</v>
      </c>
      <c r="AI47" s="228">
        <v>-3.55</v>
      </c>
      <c r="AJ47" s="228">
        <v>1.3</v>
      </c>
      <c r="AK47" s="229">
        <v>-5.1000000000000004E-3</v>
      </c>
      <c r="AL47" s="228">
        <v>-4.0999999999999996</v>
      </c>
      <c r="AM47" s="228">
        <v>-4.5</v>
      </c>
      <c r="AN47" s="228">
        <v>0.4</v>
      </c>
      <c r="AO47" s="229">
        <v>-9.2999999999999992E-3</v>
      </c>
      <c r="AP47" s="228">
        <v>437.51</v>
      </c>
      <c r="AQ47" s="228">
        <v>434.05</v>
      </c>
      <c r="AR47" s="228">
        <v>0</v>
      </c>
      <c r="AS47" s="228">
        <v>604</v>
      </c>
      <c r="AT47" s="228">
        <v>357</v>
      </c>
      <c r="AU47" s="228">
        <v>247</v>
      </c>
      <c r="AV47" s="229">
        <v>0.69199999999999995</v>
      </c>
      <c r="AW47" s="228">
        <v>479</v>
      </c>
      <c r="AX47" s="228">
        <v>273</v>
      </c>
      <c r="AY47" s="228">
        <v>206</v>
      </c>
      <c r="AZ47" s="229">
        <v>0.75670000000000004</v>
      </c>
      <c r="BA47" s="228">
        <v>112</v>
      </c>
      <c r="BB47" s="228">
        <v>75</v>
      </c>
      <c r="BC47" s="228">
        <v>37</v>
      </c>
      <c r="BD47" s="229">
        <v>0.49170000000000003</v>
      </c>
      <c r="BE47" s="228">
        <v>14</v>
      </c>
      <c r="BF47" s="228">
        <v>10</v>
      </c>
      <c r="BG47" s="228">
        <v>4</v>
      </c>
      <c r="BH47" s="229">
        <v>0.41980000000000001</v>
      </c>
      <c r="BI47" s="230">
        <v>2239</v>
      </c>
      <c r="BJ47" s="230">
        <v>1694</v>
      </c>
      <c r="BK47" s="228">
        <v>545</v>
      </c>
      <c r="BL47" s="229">
        <v>0.3216</v>
      </c>
      <c r="BM47" s="230">
        <v>1343</v>
      </c>
      <c r="BN47" s="228">
        <v>708</v>
      </c>
      <c r="BO47" s="228">
        <v>635</v>
      </c>
      <c r="BP47" s="229">
        <v>0.8962</v>
      </c>
      <c r="BQ47" s="230">
        <v>4186</v>
      </c>
      <c r="BR47" s="230">
        <v>2760</v>
      </c>
      <c r="BS47" s="230">
        <v>1427</v>
      </c>
      <c r="BT47" s="229">
        <v>0.51700000000000002</v>
      </c>
      <c r="BU47" s="230">
        <v>11372615</v>
      </c>
      <c r="BV47" s="230">
        <v>12040467</v>
      </c>
      <c r="BW47" s="230">
        <v>-667852</v>
      </c>
      <c r="BX47" s="229">
        <v>-5.5500000000000001E-2</v>
      </c>
      <c r="BY47" s="230">
        <v>3085</v>
      </c>
      <c r="BZ47" s="230">
        <v>3094</v>
      </c>
      <c r="CA47" s="228">
        <v>-10</v>
      </c>
      <c r="CB47" s="229">
        <v>-3.0999999999999999E-3</v>
      </c>
      <c r="CC47" s="230">
        <v>2742</v>
      </c>
      <c r="CD47" s="230">
        <v>2801</v>
      </c>
      <c r="CE47" s="228">
        <v>-59</v>
      </c>
      <c r="CF47" s="229">
        <v>-2.1100000000000001E-2</v>
      </c>
      <c r="CG47" s="228">
        <v>306</v>
      </c>
      <c r="CH47" s="228">
        <v>256</v>
      </c>
      <c r="CI47" s="228">
        <v>50</v>
      </c>
      <c r="CJ47" s="229">
        <v>0.19520000000000001</v>
      </c>
      <c r="CK47" s="228">
        <v>37</v>
      </c>
      <c r="CL47" s="228">
        <v>38</v>
      </c>
      <c r="CM47" s="228">
        <v>0</v>
      </c>
      <c r="CN47" s="229">
        <v>-9.4000000000000004E-3</v>
      </c>
      <c r="CO47" s="230">
        <v>1945</v>
      </c>
      <c r="CP47" s="230">
        <v>1985</v>
      </c>
      <c r="CQ47" s="228">
        <v>-40</v>
      </c>
      <c r="CR47" s="229">
        <v>-2.0199999999999999E-2</v>
      </c>
      <c r="CS47" s="230">
        <v>1247</v>
      </c>
      <c r="CT47" s="230">
        <v>1126</v>
      </c>
      <c r="CU47" s="228">
        <v>121</v>
      </c>
      <c r="CV47" s="229">
        <v>0.1079</v>
      </c>
      <c r="CW47" s="230">
        <v>6277</v>
      </c>
      <c r="CX47" s="230">
        <v>6205</v>
      </c>
      <c r="CY47" s="228">
        <v>72</v>
      </c>
      <c r="CZ47" s="229">
        <v>1.1599999999999999E-2</v>
      </c>
      <c r="DA47" s="228">
        <v>28.23</v>
      </c>
      <c r="DB47" s="228">
        <v>30.76</v>
      </c>
      <c r="DC47" s="228">
        <v>-2.5299999999999998</v>
      </c>
      <c r="DD47" s="228">
        <v>-2.5299999999999998</v>
      </c>
      <c r="DE47" s="228">
        <v>31.03</v>
      </c>
      <c r="DF47" s="228">
        <v>31.03</v>
      </c>
      <c r="DG47" s="228">
        <v>-2.8</v>
      </c>
      <c r="DH47" s="228">
        <v>0</v>
      </c>
      <c r="DI47" s="228">
        <v>27.9</v>
      </c>
      <c r="DJ47" s="228">
        <v>30.88</v>
      </c>
      <c r="DK47" s="228">
        <v>-2.98</v>
      </c>
      <c r="DL47" s="228">
        <v>-2.98</v>
      </c>
      <c r="DM47" s="228">
        <v>28.78</v>
      </c>
      <c r="DN47" s="228">
        <v>30.48</v>
      </c>
      <c r="DO47" s="228">
        <v>-1.7</v>
      </c>
      <c r="DP47" s="228">
        <v>-1.7</v>
      </c>
      <c r="DQ47" s="228">
        <v>0.64</v>
      </c>
      <c r="DR47" s="228">
        <v>0.56999999999999995</v>
      </c>
      <c r="DS47" s="228">
        <v>7.0000000000000007E-2</v>
      </c>
      <c r="DT47" s="229">
        <v>0.12280000000000001</v>
      </c>
      <c r="DU47" s="228">
        <v>500</v>
      </c>
      <c r="DV47" s="228">
        <v>400</v>
      </c>
      <c r="DW47" s="228">
        <v>0.6</v>
      </c>
      <c r="DX47" s="228">
        <v>0.42</v>
      </c>
      <c r="DY47" s="228">
        <v>0.18</v>
      </c>
      <c r="DZ47" s="229">
        <v>0.42859999999999998</v>
      </c>
      <c r="EA47" s="229">
        <v>0.11119999999999999</v>
      </c>
      <c r="EB47" s="230">
        <v>6674400</v>
      </c>
      <c r="EC47" s="229">
        <v>-6.8999999999999999E-3</v>
      </c>
      <c r="ED47" s="229">
        <v>0.11119999999999999</v>
      </c>
      <c r="EE47" s="228">
        <v>-3.46</v>
      </c>
      <c r="EF47" s="229">
        <v>-7.9000000000000008E-3</v>
      </c>
      <c r="EG47" s="230">
        <v>6874068</v>
      </c>
      <c r="EH47" s="230">
        <v>8321483</v>
      </c>
      <c r="EI47" s="229">
        <v>-0.1739</v>
      </c>
      <c r="EJ47" s="229">
        <v>0.60440000000000005</v>
      </c>
      <c r="EK47" s="231">
        <v>2309.63</v>
      </c>
      <c r="EL47" s="231">
        <v>1327.58</v>
      </c>
      <c r="EM47" s="228">
        <v>600.6</v>
      </c>
      <c r="EN47" s="228">
        <v>105.49</v>
      </c>
      <c r="EO47" s="231">
        <v>4237.8100000000004</v>
      </c>
      <c r="EP47" s="231">
        <v>2819.04</v>
      </c>
      <c r="EQ47" s="231">
        <v>1418.77</v>
      </c>
      <c r="ER47" s="229">
        <v>0.50329999999999997</v>
      </c>
      <c r="ES47" s="231">
        <v>2067.94</v>
      </c>
      <c r="ET47" s="231">
        <v>1209.4000000000001</v>
      </c>
      <c r="EU47" s="231">
        <v>3082.27</v>
      </c>
      <c r="EV47" s="231">
        <v>320531323</v>
      </c>
      <c r="EW47" s="231">
        <v>6359.62</v>
      </c>
      <c r="EX47" s="231">
        <v>6238.68</v>
      </c>
      <c r="EY47" s="228">
        <v>120.94</v>
      </c>
      <c r="EZ47" s="229">
        <v>1.9400000000000001E-2</v>
      </c>
      <c r="FA47" s="229">
        <v>0.44550000000000001</v>
      </c>
      <c r="FB47" s="227" t="s">
        <v>693</v>
      </c>
      <c r="FC47">
        <f t="shared" si="0"/>
        <v>343</v>
      </c>
    </row>
    <row r="48" spans="1:159" ht="17.25" thickBot="1" x14ac:dyDescent="0.3">
      <c r="A48" s="226">
        <v>46129</v>
      </c>
      <c r="B48" s="227" t="s">
        <v>215</v>
      </c>
      <c r="C48" s="227" t="s">
        <v>696</v>
      </c>
      <c r="D48" s="228">
        <v>400</v>
      </c>
      <c r="E48" s="228">
        <v>11</v>
      </c>
      <c r="F48" s="231">
        <v>1566.2</v>
      </c>
      <c r="G48" s="231">
        <v>1503.2</v>
      </c>
      <c r="H48" s="228">
        <v>63</v>
      </c>
      <c r="I48" s="229">
        <v>4.19E-2</v>
      </c>
      <c r="J48" s="231">
        <v>1561.1</v>
      </c>
      <c r="K48" s="231">
        <v>1498.1</v>
      </c>
      <c r="L48" s="228">
        <v>63</v>
      </c>
      <c r="M48" s="229">
        <v>4.2099999999999999E-2</v>
      </c>
      <c r="N48" s="231">
        <v>1566.2</v>
      </c>
      <c r="O48" s="231">
        <v>1503.2</v>
      </c>
      <c r="P48" s="228">
        <v>63</v>
      </c>
      <c r="Q48" s="229">
        <v>4.19E-2</v>
      </c>
      <c r="R48" s="231">
        <v>1566.4</v>
      </c>
      <c r="S48" s="231">
        <v>1505</v>
      </c>
      <c r="T48" s="228">
        <v>61.4</v>
      </c>
      <c r="U48" s="229">
        <v>4.0800000000000003E-2</v>
      </c>
      <c r="V48" s="231">
        <v>1571.2</v>
      </c>
      <c r="W48" s="231">
        <v>1504.6</v>
      </c>
      <c r="X48" s="228">
        <v>66.599999999999994</v>
      </c>
      <c r="Y48" s="229">
        <v>4.4299999999999999E-2</v>
      </c>
      <c r="Z48" s="228">
        <v>5.0999999999999996</v>
      </c>
      <c r="AA48" s="228">
        <v>5.0999999999999996</v>
      </c>
      <c r="AB48" s="228">
        <v>0</v>
      </c>
      <c r="AC48" s="229">
        <v>3.3E-3</v>
      </c>
      <c r="AD48" s="228">
        <v>5.0999999999999996</v>
      </c>
      <c r="AE48" s="228">
        <v>5.0999999999999996</v>
      </c>
      <c r="AF48" s="228">
        <v>0</v>
      </c>
      <c r="AG48" s="229">
        <v>3.3E-3</v>
      </c>
      <c r="AH48" s="228">
        <v>5.3</v>
      </c>
      <c r="AI48" s="228">
        <v>6.9</v>
      </c>
      <c r="AJ48" s="228">
        <v>-1.6</v>
      </c>
      <c r="AK48" s="229">
        <v>3.3999999999999998E-3</v>
      </c>
      <c r="AL48" s="228">
        <v>10.1</v>
      </c>
      <c r="AM48" s="228">
        <v>6.5</v>
      </c>
      <c r="AN48" s="228">
        <v>3.6</v>
      </c>
      <c r="AO48" s="229">
        <v>6.4999999999999997E-3</v>
      </c>
      <c r="AP48" s="231">
        <v>1555.81</v>
      </c>
      <c r="AQ48" s="231">
        <v>1555.52</v>
      </c>
      <c r="AR48" s="228">
        <v>0</v>
      </c>
      <c r="AS48" s="228">
        <v>269</v>
      </c>
      <c r="AT48" s="228">
        <v>161</v>
      </c>
      <c r="AU48" s="228">
        <v>108</v>
      </c>
      <c r="AV48" s="229">
        <v>0.6704</v>
      </c>
      <c r="AW48" s="228">
        <v>228</v>
      </c>
      <c r="AX48" s="228">
        <v>119</v>
      </c>
      <c r="AY48" s="228">
        <v>109</v>
      </c>
      <c r="AZ48" s="229">
        <v>0.91520000000000001</v>
      </c>
      <c r="BA48" s="228">
        <v>37</v>
      </c>
      <c r="BB48" s="228">
        <v>38</v>
      </c>
      <c r="BC48" s="228">
        <v>-1</v>
      </c>
      <c r="BD48" s="229">
        <v>-2.47E-2</v>
      </c>
      <c r="BE48" s="228">
        <v>4</v>
      </c>
      <c r="BF48" s="228">
        <v>4</v>
      </c>
      <c r="BG48" s="228">
        <v>0</v>
      </c>
      <c r="BH48" s="229">
        <v>-3.3300000000000003E-2</v>
      </c>
      <c r="BI48" s="230">
        <v>1381</v>
      </c>
      <c r="BJ48" s="228">
        <v>236</v>
      </c>
      <c r="BK48" s="230">
        <v>1145</v>
      </c>
      <c r="BL48" s="229">
        <v>4.8502999999999998</v>
      </c>
      <c r="BM48" s="228">
        <v>260</v>
      </c>
      <c r="BN48" s="228">
        <v>148</v>
      </c>
      <c r="BO48" s="228">
        <v>112</v>
      </c>
      <c r="BP48" s="229">
        <v>0.75829999999999997</v>
      </c>
      <c r="BQ48" s="230">
        <v>1909</v>
      </c>
      <c r="BR48" s="228">
        <v>545</v>
      </c>
      <c r="BS48" s="230">
        <v>1364</v>
      </c>
      <c r="BT48" s="229">
        <v>2.5057999999999998</v>
      </c>
      <c r="BU48" s="230">
        <v>3854822</v>
      </c>
      <c r="BV48" s="230">
        <v>1989924</v>
      </c>
      <c r="BW48" s="230">
        <v>1864898</v>
      </c>
      <c r="BX48" s="229">
        <v>0.93720000000000003</v>
      </c>
      <c r="BY48" s="228">
        <v>281</v>
      </c>
      <c r="BZ48" s="228">
        <v>230</v>
      </c>
      <c r="CA48" s="228">
        <v>51</v>
      </c>
      <c r="CB48" s="229">
        <v>0.22320000000000001</v>
      </c>
      <c r="CC48" s="228">
        <v>219</v>
      </c>
      <c r="CD48" s="228">
        <v>175</v>
      </c>
      <c r="CE48" s="228">
        <v>44</v>
      </c>
      <c r="CF48" s="229">
        <v>0.2515</v>
      </c>
      <c r="CG48" s="228">
        <v>58</v>
      </c>
      <c r="CH48" s="228">
        <v>51</v>
      </c>
      <c r="CI48" s="228">
        <v>6</v>
      </c>
      <c r="CJ48" s="229">
        <v>0.1229</v>
      </c>
      <c r="CK48" s="228">
        <v>4</v>
      </c>
      <c r="CL48" s="228">
        <v>3</v>
      </c>
      <c r="CM48" s="228">
        <v>1</v>
      </c>
      <c r="CN48" s="229">
        <v>0.29170000000000001</v>
      </c>
      <c r="CO48" s="228">
        <v>170</v>
      </c>
      <c r="CP48" s="228">
        <v>130</v>
      </c>
      <c r="CQ48" s="228">
        <v>40</v>
      </c>
      <c r="CR48" s="229">
        <v>0.30570000000000003</v>
      </c>
      <c r="CS48" s="228">
        <v>116</v>
      </c>
      <c r="CT48" s="228">
        <v>97</v>
      </c>
      <c r="CU48" s="228">
        <v>19</v>
      </c>
      <c r="CV48" s="229">
        <v>0.19919999999999999</v>
      </c>
      <c r="CW48" s="228">
        <v>567</v>
      </c>
      <c r="CX48" s="228">
        <v>456</v>
      </c>
      <c r="CY48" s="228">
        <v>110</v>
      </c>
      <c r="CZ48" s="229">
        <v>0.24160000000000001</v>
      </c>
      <c r="DA48" s="228">
        <v>52.74</v>
      </c>
      <c r="DB48" s="228">
        <v>56.2</v>
      </c>
      <c r="DC48" s="228">
        <v>-3.46</v>
      </c>
      <c r="DD48" s="228">
        <v>-3.46</v>
      </c>
      <c r="DE48" s="228">
        <v>54.91</v>
      </c>
      <c r="DF48" s="228">
        <v>54.77</v>
      </c>
      <c r="DG48" s="228">
        <v>-2.17</v>
      </c>
      <c r="DH48" s="228">
        <v>0.14000000000000001</v>
      </c>
      <c r="DI48" s="228">
        <v>52.4</v>
      </c>
      <c r="DJ48" s="228">
        <v>52.09</v>
      </c>
      <c r="DK48" s="228">
        <v>0.31</v>
      </c>
      <c r="DL48" s="228">
        <v>0.31</v>
      </c>
      <c r="DM48" s="228">
        <v>54.57</v>
      </c>
      <c r="DN48" s="228">
        <v>62.76</v>
      </c>
      <c r="DO48" s="228">
        <v>-8.19</v>
      </c>
      <c r="DP48" s="228">
        <v>-8.19</v>
      </c>
      <c r="DQ48" s="228">
        <v>0.68</v>
      </c>
      <c r="DR48" s="228">
        <v>0.74</v>
      </c>
      <c r="DS48" s="228">
        <v>-0.06</v>
      </c>
      <c r="DT48" s="229">
        <v>-8.1100000000000005E-2</v>
      </c>
      <c r="DU48" s="231">
        <v>1600</v>
      </c>
      <c r="DV48" s="231">
        <v>1300</v>
      </c>
      <c r="DW48" s="228">
        <v>0.19</v>
      </c>
      <c r="DX48" s="228">
        <v>0.63</v>
      </c>
      <c r="DY48" s="228">
        <v>-0.44</v>
      </c>
      <c r="DZ48" s="229">
        <v>-0.69840000000000002</v>
      </c>
      <c r="EA48" s="229">
        <v>0.2195</v>
      </c>
      <c r="EB48" s="230">
        <v>348000</v>
      </c>
      <c r="EC48" s="229">
        <v>1E-4</v>
      </c>
      <c r="ED48" s="229">
        <v>0.2195</v>
      </c>
      <c r="EE48" s="228">
        <v>-0.28999999999999998</v>
      </c>
      <c r="EF48" s="229">
        <v>-2.0000000000000001E-4</v>
      </c>
      <c r="EG48" s="230">
        <v>851607</v>
      </c>
      <c r="EH48" s="230">
        <v>461287</v>
      </c>
      <c r="EI48" s="229">
        <v>0.84619999999999995</v>
      </c>
      <c r="EJ48" s="229">
        <v>0.22090000000000001</v>
      </c>
      <c r="EK48" s="231">
        <v>1435.46</v>
      </c>
      <c r="EL48" s="228">
        <v>247.59</v>
      </c>
      <c r="EM48" s="228">
        <v>266.85000000000002</v>
      </c>
      <c r="EN48" s="228">
        <v>23.17</v>
      </c>
      <c r="EO48" s="231">
        <v>1949.9</v>
      </c>
      <c r="EP48" s="228">
        <v>515.21</v>
      </c>
      <c r="EQ48" s="231">
        <v>1434.69</v>
      </c>
      <c r="ER48" s="229">
        <v>2.7847</v>
      </c>
      <c r="ES48" s="228">
        <v>166.28</v>
      </c>
      <c r="ET48" s="228">
        <v>102.98</v>
      </c>
      <c r="EU48" s="228">
        <v>281.18</v>
      </c>
      <c r="EV48" s="231">
        <v>12661431</v>
      </c>
      <c r="EW48" s="228">
        <v>550.45000000000005</v>
      </c>
      <c r="EX48" s="228">
        <v>428.95</v>
      </c>
      <c r="EY48" s="228">
        <v>121.5</v>
      </c>
      <c r="EZ48" s="229">
        <v>0.28320000000000001</v>
      </c>
      <c r="FA48" s="229">
        <v>0.28570000000000001</v>
      </c>
      <c r="FB48" s="227" t="s">
        <v>555</v>
      </c>
      <c r="FC48">
        <f t="shared" si="0"/>
        <v>62</v>
      </c>
    </row>
    <row r="49" spans="1:159" ht="17.25" thickBot="1" x14ac:dyDescent="0.3">
      <c r="A49" s="226">
        <v>46129</v>
      </c>
      <c r="B49" s="227" t="s">
        <v>221</v>
      </c>
      <c r="C49" s="227" t="s">
        <v>470</v>
      </c>
      <c r="D49" s="228">
        <v>375</v>
      </c>
      <c r="E49" s="228">
        <v>11</v>
      </c>
      <c r="F49" s="231">
        <v>1316.8</v>
      </c>
      <c r="G49" s="231">
        <v>1313</v>
      </c>
      <c r="H49" s="228">
        <v>3.8</v>
      </c>
      <c r="I49" s="229">
        <v>2.8999999999999998E-3</v>
      </c>
      <c r="J49" s="231">
        <v>1316.8</v>
      </c>
      <c r="K49" s="231">
        <v>1313.2</v>
      </c>
      <c r="L49" s="228">
        <v>3.6</v>
      </c>
      <c r="M49" s="229">
        <v>2.7000000000000001E-3</v>
      </c>
      <c r="N49" s="231">
        <v>1316.8</v>
      </c>
      <c r="O49" s="231">
        <v>1313</v>
      </c>
      <c r="P49" s="228">
        <v>3.8</v>
      </c>
      <c r="Q49" s="229">
        <v>2.8999999999999998E-3</v>
      </c>
      <c r="R49" s="231">
        <v>1321</v>
      </c>
      <c r="S49" s="231">
        <v>1315.2</v>
      </c>
      <c r="T49" s="228">
        <v>5.8</v>
      </c>
      <c r="U49" s="229">
        <v>4.4000000000000003E-3</v>
      </c>
      <c r="V49" s="231">
        <v>1327.9</v>
      </c>
      <c r="W49" s="231">
        <v>1324.4</v>
      </c>
      <c r="X49" s="228">
        <v>3.5</v>
      </c>
      <c r="Y49" s="229">
        <v>2.5999999999999999E-3</v>
      </c>
      <c r="Z49" s="228">
        <v>0</v>
      </c>
      <c r="AA49" s="228">
        <v>-0.2</v>
      </c>
      <c r="AB49" s="228">
        <v>0.2</v>
      </c>
      <c r="AC49" s="229">
        <v>0</v>
      </c>
      <c r="AD49" s="228">
        <v>0</v>
      </c>
      <c r="AE49" s="228">
        <v>-0.2</v>
      </c>
      <c r="AF49" s="228">
        <v>0.2</v>
      </c>
      <c r="AG49" s="229">
        <v>0</v>
      </c>
      <c r="AH49" s="228">
        <v>4.2</v>
      </c>
      <c r="AI49" s="228">
        <v>2</v>
      </c>
      <c r="AJ49" s="228">
        <v>2.2000000000000002</v>
      </c>
      <c r="AK49" s="229">
        <v>3.2000000000000002E-3</v>
      </c>
      <c r="AL49" s="228">
        <v>11.1</v>
      </c>
      <c r="AM49" s="228">
        <v>11.2</v>
      </c>
      <c r="AN49" s="228">
        <v>-0.1</v>
      </c>
      <c r="AO49" s="229">
        <v>8.3999999999999995E-3</v>
      </c>
      <c r="AP49" s="231">
        <v>1313.13</v>
      </c>
      <c r="AQ49" s="231">
        <v>1317.38</v>
      </c>
      <c r="AR49" s="228">
        <v>0</v>
      </c>
      <c r="AS49" s="228">
        <v>306</v>
      </c>
      <c r="AT49" s="228">
        <v>498</v>
      </c>
      <c r="AU49" s="228">
        <v>-193</v>
      </c>
      <c r="AV49" s="229">
        <v>-0.38640000000000002</v>
      </c>
      <c r="AW49" s="228">
        <v>259</v>
      </c>
      <c r="AX49" s="228">
        <v>424</v>
      </c>
      <c r="AY49" s="228">
        <v>-164</v>
      </c>
      <c r="AZ49" s="229">
        <v>-0.38829999999999998</v>
      </c>
      <c r="BA49" s="228">
        <v>44</v>
      </c>
      <c r="BB49" s="228">
        <v>66</v>
      </c>
      <c r="BC49" s="228">
        <v>-23</v>
      </c>
      <c r="BD49" s="229">
        <v>-0.34470000000000001</v>
      </c>
      <c r="BE49" s="228">
        <v>3</v>
      </c>
      <c r="BF49" s="228">
        <v>8</v>
      </c>
      <c r="BG49" s="228">
        <v>-5</v>
      </c>
      <c r="BH49" s="229">
        <v>-0.61990000000000001</v>
      </c>
      <c r="BI49" s="228">
        <v>858</v>
      </c>
      <c r="BJ49" s="230">
        <v>2348</v>
      </c>
      <c r="BK49" s="230">
        <v>-1489</v>
      </c>
      <c r="BL49" s="229">
        <v>-0.63449999999999995</v>
      </c>
      <c r="BM49" s="228">
        <v>476</v>
      </c>
      <c r="BN49" s="230">
        <v>1061</v>
      </c>
      <c r="BO49" s="228">
        <v>-586</v>
      </c>
      <c r="BP49" s="229">
        <v>-0.55189999999999995</v>
      </c>
      <c r="BQ49" s="230">
        <v>1640</v>
      </c>
      <c r="BR49" s="230">
        <v>3907</v>
      </c>
      <c r="BS49" s="230">
        <v>-2268</v>
      </c>
      <c r="BT49" s="229">
        <v>-0.58040000000000003</v>
      </c>
      <c r="BU49" s="230">
        <v>2914113</v>
      </c>
      <c r="BV49" s="230">
        <v>3875304</v>
      </c>
      <c r="BW49" s="230">
        <v>-961191</v>
      </c>
      <c r="BX49" s="229">
        <v>-0.248</v>
      </c>
      <c r="BY49" s="230">
        <v>2408</v>
      </c>
      <c r="BZ49" s="230">
        <v>2444</v>
      </c>
      <c r="CA49" s="228">
        <v>-36</v>
      </c>
      <c r="CB49" s="229">
        <v>-1.46E-2</v>
      </c>
      <c r="CC49" s="230">
        <v>2264</v>
      </c>
      <c r="CD49" s="230">
        <v>2313</v>
      </c>
      <c r="CE49" s="228">
        <v>-49</v>
      </c>
      <c r="CF49" s="229">
        <v>-2.1299999999999999E-2</v>
      </c>
      <c r="CG49" s="228">
        <v>132</v>
      </c>
      <c r="CH49" s="228">
        <v>121</v>
      </c>
      <c r="CI49" s="228">
        <v>12</v>
      </c>
      <c r="CJ49" s="229">
        <v>9.8299999999999998E-2</v>
      </c>
      <c r="CK49" s="228">
        <v>12</v>
      </c>
      <c r="CL49" s="228">
        <v>10</v>
      </c>
      <c r="CM49" s="228">
        <v>2</v>
      </c>
      <c r="CN49" s="229">
        <v>0.15709999999999999</v>
      </c>
      <c r="CO49" s="230">
        <v>1006</v>
      </c>
      <c r="CP49" s="228">
        <v>999</v>
      </c>
      <c r="CQ49" s="228">
        <v>7</v>
      </c>
      <c r="CR49" s="229">
        <v>7.1999999999999998E-3</v>
      </c>
      <c r="CS49" s="228">
        <v>651</v>
      </c>
      <c r="CT49" s="228">
        <v>630</v>
      </c>
      <c r="CU49" s="228">
        <v>21</v>
      </c>
      <c r="CV49" s="229">
        <v>3.4099999999999998E-2</v>
      </c>
      <c r="CW49" s="230">
        <v>4065</v>
      </c>
      <c r="CX49" s="230">
        <v>4072</v>
      </c>
      <c r="CY49" s="228">
        <v>-7</v>
      </c>
      <c r="CZ49" s="229">
        <v>-1.6999999999999999E-3</v>
      </c>
      <c r="DA49" s="228">
        <v>39.99</v>
      </c>
      <c r="DB49" s="228">
        <v>40.619999999999997</v>
      </c>
      <c r="DC49" s="228">
        <v>-0.63</v>
      </c>
      <c r="DD49" s="228">
        <v>-0.63</v>
      </c>
      <c r="DE49" s="228">
        <v>43.2</v>
      </c>
      <c r="DF49" s="228">
        <v>43.31</v>
      </c>
      <c r="DG49" s="228">
        <v>-3.21</v>
      </c>
      <c r="DH49" s="228">
        <v>-0.11</v>
      </c>
      <c r="DI49" s="228">
        <v>38.700000000000003</v>
      </c>
      <c r="DJ49" s="228">
        <v>39.89</v>
      </c>
      <c r="DK49" s="228">
        <v>-1.19</v>
      </c>
      <c r="DL49" s="228">
        <v>-1.19</v>
      </c>
      <c r="DM49" s="228">
        <v>42.31</v>
      </c>
      <c r="DN49" s="228">
        <v>42.24</v>
      </c>
      <c r="DO49" s="228">
        <v>7.0000000000000007E-2</v>
      </c>
      <c r="DP49" s="228">
        <v>7.0000000000000007E-2</v>
      </c>
      <c r="DQ49" s="228">
        <v>0.65</v>
      </c>
      <c r="DR49" s="228">
        <v>0.63</v>
      </c>
      <c r="DS49" s="228">
        <v>0.02</v>
      </c>
      <c r="DT49" s="229">
        <v>3.1699999999999999E-2</v>
      </c>
      <c r="DU49" s="231">
        <v>1300</v>
      </c>
      <c r="DV49" s="231">
        <v>1220</v>
      </c>
      <c r="DW49" s="228">
        <v>0.55000000000000004</v>
      </c>
      <c r="DX49" s="228">
        <v>0.45</v>
      </c>
      <c r="DY49" s="228">
        <v>0.1</v>
      </c>
      <c r="DZ49" s="229">
        <v>0.22220000000000001</v>
      </c>
      <c r="EA49" s="229">
        <v>0.06</v>
      </c>
      <c r="EB49" s="230">
        <v>994500</v>
      </c>
      <c r="EC49" s="229">
        <v>3.2000000000000002E-3</v>
      </c>
      <c r="ED49" s="229">
        <v>0.06</v>
      </c>
      <c r="EE49" s="228">
        <v>4.25</v>
      </c>
      <c r="EF49" s="229">
        <v>3.2000000000000002E-3</v>
      </c>
      <c r="EG49" s="230">
        <v>1377808</v>
      </c>
      <c r="EH49" s="230">
        <v>1358788</v>
      </c>
      <c r="EI49" s="229">
        <v>1.4E-2</v>
      </c>
      <c r="EJ49" s="229">
        <v>0.4728</v>
      </c>
      <c r="EK49" s="228">
        <v>898.16</v>
      </c>
      <c r="EL49" s="228">
        <v>463.61</v>
      </c>
      <c r="EM49" s="228">
        <v>305.18</v>
      </c>
      <c r="EN49" s="228">
        <v>93.74</v>
      </c>
      <c r="EO49" s="231">
        <v>1666.94</v>
      </c>
      <c r="EP49" s="231">
        <v>3993.86</v>
      </c>
      <c r="EQ49" s="231">
        <v>-2326.92</v>
      </c>
      <c r="ER49" s="229">
        <v>-0.58260000000000001</v>
      </c>
      <c r="ES49" s="228">
        <v>966.92</v>
      </c>
      <c r="ET49" s="228">
        <v>597.15</v>
      </c>
      <c r="EU49" s="231">
        <v>2408.69</v>
      </c>
      <c r="EV49" s="231">
        <v>50256271</v>
      </c>
      <c r="EW49" s="231">
        <v>3972.76</v>
      </c>
      <c r="EX49" s="231">
        <v>3971.2</v>
      </c>
      <c r="EY49" s="228">
        <v>1.56</v>
      </c>
      <c r="EZ49" s="229">
        <v>4.0000000000000002E-4</v>
      </c>
      <c r="FA49" s="229">
        <v>0.61429999999999996</v>
      </c>
      <c r="FB49" s="227" t="s">
        <v>693</v>
      </c>
      <c r="FC49">
        <f t="shared" si="0"/>
        <v>144</v>
      </c>
    </row>
    <row r="50" spans="1:159" ht="17.25" thickBot="1" x14ac:dyDescent="0.3">
      <c r="A50" s="226">
        <v>46129</v>
      </c>
      <c r="B50" s="227" t="s">
        <v>168</v>
      </c>
      <c r="C50" s="227" t="s">
        <v>201</v>
      </c>
      <c r="D50" s="228">
        <v>225</v>
      </c>
      <c r="E50" s="228">
        <v>11</v>
      </c>
      <c r="F50" s="231">
        <v>2109.1999999999998</v>
      </c>
      <c r="G50" s="231">
        <v>1982.8</v>
      </c>
      <c r="H50" s="228">
        <v>126.4</v>
      </c>
      <c r="I50" s="229">
        <v>6.3700000000000007E-2</v>
      </c>
      <c r="J50" s="231">
        <v>2106</v>
      </c>
      <c r="K50" s="231">
        <v>1977.4</v>
      </c>
      <c r="L50" s="228">
        <v>128.6</v>
      </c>
      <c r="M50" s="229">
        <v>6.5000000000000002E-2</v>
      </c>
      <c r="N50" s="231">
        <v>2109.1999999999998</v>
      </c>
      <c r="O50" s="231">
        <v>1982.8</v>
      </c>
      <c r="P50" s="228">
        <v>126.4</v>
      </c>
      <c r="Q50" s="229">
        <v>6.3700000000000007E-2</v>
      </c>
      <c r="R50" s="231">
        <v>2101.6</v>
      </c>
      <c r="S50" s="231">
        <v>1973.2</v>
      </c>
      <c r="T50" s="228">
        <v>128.4</v>
      </c>
      <c r="U50" s="229">
        <v>6.5100000000000005E-2</v>
      </c>
      <c r="V50" s="231">
        <v>2098.6</v>
      </c>
      <c r="W50" s="231">
        <v>1976.6</v>
      </c>
      <c r="X50" s="228">
        <v>122</v>
      </c>
      <c r="Y50" s="229">
        <v>6.1699999999999998E-2</v>
      </c>
      <c r="Z50" s="228">
        <v>3.2</v>
      </c>
      <c r="AA50" s="228">
        <v>5.4</v>
      </c>
      <c r="AB50" s="228">
        <v>-2.2000000000000002</v>
      </c>
      <c r="AC50" s="229">
        <v>1.5E-3</v>
      </c>
      <c r="AD50" s="228">
        <v>3.2</v>
      </c>
      <c r="AE50" s="228">
        <v>5.4</v>
      </c>
      <c r="AF50" s="228">
        <v>-2.2000000000000002</v>
      </c>
      <c r="AG50" s="229">
        <v>1.5E-3</v>
      </c>
      <c r="AH50" s="228">
        <v>-4.4000000000000004</v>
      </c>
      <c r="AI50" s="228">
        <v>-4.2</v>
      </c>
      <c r="AJ50" s="228">
        <v>-0.2</v>
      </c>
      <c r="AK50" s="229">
        <v>-2.0999999999999999E-3</v>
      </c>
      <c r="AL50" s="228">
        <v>-7.4</v>
      </c>
      <c r="AM50" s="228">
        <v>-0.8</v>
      </c>
      <c r="AN50" s="228">
        <v>-6.6</v>
      </c>
      <c r="AO50" s="229">
        <v>-3.5000000000000001E-3</v>
      </c>
      <c r="AP50" s="231">
        <v>2091.62</v>
      </c>
      <c r="AQ50" s="231">
        <v>2070.46</v>
      </c>
      <c r="AR50" s="228">
        <v>0</v>
      </c>
      <c r="AS50" s="228">
        <v>667</v>
      </c>
      <c r="AT50" s="228">
        <v>212</v>
      </c>
      <c r="AU50" s="228">
        <v>455</v>
      </c>
      <c r="AV50" s="229">
        <v>2.1520999999999999</v>
      </c>
      <c r="AW50" s="228">
        <v>598</v>
      </c>
      <c r="AX50" s="228">
        <v>192</v>
      </c>
      <c r="AY50" s="228">
        <v>406</v>
      </c>
      <c r="AZ50" s="229">
        <v>2.1107999999999998</v>
      </c>
      <c r="BA50" s="228">
        <v>62</v>
      </c>
      <c r="BB50" s="228">
        <v>17</v>
      </c>
      <c r="BC50" s="228">
        <v>44</v>
      </c>
      <c r="BD50" s="229">
        <v>2.5604</v>
      </c>
      <c r="BE50" s="228">
        <v>7</v>
      </c>
      <c r="BF50" s="228">
        <v>2</v>
      </c>
      <c r="BG50" s="228">
        <v>5</v>
      </c>
      <c r="BH50" s="229">
        <v>2.641</v>
      </c>
      <c r="BI50" s="230">
        <v>5869</v>
      </c>
      <c r="BJ50" s="228">
        <v>684</v>
      </c>
      <c r="BK50" s="230">
        <v>5185</v>
      </c>
      <c r="BL50" s="229">
        <v>7.5838000000000001</v>
      </c>
      <c r="BM50" s="230">
        <v>2207</v>
      </c>
      <c r="BN50" s="228">
        <v>232</v>
      </c>
      <c r="BO50" s="230">
        <v>1975</v>
      </c>
      <c r="BP50" s="229">
        <v>8.5174000000000003</v>
      </c>
      <c r="BQ50" s="230">
        <v>8743</v>
      </c>
      <c r="BR50" s="230">
        <v>1127</v>
      </c>
      <c r="BS50" s="230">
        <v>7616</v>
      </c>
      <c r="BT50" s="229">
        <v>6.7565999999999997</v>
      </c>
      <c r="BU50" s="230">
        <v>2217997</v>
      </c>
      <c r="BV50" s="230">
        <v>387056</v>
      </c>
      <c r="BW50" s="230">
        <v>1830941</v>
      </c>
      <c r="BX50" s="229">
        <v>4.7304000000000004</v>
      </c>
      <c r="BY50" s="230">
        <v>1232</v>
      </c>
      <c r="BZ50" s="230">
        <v>1301</v>
      </c>
      <c r="CA50" s="228">
        <v>-68</v>
      </c>
      <c r="CB50" s="229">
        <v>-5.2600000000000001E-2</v>
      </c>
      <c r="CC50" s="230">
        <v>1159</v>
      </c>
      <c r="CD50" s="230">
        <v>1224</v>
      </c>
      <c r="CE50" s="228">
        <v>-65</v>
      </c>
      <c r="CF50" s="229">
        <v>-5.33E-2</v>
      </c>
      <c r="CG50" s="228">
        <v>67</v>
      </c>
      <c r="CH50" s="228">
        <v>70</v>
      </c>
      <c r="CI50" s="228">
        <v>-3</v>
      </c>
      <c r="CJ50" s="229">
        <v>-4.1799999999999997E-2</v>
      </c>
      <c r="CK50" s="228">
        <v>6</v>
      </c>
      <c r="CL50" s="228">
        <v>6</v>
      </c>
      <c r="CM50" s="228">
        <v>0</v>
      </c>
      <c r="CN50" s="229">
        <v>-4.7199999999999999E-2</v>
      </c>
      <c r="CO50" s="228">
        <v>566</v>
      </c>
      <c r="CP50" s="228">
        <v>328</v>
      </c>
      <c r="CQ50" s="228">
        <v>239</v>
      </c>
      <c r="CR50" s="229">
        <v>0.72799999999999998</v>
      </c>
      <c r="CS50" s="228">
        <v>416</v>
      </c>
      <c r="CT50" s="228">
        <v>232</v>
      </c>
      <c r="CU50" s="228">
        <v>184</v>
      </c>
      <c r="CV50" s="229">
        <v>0.79500000000000004</v>
      </c>
      <c r="CW50" s="230">
        <v>2215</v>
      </c>
      <c r="CX50" s="230">
        <v>1860</v>
      </c>
      <c r="CY50" s="228">
        <v>354</v>
      </c>
      <c r="CZ50" s="229">
        <v>0.1905</v>
      </c>
      <c r="DA50" s="228">
        <v>31.34</v>
      </c>
      <c r="DB50" s="228">
        <v>28.34</v>
      </c>
      <c r="DC50" s="228">
        <v>3</v>
      </c>
      <c r="DD50" s="228">
        <v>3</v>
      </c>
      <c r="DE50" s="228">
        <v>30.74</v>
      </c>
      <c r="DF50" s="228">
        <v>29.66</v>
      </c>
      <c r="DG50" s="228">
        <v>0.6</v>
      </c>
      <c r="DH50" s="228">
        <v>1.08</v>
      </c>
      <c r="DI50" s="228">
        <v>30.83</v>
      </c>
      <c r="DJ50" s="228">
        <v>27.56</v>
      </c>
      <c r="DK50" s="228">
        <v>3.27</v>
      </c>
      <c r="DL50" s="228">
        <v>3.27</v>
      </c>
      <c r="DM50" s="228">
        <v>32.68</v>
      </c>
      <c r="DN50" s="228">
        <v>30.67</v>
      </c>
      <c r="DO50" s="228">
        <v>2.0099999999999998</v>
      </c>
      <c r="DP50" s="228">
        <v>2.0099999999999998</v>
      </c>
      <c r="DQ50" s="228">
        <v>0.73</v>
      </c>
      <c r="DR50" s="228">
        <v>0.71</v>
      </c>
      <c r="DS50" s="228">
        <v>0.02</v>
      </c>
      <c r="DT50" s="229">
        <v>2.8199999999999999E-2</v>
      </c>
      <c r="DU50" s="231">
        <v>2200</v>
      </c>
      <c r="DV50" s="231">
        <v>1940</v>
      </c>
      <c r="DW50" s="228">
        <v>0.38</v>
      </c>
      <c r="DX50" s="228">
        <v>0.34</v>
      </c>
      <c r="DY50" s="228">
        <v>0.04</v>
      </c>
      <c r="DZ50" s="229">
        <v>0.1176</v>
      </c>
      <c r="EA50" s="229">
        <v>5.9400000000000001E-2</v>
      </c>
      <c r="EB50" s="230">
        <v>362250</v>
      </c>
      <c r="EC50" s="229">
        <v>-3.5999999999999999E-3</v>
      </c>
      <c r="ED50" s="229">
        <v>5.9400000000000001E-2</v>
      </c>
      <c r="EE50" s="228">
        <v>-21.16</v>
      </c>
      <c r="EF50" s="229">
        <v>-1.01E-2</v>
      </c>
      <c r="EG50" s="230">
        <v>708994</v>
      </c>
      <c r="EH50" s="230">
        <v>168205</v>
      </c>
      <c r="EI50" s="229">
        <v>3.2151000000000001</v>
      </c>
      <c r="EJ50" s="229">
        <v>0.31969999999999998</v>
      </c>
      <c r="EK50" s="231">
        <v>6046.1</v>
      </c>
      <c r="EL50" s="231">
        <v>2133.44</v>
      </c>
      <c r="EM50" s="228">
        <v>660.48</v>
      </c>
      <c r="EN50" s="228">
        <v>31.47</v>
      </c>
      <c r="EO50" s="231">
        <v>8840.01</v>
      </c>
      <c r="EP50" s="231">
        <v>1076.43</v>
      </c>
      <c r="EQ50" s="231">
        <v>7763.58</v>
      </c>
      <c r="ER50" s="229">
        <v>7.2122999999999999</v>
      </c>
      <c r="ES50" s="228">
        <v>569.99</v>
      </c>
      <c r="ET50" s="228">
        <v>388.8</v>
      </c>
      <c r="EU50" s="231">
        <v>1232.04</v>
      </c>
      <c r="EV50" s="231">
        <v>19054573</v>
      </c>
      <c r="EW50" s="231">
        <v>2190.83</v>
      </c>
      <c r="EX50" s="231">
        <v>1746.71</v>
      </c>
      <c r="EY50" s="228">
        <v>444.12</v>
      </c>
      <c r="EZ50" s="229">
        <v>0.25430000000000003</v>
      </c>
      <c r="FA50" s="229">
        <v>0.55110000000000003</v>
      </c>
      <c r="FB50" s="227" t="s">
        <v>693</v>
      </c>
      <c r="FC50">
        <f t="shared" si="0"/>
        <v>73</v>
      </c>
    </row>
    <row r="51" spans="1:159" ht="17.25" thickBot="1" x14ac:dyDescent="0.3">
      <c r="A51" s="226">
        <v>46129</v>
      </c>
      <c r="B51" s="227" t="s">
        <v>215</v>
      </c>
      <c r="C51" s="227" t="s">
        <v>202</v>
      </c>
      <c r="D51" s="228">
        <v>1250</v>
      </c>
      <c r="E51" s="228">
        <v>11</v>
      </c>
      <c r="F51" s="228">
        <v>504.5</v>
      </c>
      <c r="G51" s="228">
        <v>502.55</v>
      </c>
      <c r="H51" s="228">
        <v>1.95</v>
      </c>
      <c r="I51" s="229">
        <v>3.8999999999999998E-3</v>
      </c>
      <c r="J51" s="228">
        <v>503.1</v>
      </c>
      <c r="K51" s="228">
        <v>502.25</v>
      </c>
      <c r="L51" s="228">
        <v>0.85</v>
      </c>
      <c r="M51" s="229">
        <v>1.6999999999999999E-3</v>
      </c>
      <c r="N51" s="228">
        <v>504.5</v>
      </c>
      <c r="O51" s="228">
        <v>502.55</v>
      </c>
      <c r="P51" s="228">
        <v>1.95</v>
      </c>
      <c r="Q51" s="229">
        <v>3.8999999999999998E-3</v>
      </c>
      <c r="R51" s="228">
        <v>506.95</v>
      </c>
      <c r="S51" s="228">
        <v>505.15</v>
      </c>
      <c r="T51" s="228">
        <v>1.8</v>
      </c>
      <c r="U51" s="229">
        <v>3.5999999999999999E-3</v>
      </c>
      <c r="V51" s="228">
        <v>509.2</v>
      </c>
      <c r="W51" s="228">
        <v>507.55</v>
      </c>
      <c r="X51" s="228">
        <v>1.65</v>
      </c>
      <c r="Y51" s="229">
        <v>3.3E-3</v>
      </c>
      <c r="Z51" s="228">
        <v>1.4</v>
      </c>
      <c r="AA51" s="228">
        <v>0.3</v>
      </c>
      <c r="AB51" s="228">
        <v>1.1000000000000001</v>
      </c>
      <c r="AC51" s="229">
        <v>2.8E-3</v>
      </c>
      <c r="AD51" s="228">
        <v>1.4</v>
      </c>
      <c r="AE51" s="228">
        <v>0.3</v>
      </c>
      <c r="AF51" s="228">
        <v>1.1000000000000001</v>
      </c>
      <c r="AG51" s="229">
        <v>2.8E-3</v>
      </c>
      <c r="AH51" s="228">
        <v>3.85</v>
      </c>
      <c r="AI51" s="228">
        <v>2.9</v>
      </c>
      <c r="AJ51" s="228">
        <v>0.95</v>
      </c>
      <c r="AK51" s="229">
        <v>7.7000000000000002E-3</v>
      </c>
      <c r="AL51" s="228">
        <v>6.1</v>
      </c>
      <c r="AM51" s="228">
        <v>5.3</v>
      </c>
      <c r="AN51" s="228">
        <v>0.8</v>
      </c>
      <c r="AO51" s="229">
        <v>1.21E-2</v>
      </c>
      <c r="AP51" s="228">
        <v>506.64</v>
      </c>
      <c r="AQ51" s="228">
        <v>509.38</v>
      </c>
      <c r="AR51" s="228">
        <v>0</v>
      </c>
      <c r="AS51" s="228">
        <v>228</v>
      </c>
      <c r="AT51" s="228">
        <v>192</v>
      </c>
      <c r="AU51" s="228">
        <v>36</v>
      </c>
      <c r="AV51" s="229">
        <v>0.1888</v>
      </c>
      <c r="AW51" s="228">
        <v>181</v>
      </c>
      <c r="AX51" s="228">
        <v>169</v>
      </c>
      <c r="AY51" s="228">
        <v>12</v>
      </c>
      <c r="AZ51" s="229">
        <v>6.8199999999999997E-2</v>
      </c>
      <c r="BA51" s="228">
        <v>44</v>
      </c>
      <c r="BB51" s="228">
        <v>20</v>
      </c>
      <c r="BC51" s="228">
        <v>24</v>
      </c>
      <c r="BD51" s="229">
        <v>1.1807000000000001</v>
      </c>
      <c r="BE51" s="228">
        <v>3</v>
      </c>
      <c r="BF51" s="228">
        <v>2</v>
      </c>
      <c r="BG51" s="228">
        <v>1</v>
      </c>
      <c r="BH51" s="229">
        <v>0.33329999999999999</v>
      </c>
      <c r="BI51" s="228">
        <v>351</v>
      </c>
      <c r="BJ51" s="228">
        <v>634</v>
      </c>
      <c r="BK51" s="228">
        <v>-282</v>
      </c>
      <c r="BL51" s="229">
        <v>-0.44569999999999999</v>
      </c>
      <c r="BM51" s="228">
        <v>145</v>
      </c>
      <c r="BN51" s="228">
        <v>156</v>
      </c>
      <c r="BO51" s="228">
        <v>-11</v>
      </c>
      <c r="BP51" s="229">
        <v>-6.88E-2</v>
      </c>
      <c r="BQ51" s="228">
        <v>724</v>
      </c>
      <c r="BR51" s="228">
        <v>981</v>
      </c>
      <c r="BS51" s="228">
        <v>-257</v>
      </c>
      <c r="BT51" s="229">
        <v>-0.26179999999999998</v>
      </c>
      <c r="BU51" s="230">
        <v>1774369</v>
      </c>
      <c r="BV51" s="230">
        <v>2604090</v>
      </c>
      <c r="BW51" s="230">
        <v>-829721</v>
      </c>
      <c r="BX51" s="229">
        <v>-0.31859999999999999</v>
      </c>
      <c r="BY51" s="230">
        <v>1304</v>
      </c>
      <c r="BZ51" s="230">
        <v>1281</v>
      </c>
      <c r="CA51" s="228">
        <v>23</v>
      </c>
      <c r="CB51" s="229">
        <v>1.78E-2</v>
      </c>
      <c r="CC51" s="230">
        <v>1220</v>
      </c>
      <c r="CD51" s="230">
        <v>1223</v>
      </c>
      <c r="CE51" s="228">
        <v>-3</v>
      </c>
      <c r="CF51" s="229">
        <v>-2.3999999999999998E-3</v>
      </c>
      <c r="CG51" s="228">
        <v>79</v>
      </c>
      <c r="CH51" s="228">
        <v>55</v>
      </c>
      <c r="CI51" s="228">
        <v>24</v>
      </c>
      <c r="CJ51" s="229">
        <v>0.43430000000000002</v>
      </c>
      <c r="CK51" s="228">
        <v>5</v>
      </c>
      <c r="CL51" s="228">
        <v>3</v>
      </c>
      <c r="CM51" s="228">
        <v>2</v>
      </c>
      <c r="CN51" s="229">
        <v>0.58489999999999998</v>
      </c>
      <c r="CO51" s="228">
        <v>310</v>
      </c>
      <c r="CP51" s="228">
        <v>319</v>
      </c>
      <c r="CQ51" s="228">
        <v>-9</v>
      </c>
      <c r="CR51" s="229">
        <v>-2.8400000000000002E-2</v>
      </c>
      <c r="CS51" s="228">
        <v>253</v>
      </c>
      <c r="CT51" s="228">
        <v>244</v>
      </c>
      <c r="CU51" s="228">
        <v>8</v>
      </c>
      <c r="CV51" s="229">
        <v>3.3500000000000002E-2</v>
      </c>
      <c r="CW51" s="230">
        <v>1867</v>
      </c>
      <c r="CX51" s="230">
        <v>1845</v>
      </c>
      <c r="CY51" s="228">
        <v>22</v>
      </c>
      <c r="CZ51" s="229">
        <v>1.1900000000000001E-2</v>
      </c>
      <c r="DA51" s="228">
        <v>30.29</v>
      </c>
      <c r="DB51" s="228">
        <v>30.48</v>
      </c>
      <c r="DC51" s="228">
        <v>-0.19</v>
      </c>
      <c r="DD51" s="228">
        <v>-0.19</v>
      </c>
      <c r="DE51" s="228">
        <v>35.020000000000003</v>
      </c>
      <c r="DF51" s="228">
        <v>35.11</v>
      </c>
      <c r="DG51" s="228">
        <v>-4.7300000000000004</v>
      </c>
      <c r="DH51" s="228">
        <v>-0.09</v>
      </c>
      <c r="DI51" s="228">
        <v>29.48</v>
      </c>
      <c r="DJ51" s="228">
        <v>29.82</v>
      </c>
      <c r="DK51" s="228">
        <v>-0.34</v>
      </c>
      <c r="DL51" s="228">
        <v>-0.34</v>
      </c>
      <c r="DM51" s="228">
        <v>32.25</v>
      </c>
      <c r="DN51" s="228">
        <v>33.15</v>
      </c>
      <c r="DO51" s="228">
        <v>-0.9</v>
      </c>
      <c r="DP51" s="228">
        <v>-0.9</v>
      </c>
      <c r="DQ51" s="228">
        <v>0.81</v>
      </c>
      <c r="DR51" s="228">
        <v>0.77</v>
      </c>
      <c r="DS51" s="228">
        <v>0.04</v>
      </c>
      <c r="DT51" s="229">
        <v>5.1900000000000002E-2</v>
      </c>
      <c r="DU51" s="228">
        <v>530</v>
      </c>
      <c r="DV51" s="228">
        <v>500</v>
      </c>
      <c r="DW51" s="228">
        <v>0.41</v>
      </c>
      <c r="DX51" s="228">
        <v>0.25</v>
      </c>
      <c r="DY51" s="228">
        <v>0.16</v>
      </c>
      <c r="DZ51" s="229">
        <v>0.64</v>
      </c>
      <c r="EA51" s="229">
        <v>6.4299999999999996E-2</v>
      </c>
      <c r="EB51" s="230">
        <v>1151250</v>
      </c>
      <c r="EC51" s="229">
        <v>4.8999999999999998E-3</v>
      </c>
      <c r="ED51" s="229">
        <v>6.4299999999999996E-2</v>
      </c>
      <c r="EE51" s="228">
        <v>2.74</v>
      </c>
      <c r="EF51" s="229">
        <v>5.4000000000000003E-3</v>
      </c>
      <c r="EG51" s="230">
        <v>794444</v>
      </c>
      <c r="EH51" s="230">
        <v>1127011</v>
      </c>
      <c r="EI51" s="229">
        <v>-0.29509999999999997</v>
      </c>
      <c r="EJ51" s="229">
        <v>0.44769999999999999</v>
      </c>
      <c r="EK51" s="228">
        <v>364.9</v>
      </c>
      <c r="EL51" s="228">
        <v>143.18</v>
      </c>
      <c r="EM51" s="228">
        <v>229.21</v>
      </c>
      <c r="EN51" s="228">
        <v>20.149999999999999</v>
      </c>
      <c r="EO51" s="228">
        <v>737.28</v>
      </c>
      <c r="EP51" s="228">
        <v>990.02</v>
      </c>
      <c r="EQ51" s="228">
        <v>-252.74</v>
      </c>
      <c r="ER51" s="229">
        <v>-0.25530000000000003</v>
      </c>
      <c r="ES51" s="228">
        <v>306.20999999999998</v>
      </c>
      <c r="ET51" s="228">
        <v>239.18</v>
      </c>
      <c r="EU51" s="231">
        <v>1304.69</v>
      </c>
      <c r="EV51" s="231">
        <v>51639257</v>
      </c>
      <c r="EW51" s="231">
        <v>1850.08</v>
      </c>
      <c r="EX51" s="231">
        <v>1822.32</v>
      </c>
      <c r="EY51" s="228">
        <v>27.76</v>
      </c>
      <c r="EZ51" s="229">
        <v>1.52E-2</v>
      </c>
      <c r="FA51" s="229">
        <v>0.7167</v>
      </c>
      <c r="FB51" s="227" t="s">
        <v>555</v>
      </c>
      <c r="FC51">
        <f t="shared" si="0"/>
        <v>84</v>
      </c>
    </row>
    <row r="52" spans="1:159" ht="17.25" thickBot="1" x14ac:dyDescent="0.3">
      <c r="A52" s="226">
        <v>46129</v>
      </c>
      <c r="B52" s="227" t="s">
        <v>184</v>
      </c>
      <c r="C52" s="227" t="s">
        <v>523</v>
      </c>
      <c r="D52" s="228">
        <v>1800</v>
      </c>
      <c r="E52" s="228">
        <v>11</v>
      </c>
      <c r="F52" s="228">
        <v>261.39</v>
      </c>
      <c r="G52" s="228">
        <v>261.22000000000003</v>
      </c>
      <c r="H52" s="228">
        <v>0.17</v>
      </c>
      <c r="I52" s="229">
        <v>6.9999999999999999E-4</v>
      </c>
      <c r="J52" s="228">
        <v>261.45</v>
      </c>
      <c r="K52" s="228">
        <v>260.97000000000003</v>
      </c>
      <c r="L52" s="228">
        <v>0.48</v>
      </c>
      <c r="M52" s="229">
        <v>1.8E-3</v>
      </c>
      <c r="N52" s="228">
        <v>261.39</v>
      </c>
      <c r="O52" s="228">
        <v>261.22000000000003</v>
      </c>
      <c r="P52" s="228">
        <v>0.17</v>
      </c>
      <c r="Q52" s="229">
        <v>6.9999999999999999E-4</v>
      </c>
      <c r="R52" s="228">
        <v>262.99</v>
      </c>
      <c r="S52" s="228">
        <v>262.66000000000003</v>
      </c>
      <c r="T52" s="228">
        <v>0.33</v>
      </c>
      <c r="U52" s="229">
        <v>1.2999999999999999E-3</v>
      </c>
      <c r="V52" s="228">
        <v>264.95</v>
      </c>
      <c r="W52" s="228">
        <v>263.73</v>
      </c>
      <c r="X52" s="228">
        <v>1.22</v>
      </c>
      <c r="Y52" s="229">
        <v>4.5999999999999999E-3</v>
      </c>
      <c r="Z52" s="228">
        <v>-0.06</v>
      </c>
      <c r="AA52" s="228">
        <v>0.25</v>
      </c>
      <c r="AB52" s="228">
        <v>-0.31</v>
      </c>
      <c r="AC52" s="229">
        <v>-2.0000000000000001E-4</v>
      </c>
      <c r="AD52" s="228">
        <v>-0.06</v>
      </c>
      <c r="AE52" s="228">
        <v>0.25</v>
      </c>
      <c r="AF52" s="228">
        <v>-0.31</v>
      </c>
      <c r="AG52" s="229">
        <v>-2.0000000000000001E-4</v>
      </c>
      <c r="AH52" s="228">
        <v>1.54</v>
      </c>
      <c r="AI52" s="228">
        <v>1.69</v>
      </c>
      <c r="AJ52" s="228">
        <v>-0.15</v>
      </c>
      <c r="AK52" s="229">
        <v>5.8999999999999999E-3</v>
      </c>
      <c r="AL52" s="228">
        <v>3.5</v>
      </c>
      <c r="AM52" s="228">
        <v>2.76</v>
      </c>
      <c r="AN52" s="228">
        <v>0.74</v>
      </c>
      <c r="AO52" s="229">
        <v>1.34E-2</v>
      </c>
      <c r="AP52" s="228">
        <v>261.08</v>
      </c>
      <c r="AQ52" s="228">
        <v>262.52999999999997</v>
      </c>
      <c r="AR52" s="228">
        <v>0</v>
      </c>
      <c r="AS52" s="228">
        <v>139</v>
      </c>
      <c r="AT52" s="228">
        <v>280</v>
      </c>
      <c r="AU52" s="228">
        <v>-141</v>
      </c>
      <c r="AV52" s="229">
        <v>-0.50429999999999997</v>
      </c>
      <c r="AW52" s="228">
        <v>120</v>
      </c>
      <c r="AX52" s="228">
        <v>257</v>
      </c>
      <c r="AY52" s="228">
        <v>-138</v>
      </c>
      <c r="AZ52" s="229">
        <v>-0.53549999999999998</v>
      </c>
      <c r="BA52" s="228">
        <v>17</v>
      </c>
      <c r="BB52" s="228">
        <v>21</v>
      </c>
      <c r="BC52" s="228">
        <v>-4</v>
      </c>
      <c r="BD52" s="229">
        <v>-0.16969999999999999</v>
      </c>
      <c r="BE52" s="228">
        <v>2</v>
      </c>
      <c r="BF52" s="228">
        <v>2</v>
      </c>
      <c r="BG52" s="228">
        <v>0</v>
      </c>
      <c r="BH52" s="229">
        <v>4.8800000000000003E-2</v>
      </c>
      <c r="BI52" s="228">
        <v>454</v>
      </c>
      <c r="BJ52" s="230">
        <v>1277</v>
      </c>
      <c r="BK52" s="228">
        <v>-823</v>
      </c>
      <c r="BL52" s="229">
        <v>-0.64429999999999998</v>
      </c>
      <c r="BM52" s="228">
        <v>201</v>
      </c>
      <c r="BN52" s="228">
        <v>437</v>
      </c>
      <c r="BO52" s="228">
        <v>-237</v>
      </c>
      <c r="BP52" s="229">
        <v>-0.54110000000000003</v>
      </c>
      <c r="BQ52" s="228">
        <v>794</v>
      </c>
      <c r="BR52" s="230">
        <v>1994</v>
      </c>
      <c r="BS52" s="230">
        <v>-1201</v>
      </c>
      <c r="BT52" s="229">
        <v>-0.60199999999999998</v>
      </c>
      <c r="BU52" s="230">
        <v>4552540</v>
      </c>
      <c r="BV52" s="230">
        <v>11910060</v>
      </c>
      <c r="BW52" s="230">
        <v>-7357520</v>
      </c>
      <c r="BX52" s="229">
        <v>-0.61780000000000002</v>
      </c>
      <c r="BY52" s="230">
        <v>1175</v>
      </c>
      <c r="BZ52" s="230">
        <v>1186</v>
      </c>
      <c r="CA52" s="228">
        <v>-11</v>
      </c>
      <c r="CB52" s="229">
        <v>-9.7000000000000003E-3</v>
      </c>
      <c r="CC52" s="230">
        <v>1140</v>
      </c>
      <c r="CD52" s="230">
        <v>1155</v>
      </c>
      <c r="CE52" s="228">
        <v>-14</v>
      </c>
      <c r="CF52" s="229">
        <v>-1.2500000000000001E-2</v>
      </c>
      <c r="CG52" s="228">
        <v>30</v>
      </c>
      <c r="CH52" s="228">
        <v>28</v>
      </c>
      <c r="CI52" s="228">
        <v>2</v>
      </c>
      <c r="CJ52" s="229">
        <v>7.2499999999999995E-2</v>
      </c>
      <c r="CK52" s="228">
        <v>4</v>
      </c>
      <c r="CL52" s="228">
        <v>3</v>
      </c>
      <c r="CM52" s="228">
        <v>1</v>
      </c>
      <c r="CN52" s="229">
        <v>0.30880000000000002</v>
      </c>
      <c r="CO52" s="228">
        <v>317</v>
      </c>
      <c r="CP52" s="228">
        <v>293</v>
      </c>
      <c r="CQ52" s="228">
        <v>24</v>
      </c>
      <c r="CR52" s="229">
        <v>8.2000000000000003E-2</v>
      </c>
      <c r="CS52" s="228">
        <v>223</v>
      </c>
      <c r="CT52" s="228">
        <v>235</v>
      </c>
      <c r="CU52" s="228">
        <v>-13</v>
      </c>
      <c r="CV52" s="229">
        <v>-5.3800000000000001E-2</v>
      </c>
      <c r="CW52" s="230">
        <v>1715</v>
      </c>
      <c r="CX52" s="230">
        <v>1715</v>
      </c>
      <c r="CY52" s="228">
        <v>0</v>
      </c>
      <c r="CZ52" s="229">
        <v>-1E-4</v>
      </c>
      <c r="DA52" s="228">
        <v>37.520000000000003</v>
      </c>
      <c r="DB52" s="228">
        <v>38.74</v>
      </c>
      <c r="DC52" s="228">
        <v>-1.22</v>
      </c>
      <c r="DD52" s="228">
        <v>-1.22</v>
      </c>
      <c r="DE52" s="228">
        <v>35.47</v>
      </c>
      <c r="DF52" s="228">
        <v>35.56</v>
      </c>
      <c r="DG52" s="228">
        <v>2.0499999999999998</v>
      </c>
      <c r="DH52" s="228">
        <v>-0.09</v>
      </c>
      <c r="DI52" s="228">
        <v>36.58</v>
      </c>
      <c r="DJ52" s="228">
        <v>37.86</v>
      </c>
      <c r="DK52" s="228">
        <v>-1.28</v>
      </c>
      <c r="DL52" s="228">
        <v>-1.28</v>
      </c>
      <c r="DM52" s="228">
        <v>39.630000000000003</v>
      </c>
      <c r="DN52" s="228">
        <v>41.32</v>
      </c>
      <c r="DO52" s="228">
        <v>-1.69</v>
      </c>
      <c r="DP52" s="228">
        <v>-1.69</v>
      </c>
      <c r="DQ52" s="228">
        <v>0.7</v>
      </c>
      <c r="DR52" s="228">
        <v>0.8</v>
      </c>
      <c r="DS52" s="228">
        <v>-0.1</v>
      </c>
      <c r="DT52" s="229">
        <v>-0.125</v>
      </c>
      <c r="DU52" s="228">
        <v>260</v>
      </c>
      <c r="DV52" s="228">
        <v>220</v>
      </c>
      <c r="DW52" s="228">
        <v>0.44</v>
      </c>
      <c r="DX52" s="228">
        <v>0.34</v>
      </c>
      <c r="DY52" s="228">
        <v>0.1</v>
      </c>
      <c r="DZ52" s="229">
        <v>0.29409999999999997</v>
      </c>
      <c r="EA52" s="229">
        <v>2.9000000000000001E-2</v>
      </c>
      <c r="EB52" s="230">
        <v>1189800</v>
      </c>
      <c r="EC52" s="229">
        <v>6.1000000000000004E-3</v>
      </c>
      <c r="ED52" s="229">
        <v>2.9000000000000001E-2</v>
      </c>
      <c r="EE52" s="228">
        <v>1.45</v>
      </c>
      <c r="EF52" s="229">
        <v>5.5999999999999999E-3</v>
      </c>
      <c r="EG52" s="230">
        <v>1822956</v>
      </c>
      <c r="EH52" s="230">
        <v>3611280</v>
      </c>
      <c r="EI52" s="229">
        <v>-0.49519999999999997</v>
      </c>
      <c r="EJ52" s="229">
        <v>0.40039999999999998</v>
      </c>
      <c r="EK52" s="228">
        <v>473.13</v>
      </c>
      <c r="EL52" s="228">
        <v>198.06</v>
      </c>
      <c r="EM52" s="228">
        <v>138.84</v>
      </c>
      <c r="EN52" s="228">
        <v>33.9</v>
      </c>
      <c r="EO52" s="228">
        <v>810.03</v>
      </c>
      <c r="EP52" s="231">
        <v>2003</v>
      </c>
      <c r="EQ52" s="231">
        <v>-1192.96</v>
      </c>
      <c r="ER52" s="229">
        <v>-0.59560000000000002</v>
      </c>
      <c r="ES52" s="228">
        <v>318.37</v>
      </c>
      <c r="ET52" s="228">
        <v>208.64</v>
      </c>
      <c r="EU52" s="231">
        <v>1174.8</v>
      </c>
      <c r="EV52" s="231">
        <v>96587231</v>
      </c>
      <c r="EW52" s="231">
        <v>1701.81</v>
      </c>
      <c r="EX52" s="231">
        <v>1698.33</v>
      </c>
      <c r="EY52" s="228">
        <v>3.48</v>
      </c>
      <c r="EZ52" s="229">
        <v>2E-3</v>
      </c>
      <c r="FA52" s="229">
        <v>0.67920000000000003</v>
      </c>
      <c r="FB52" s="227" t="s">
        <v>693</v>
      </c>
      <c r="FC52">
        <f t="shared" si="0"/>
        <v>35</v>
      </c>
    </row>
    <row r="53" spans="1:159" ht="17.25" thickBot="1" x14ac:dyDescent="0.3">
      <c r="A53" s="226">
        <v>46129</v>
      </c>
      <c r="B53" s="227" t="s">
        <v>184</v>
      </c>
      <c r="C53" s="227" t="s">
        <v>203</v>
      </c>
      <c r="D53" s="228">
        <v>200</v>
      </c>
      <c r="E53" s="228">
        <v>11</v>
      </c>
      <c r="F53" s="231">
        <v>5151.7</v>
      </c>
      <c r="G53" s="231">
        <v>5056.8</v>
      </c>
      <c r="H53" s="228">
        <v>94.9</v>
      </c>
      <c r="I53" s="229">
        <v>1.8800000000000001E-2</v>
      </c>
      <c r="J53" s="231">
        <v>5140.8999999999996</v>
      </c>
      <c r="K53" s="231">
        <v>5038.2</v>
      </c>
      <c r="L53" s="228">
        <v>102.7</v>
      </c>
      <c r="M53" s="229">
        <v>2.0400000000000001E-2</v>
      </c>
      <c r="N53" s="231">
        <v>5151.7</v>
      </c>
      <c r="O53" s="231">
        <v>5056.8</v>
      </c>
      <c r="P53" s="228">
        <v>94.9</v>
      </c>
      <c r="Q53" s="229">
        <v>1.8800000000000001E-2</v>
      </c>
      <c r="R53" s="231">
        <v>5180.6000000000004</v>
      </c>
      <c r="S53" s="231">
        <v>5081.8</v>
      </c>
      <c r="T53" s="228">
        <v>98.8</v>
      </c>
      <c r="U53" s="229">
        <v>1.9400000000000001E-2</v>
      </c>
      <c r="V53" s="231">
        <v>5193.3999999999996</v>
      </c>
      <c r="W53" s="231">
        <v>5105</v>
      </c>
      <c r="X53" s="228">
        <v>88.4</v>
      </c>
      <c r="Y53" s="229">
        <v>1.7299999999999999E-2</v>
      </c>
      <c r="Z53" s="228">
        <v>10.8</v>
      </c>
      <c r="AA53" s="228">
        <v>18.600000000000001</v>
      </c>
      <c r="AB53" s="228">
        <v>-7.8</v>
      </c>
      <c r="AC53" s="229">
        <v>2.0999999999999999E-3</v>
      </c>
      <c r="AD53" s="228">
        <v>10.8</v>
      </c>
      <c r="AE53" s="228">
        <v>18.600000000000001</v>
      </c>
      <c r="AF53" s="228">
        <v>-7.8</v>
      </c>
      <c r="AG53" s="229">
        <v>2.0999999999999999E-3</v>
      </c>
      <c r="AH53" s="228">
        <v>39.700000000000003</v>
      </c>
      <c r="AI53" s="228">
        <v>43.6</v>
      </c>
      <c r="AJ53" s="228">
        <v>-3.9</v>
      </c>
      <c r="AK53" s="229">
        <v>7.7000000000000002E-3</v>
      </c>
      <c r="AL53" s="228">
        <v>52.5</v>
      </c>
      <c r="AM53" s="228">
        <v>66.8</v>
      </c>
      <c r="AN53" s="228">
        <v>-14.3</v>
      </c>
      <c r="AO53" s="229">
        <v>1.0200000000000001E-2</v>
      </c>
      <c r="AP53" s="231">
        <v>5141.01</v>
      </c>
      <c r="AQ53" s="231">
        <v>5162.0600000000004</v>
      </c>
      <c r="AR53" s="228">
        <v>0</v>
      </c>
      <c r="AS53" s="228">
        <v>742</v>
      </c>
      <c r="AT53" s="228">
        <v>311</v>
      </c>
      <c r="AU53" s="228">
        <v>430</v>
      </c>
      <c r="AV53" s="229">
        <v>1.3823000000000001</v>
      </c>
      <c r="AW53" s="228">
        <v>559</v>
      </c>
      <c r="AX53" s="228">
        <v>287</v>
      </c>
      <c r="AY53" s="228">
        <v>272</v>
      </c>
      <c r="AZ53" s="229">
        <v>0.94479999999999997</v>
      </c>
      <c r="BA53" s="228">
        <v>53</v>
      </c>
      <c r="BB53" s="228">
        <v>22</v>
      </c>
      <c r="BC53" s="228">
        <v>32</v>
      </c>
      <c r="BD53" s="229">
        <v>1.4434</v>
      </c>
      <c r="BE53" s="228">
        <v>129</v>
      </c>
      <c r="BF53" s="228">
        <v>2</v>
      </c>
      <c r="BG53" s="228">
        <v>127</v>
      </c>
      <c r="BH53" s="229">
        <v>64.947400000000002</v>
      </c>
      <c r="BI53" s="230">
        <v>2469</v>
      </c>
      <c r="BJ53" s="228">
        <v>987</v>
      </c>
      <c r="BK53" s="230">
        <v>1481</v>
      </c>
      <c r="BL53" s="229">
        <v>1.5006999999999999</v>
      </c>
      <c r="BM53" s="228">
        <v>673</v>
      </c>
      <c r="BN53" s="228">
        <v>453</v>
      </c>
      <c r="BO53" s="228">
        <v>220</v>
      </c>
      <c r="BP53" s="229">
        <v>0.48549999999999999</v>
      </c>
      <c r="BQ53" s="230">
        <v>3884</v>
      </c>
      <c r="BR53" s="230">
        <v>1752</v>
      </c>
      <c r="BS53" s="230">
        <v>2132</v>
      </c>
      <c r="BT53" s="229">
        <v>1.2169000000000001</v>
      </c>
      <c r="BU53" s="230">
        <v>548497</v>
      </c>
      <c r="BV53" s="230">
        <v>677754</v>
      </c>
      <c r="BW53" s="230">
        <v>-129257</v>
      </c>
      <c r="BX53" s="229">
        <v>-0.19070000000000001</v>
      </c>
      <c r="BY53" s="230">
        <v>2092</v>
      </c>
      <c r="BZ53" s="230">
        <v>2040</v>
      </c>
      <c r="CA53" s="228">
        <v>52</v>
      </c>
      <c r="CB53" s="229">
        <v>2.53E-2</v>
      </c>
      <c r="CC53" s="230">
        <v>1898</v>
      </c>
      <c r="CD53" s="230">
        <v>1985</v>
      </c>
      <c r="CE53" s="228">
        <v>-87</v>
      </c>
      <c r="CF53" s="229">
        <v>-4.3900000000000002E-2</v>
      </c>
      <c r="CG53" s="228">
        <v>64</v>
      </c>
      <c r="CH53" s="228">
        <v>49</v>
      </c>
      <c r="CI53" s="228">
        <v>15</v>
      </c>
      <c r="CJ53" s="229">
        <v>0.3044</v>
      </c>
      <c r="CK53" s="228">
        <v>130</v>
      </c>
      <c r="CL53" s="228">
        <v>6</v>
      </c>
      <c r="CM53" s="228">
        <v>124</v>
      </c>
      <c r="CN53" s="229">
        <v>20.741399999999999</v>
      </c>
      <c r="CO53" s="228">
        <v>660</v>
      </c>
      <c r="CP53" s="228">
        <v>602</v>
      </c>
      <c r="CQ53" s="228">
        <v>58</v>
      </c>
      <c r="CR53" s="229">
        <v>9.6299999999999997E-2</v>
      </c>
      <c r="CS53" s="228">
        <v>459</v>
      </c>
      <c r="CT53" s="228">
        <v>395</v>
      </c>
      <c r="CU53" s="228">
        <v>63</v>
      </c>
      <c r="CV53" s="229">
        <v>0.16</v>
      </c>
      <c r="CW53" s="230">
        <v>3211</v>
      </c>
      <c r="CX53" s="230">
        <v>3038</v>
      </c>
      <c r="CY53" s="228">
        <v>173</v>
      </c>
      <c r="CZ53" s="229">
        <v>5.6899999999999999E-2</v>
      </c>
      <c r="DA53" s="228">
        <v>33.57</v>
      </c>
      <c r="DB53" s="228">
        <v>34.659999999999997</v>
      </c>
      <c r="DC53" s="228">
        <v>-1.0900000000000001</v>
      </c>
      <c r="DD53" s="228">
        <v>-1.0900000000000001</v>
      </c>
      <c r="DE53" s="228">
        <v>36.200000000000003</v>
      </c>
      <c r="DF53" s="228">
        <v>36.18</v>
      </c>
      <c r="DG53" s="228">
        <v>-2.63</v>
      </c>
      <c r="DH53" s="228">
        <v>0.02</v>
      </c>
      <c r="DI53" s="228">
        <v>33.1</v>
      </c>
      <c r="DJ53" s="228">
        <v>34.369999999999997</v>
      </c>
      <c r="DK53" s="228">
        <v>-1.27</v>
      </c>
      <c r="DL53" s="228">
        <v>-1.27</v>
      </c>
      <c r="DM53" s="228">
        <v>35.270000000000003</v>
      </c>
      <c r="DN53" s="228">
        <v>35.270000000000003</v>
      </c>
      <c r="DO53" s="228">
        <v>0</v>
      </c>
      <c r="DP53" s="228">
        <v>0</v>
      </c>
      <c r="DQ53" s="228">
        <v>0.69</v>
      </c>
      <c r="DR53" s="228">
        <v>0.66</v>
      </c>
      <c r="DS53" s="228">
        <v>0.03</v>
      </c>
      <c r="DT53" s="229">
        <v>4.5499999999999999E-2</v>
      </c>
      <c r="DU53" s="231">
        <v>5200</v>
      </c>
      <c r="DV53" s="231">
        <v>4700</v>
      </c>
      <c r="DW53" s="228">
        <v>0.27</v>
      </c>
      <c r="DX53" s="228">
        <v>0.46</v>
      </c>
      <c r="DY53" s="228">
        <v>-0.19</v>
      </c>
      <c r="DZ53" s="229">
        <v>-0.41299999999999998</v>
      </c>
      <c r="EA53" s="229">
        <v>9.2499999999999999E-2</v>
      </c>
      <c r="EB53" s="230">
        <v>106200</v>
      </c>
      <c r="EC53" s="229">
        <v>5.5999999999999999E-3</v>
      </c>
      <c r="ED53" s="229">
        <v>9.2499999999999999E-2</v>
      </c>
      <c r="EE53" s="228">
        <v>21.05</v>
      </c>
      <c r="EF53" s="229">
        <v>4.1000000000000003E-3</v>
      </c>
      <c r="EG53" s="230">
        <v>230095</v>
      </c>
      <c r="EH53" s="230">
        <v>377816</v>
      </c>
      <c r="EI53" s="229">
        <v>-0.39100000000000001</v>
      </c>
      <c r="EJ53" s="229">
        <v>0.41949999999999998</v>
      </c>
      <c r="EK53" s="231">
        <v>2550.17</v>
      </c>
      <c r="EL53" s="228">
        <v>651.26</v>
      </c>
      <c r="EM53" s="228">
        <v>741.92</v>
      </c>
      <c r="EN53" s="228">
        <v>46.95</v>
      </c>
      <c r="EO53" s="231">
        <v>3943.35</v>
      </c>
      <c r="EP53" s="231">
        <v>1746.84</v>
      </c>
      <c r="EQ53" s="231">
        <v>2196.5100000000002</v>
      </c>
      <c r="ER53" s="229">
        <v>1.2574000000000001</v>
      </c>
      <c r="ES53" s="228">
        <v>652.87</v>
      </c>
      <c r="ET53" s="228">
        <v>421.01</v>
      </c>
      <c r="EU53" s="231">
        <v>2093.1999999999998</v>
      </c>
      <c r="EV53" s="231">
        <v>20374200</v>
      </c>
      <c r="EW53" s="231">
        <v>3167.09</v>
      </c>
      <c r="EX53" s="231">
        <v>2953.48</v>
      </c>
      <c r="EY53" s="228">
        <v>213.61</v>
      </c>
      <c r="EZ53" s="229">
        <v>7.2300000000000003E-2</v>
      </c>
      <c r="FA53" s="229">
        <v>0.30590000000000001</v>
      </c>
      <c r="FB53" s="227" t="s">
        <v>555</v>
      </c>
      <c r="FC53">
        <f t="shared" si="0"/>
        <v>194</v>
      </c>
    </row>
    <row r="54" spans="1:159" ht="17.25" thickBot="1" x14ac:dyDescent="0.3">
      <c r="A54" s="226">
        <v>46129</v>
      </c>
      <c r="B54" s="227" t="s">
        <v>168</v>
      </c>
      <c r="C54" s="227" t="s">
        <v>204</v>
      </c>
      <c r="D54" s="228">
        <v>1250</v>
      </c>
      <c r="E54" s="228">
        <v>11</v>
      </c>
      <c r="F54" s="228">
        <v>442.75</v>
      </c>
      <c r="G54" s="228">
        <v>427.45</v>
      </c>
      <c r="H54" s="228">
        <v>15.3</v>
      </c>
      <c r="I54" s="229">
        <v>3.5799999999999998E-2</v>
      </c>
      <c r="J54" s="228">
        <v>442.85</v>
      </c>
      <c r="K54" s="228">
        <v>427.55</v>
      </c>
      <c r="L54" s="228">
        <v>15.3</v>
      </c>
      <c r="M54" s="229">
        <v>3.5799999999999998E-2</v>
      </c>
      <c r="N54" s="228">
        <v>442.75</v>
      </c>
      <c r="O54" s="228">
        <v>427.45</v>
      </c>
      <c r="P54" s="228">
        <v>15.3</v>
      </c>
      <c r="Q54" s="229">
        <v>3.5799999999999998E-2</v>
      </c>
      <c r="R54" s="228">
        <v>445</v>
      </c>
      <c r="S54" s="228">
        <v>430.1</v>
      </c>
      <c r="T54" s="228">
        <v>14.9</v>
      </c>
      <c r="U54" s="229">
        <v>3.4599999999999999E-2</v>
      </c>
      <c r="V54" s="228">
        <v>448.1</v>
      </c>
      <c r="W54" s="228">
        <v>432.6</v>
      </c>
      <c r="X54" s="228">
        <v>15.5</v>
      </c>
      <c r="Y54" s="229">
        <v>3.5799999999999998E-2</v>
      </c>
      <c r="Z54" s="228">
        <v>-0.1</v>
      </c>
      <c r="AA54" s="228">
        <v>-0.1</v>
      </c>
      <c r="AB54" s="228">
        <v>0</v>
      </c>
      <c r="AC54" s="229">
        <v>-2.0000000000000001E-4</v>
      </c>
      <c r="AD54" s="228">
        <v>-0.1</v>
      </c>
      <c r="AE54" s="228">
        <v>-0.1</v>
      </c>
      <c r="AF54" s="228">
        <v>0</v>
      </c>
      <c r="AG54" s="229">
        <v>-2.0000000000000001E-4</v>
      </c>
      <c r="AH54" s="228">
        <v>2.15</v>
      </c>
      <c r="AI54" s="228">
        <v>2.5499999999999998</v>
      </c>
      <c r="AJ54" s="228">
        <v>-0.4</v>
      </c>
      <c r="AK54" s="229">
        <v>4.8999999999999998E-3</v>
      </c>
      <c r="AL54" s="228">
        <v>5.25</v>
      </c>
      <c r="AM54" s="228">
        <v>5.05</v>
      </c>
      <c r="AN54" s="228">
        <v>0.2</v>
      </c>
      <c r="AO54" s="229">
        <v>1.1900000000000001E-2</v>
      </c>
      <c r="AP54" s="228">
        <v>439.47</v>
      </c>
      <c r="AQ54" s="228">
        <v>441.21</v>
      </c>
      <c r="AR54" s="228">
        <v>0</v>
      </c>
      <c r="AS54" s="228">
        <v>379</v>
      </c>
      <c r="AT54" s="228">
        <v>429</v>
      </c>
      <c r="AU54" s="228">
        <v>-51</v>
      </c>
      <c r="AV54" s="229">
        <v>-0.1182</v>
      </c>
      <c r="AW54" s="228">
        <v>334</v>
      </c>
      <c r="AX54" s="228">
        <v>394</v>
      </c>
      <c r="AY54" s="228">
        <v>-60</v>
      </c>
      <c r="AZ54" s="229">
        <v>-0.15279999999999999</v>
      </c>
      <c r="BA54" s="228">
        <v>40</v>
      </c>
      <c r="BB54" s="228">
        <v>31</v>
      </c>
      <c r="BC54" s="228">
        <v>9</v>
      </c>
      <c r="BD54" s="229">
        <v>0.29149999999999998</v>
      </c>
      <c r="BE54" s="228">
        <v>5</v>
      </c>
      <c r="BF54" s="228">
        <v>4</v>
      </c>
      <c r="BG54" s="228">
        <v>0</v>
      </c>
      <c r="BH54" s="229">
        <v>6.4899999999999999E-2</v>
      </c>
      <c r="BI54" s="230">
        <v>1697</v>
      </c>
      <c r="BJ54" s="228">
        <v>594</v>
      </c>
      <c r="BK54" s="230">
        <v>1102</v>
      </c>
      <c r="BL54" s="229">
        <v>1.8554999999999999</v>
      </c>
      <c r="BM54" s="228">
        <v>513</v>
      </c>
      <c r="BN54" s="228">
        <v>244</v>
      </c>
      <c r="BO54" s="228">
        <v>269</v>
      </c>
      <c r="BP54" s="229">
        <v>1.1025</v>
      </c>
      <c r="BQ54" s="230">
        <v>2588</v>
      </c>
      <c r="BR54" s="230">
        <v>1267</v>
      </c>
      <c r="BS54" s="230">
        <v>1321</v>
      </c>
      <c r="BT54" s="229">
        <v>1.0419</v>
      </c>
      <c r="BU54" s="230">
        <v>5393012</v>
      </c>
      <c r="BV54" s="230">
        <v>4048034</v>
      </c>
      <c r="BW54" s="230">
        <v>1344978</v>
      </c>
      <c r="BX54" s="229">
        <v>0.33229999999999998</v>
      </c>
      <c r="BY54" s="230">
        <v>1293</v>
      </c>
      <c r="BZ54" s="230">
        <v>1315</v>
      </c>
      <c r="CA54" s="228">
        <v>-23</v>
      </c>
      <c r="CB54" s="229">
        <v>-1.7299999999999999E-2</v>
      </c>
      <c r="CC54" s="230">
        <v>1229</v>
      </c>
      <c r="CD54" s="230">
        <v>1254</v>
      </c>
      <c r="CE54" s="228">
        <v>-25</v>
      </c>
      <c r="CF54" s="229">
        <v>-1.9900000000000001E-2</v>
      </c>
      <c r="CG54" s="228">
        <v>56</v>
      </c>
      <c r="CH54" s="228">
        <v>54</v>
      </c>
      <c r="CI54" s="228">
        <v>2</v>
      </c>
      <c r="CJ54" s="229">
        <v>3.3799999999999997E-2</v>
      </c>
      <c r="CK54" s="228">
        <v>7</v>
      </c>
      <c r="CL54" s="228">
        <v>7</v>
      </c>
      <c r="CM54" s="228">
        <v>0</v>
      </c>
      <c r="CN54" s="229">
        <v>7.2599999999999998E-2</v>
      </c>
      <c r="CO54" s="228">
        <v>580</v>
      </c>
      <c r="CP54" s="228">
        <v>511</v>
      </c>
      <c r="CQ54" s="228">
        <v>69</v>
      </c>
      <c r="CR54" s="229">
        <v>0.13450000000000001</v>
      </c>
      <c r="CS54" s="228">
        <v>371</v>
      </c>
      <c r="CT54" s="228">
        <v>321</v>
      </c>
      <c r="CU54" s="228">
        <v>50</v>
      </c>
      <c r="CV54" s="229">
        <v>0.1555</v>
      </c>
      <c r="CW54" s="230">
        <v>2243</v>
      </c>
      <c r="CX54" s="230">
        <v>2147</v>
      </c>
      <c r="CY54" s="228">
        <v>96</v>
      </c>
      <c r="CZ54" s="229">
        <v>4.4600000000000001E-2</v>
      </c>
      <c r="DA54" s="228">
        <v>29.35</v>
      </c>
      <c r="DB54" s="228">
        <v>28.62</v>
      </c>
      <c r="DC54" s="228">
        <v>0.73</v>
      </c>
      <c r="DD54" s="228">
        <v>0.73</v>
      </c>
      <c r="DE54" s="228">
        <v>27.26</v>
      </c>
      <c r="DF54" s="228">
        <v>26.91</v>
      </c>
      <c r="DG54" s="228">
        <v>2.09</v>
      </c>
      <c r="DH54" s="228">
        <v>0.35</v>
      </c>
      <c r="DI54" s="228">
        <v>29.4</v>
      </c>
      <c r="DJ54" s="228">
        <v>29.05</v>
      </c>
      <c r="DK54" s="228">
        <v>0.35</v>
      </c>
      <c r="DL54" s="228">
        <v>0.35</v>
      </c>
      <c r="DM54" s="228">
        <v>29.21</v>
      </c>
      <c r="DN54" s="228">
        <v>27.58</v>
      </c>
      <c r="DO54" s="228">
        <v>1.63</v>
      </c>
      <c r="DP54" s="228">
        <v>1.63</v>
      </c>
      <c r="DQ54" s="228">
        <v>0.64</v>
      </c>
      <c r="DR54" s="228">
        <v>0.63</v>
      </c>
      <c r="DS54" s="228">
        <v>0.01</v>
      </c>
      <c r="DT54" s="229">
        <v>1.5900000000000001E-2</v>
      </c>
      <c r="DU54" s="228">
        <v>480</v>
      </c>
      <c r="DV54" s="228">
        <v>435</v>
      </c>
      <c r="DW54" s="228">
        <v>0.3</v>
      </c>
      <c r="DX54" s="228">
        <v>0.41</v>
      </c>
      <c r="DY54" s="228">
        <v>-0.11</v>
      </c>
      <c r="DZ54" s="229">
        <v>-0.26829999999999998</v>
      </c>
      <c r="EA54" s="229">
        <v>4.8899999999999999E-2</v>
      </c>
      <c r="EB54" s="230">
        <v>1376250</v>
      </c>
      <c r="EC54" s="229">
        <v>5.1000000000000004E-3</v>
      </c>
      <c r="ED54" s="229">
        <v>4.8899999999999999E-2</v>
      </c>
      <c r="EE54" s="228">
        <v>1.74</v>
      </c>
      <c r="EF54" s="229">
        <v>4.0000000000000001E-3</v>
      </c>
      <c r="EG54" s="230">
        <v>2920022</v>
      </c>
      <c r="EH54" s="230">
        <v>2368216</v>
      </c>
      <c r="EI54" s="229">
        <v>0.23300000000000001</v>
      </c>
      <c r="EJ54" s="229">
        <v>0.54139999999999999</v>
      </c>
      <c r="EK54" s="231">
        <v>1774.43</v>
      </c>
      <c r="EL54" s="228">
        <v>503.12</v>
      </c>
      <c r="EM54" s="228">
        <v>376.06</v>
      </c>
      <c r="EN54" s="228">
        <v>44.18</v>
      </c>
      <c r="EO54" s="231">
        <v>2653.61</v>
      </c>
      <c r="EP54" s="231">
        <v>1263.1400000000001</v>
      </c>
      <c r="EQ54" s="231">
        <v>1390.48</v>
      </c>
      <c r="ER54" s="229">
        <v>1.1008</v>
      </c>
      <c r="ES54" s="228">
        <v>603.02</v>
      </c>
      <c r="ET54" s="228">
        <v>348.92</v>
      </c>
      <c r="EU54" s="231">
        <v>1293.0899999999999</v>
      </c>
      <c r="EV54" s="231">
        <v>76827821</v>
      </c>
      <c r="EW54" s="231">
        <v>2245.04</v>
      </c>
      <c r="EX54" s="231">
        <v>2093.6799999999998</v>
      </c>
      <c r="EY54" s="228">
        <v>151.36000000000001</v>
      </c>
      <c r="EZ54" s="229">
        <v>7.2300000000000003E-2</v>
      </c>
      <c r="FA54" s="229">
        <v>0.65939999999999999</v>
      </c>
      <c r="FB54" s="227" t="s">
        <v>693</v>
      </c>
      <c r="FC54">
        <f t="shared" si="0"/>
        <v>64</v>
      </c>
    </row>
    <row r="55" spans="1:159" ht="17.25" thickBot="1" x14ac:dyDescent="0.3">
      <c r="A55" s="226">
        <v>46129</v>
      </c>
      <c r="B55" s="227" t="s">
        <v>157</v>
      </c>
      <c r="C55" s="227" t="s">
        <v>524</v>
      </c>
      <c r="D55" s="228">
        <v>325</v>
      </c>
      <c r="E55" s="228">
        <v>11</v>
      </c>
      <c r="F55" s="231">
        <v>1978.1</v>
      </c>
      <c r="G55" s="231">
        <v>1974.2</v>
      </c>
      <c r="H55" s="228">
        <v>3.9</v>
      </c>
      <c r="I55" s="229">
        <v>2E-3</v>
      </c>
      <c r="J55" s="231">
        <v>1971.7</v>
      </c>
      <c r="K55" s="231">
        <v>1974.7</v>
      </c>
      <c r="L55" s="228">
        <v>-3</v>
      </c>
      <c r="M55" s="229">
        <v>-1.5E-3</v>
      </c>
      <c r="N55" s="231">
        <v>1978.1</v>
      </c>
      <c r="O55" s="231">
        <v>1974.2</v>
      </c>
      <c r="P55" s="228">
        <v>3.9</v>
      </c>
      <c r="Q55" s="229">
        <v>2E-3</v>
      </c>
      <c r="R55" s="231">
        <v>1986.5</v>
      </c>
      <c r="S55" s="231">
        <v>1982.8</v>
      </c>
      <c r="T55" s="228">
        <v>3.7</v>
      </c>
      <c r="U55" s="229">
        <v>1.9E-3</v>
      </c>
      <c r="V55" s="231">
        <v>1996</v>
      </c>
      <c r="W55" s="231">
        <v>1987.2</v>
      </c>
      <c r="X55" s="228">
        <v>8.8000000000000007</v>
      </c>
      <c r="Y55" s="229">
        <v>4.4000000000000003E-3</v>
      </c>
      <c r="Z55" s="228">
        <v>6.4</v>
      </c>
      <c r="AA55" s="228">
        <v>-0.5</v>
      </c>
      <c r="AB55" s="228">
        <v>6.9</v>
      </c>
      <c r="AC55" s="229">
        <v>3.2000000000000002E-3</v>
      </c>
      <c r="AD55" s="228">
        <v>6.4</v>
      </c>
      <c r="AE55" s="228">
        <v>-0.5</v>
      </c>
      <c r="AF55" s="228">
        <v>6.9</v>
      </c>
      <c r="AG55" s="229">
        <v>3.2000000000000002E-3</v>
      </c>
      <c r="AH55" s="228">
        <v>14.8</v>
      </c>
      <c r="AI55" s="228">
        <v>8.1</v>
      </c>
      <c r="AJ55" s="228">
        <v>6.7</v>
      </c>
      <c r="AK55" s="229">
        <v>7.4999999999999997E-3</v>
      </c>
      <c r="AL55" s="228">
        <v>24.3</v>
      </c>
      <c r="AM55" s="228">
        <v>12.5</v>
      </c>
      <c r="AN55" s="228">
        <v>11.8</v>
      </c>
      <c r="AO55" s="229">
        <v>1.23E-2</v>
      </c>
      <c r="AP55" s="231">
        <v>1980.97</v>
      </c>
      <c r="AQ55" s="231">
        <v>1990.12</v>
      </c>
      <c r="AR55" s="228">
        <v>0</v>
      </c>
      <c r="AS55" s="228">
        <v>114</v>
      </c>
      <c r="AT55" s="228">
        <v>81</v>
      </c>
      <c r="AU55" s="228">
        <v>33</v>
      </c>
      <c r="AV55" s="229">
        <v>0.41339999999999999</v>
      </c>
      <c r="AW55" s="228">
        <v>103</v>
      </c>
      <c r="AX55" s="228">
        <v>76</v>
      </c>
      <c r="AY55" s="228">
        <v>26</v>
      </c>
      <c r="AZ55" s="229">
        <v>0.34339999999999998</v>
      </c>
      <c r="BA55" s="228">
        <v>11</v>
      </c>
      <c r="BB55" s="228">
        <v>4</v>
      </c>
      <c r="BC55" s="228">
        <v>8</v>
      </c>
      <c r="BD55" s="229">
        <v>2.1818</v>
      </c>
      <c r="BE55" s="228">
        <v>0</v>
      </c>
      <c r="BF55" s="228">
        <v>1</v>
      </c>
      <c r="BG55" s="228">
        <v>-1</v>
      </c>
      <c r="BH55" s="229">
        <v>-0.5333</v>
      </c>
      <c r="BI55" s="228">
        <v>189</v>
      </c>
      <c r="BJ55" s="228">
        <v>196</v>
      </c>
      <c r="BK55" s="228">
        <v>-7</v>
      </c>
      <c r="BL55" s="229">
        <v>-3.6400000000000002E-2</v>
      </c>
      <c r="BM55" s="228">
        <v>83</v>
      </c>
      <c r="BN55" s="228">
        <v>84</v>
      </c>
      <c r="BO55" s="228">
        <v>0</v>
      </c>
      <c r="BP55" s="229">
        <v>-4.5999999999999999E-3</v>
      </c>
      <c r="BQ55" s="228">
        <v>387</v>
      </c>
      <c r="BR55" s="228">
        <v>361</v>
      </c>
      <c r="BS55" s="228">
        <v>26</v>
      </c>
      <c r="BT55" s="229">
        <v>7.1800000000000003E-2</v>
      </c>
      <c r="BU55" s="230">
        <v>204253</v>
      </c>
      <c r="BV55" s="230">
        <v>159089</v>
      </c>
      <c r="BW55" s="230">
        <v>45164</v>
      </c>
      <c r="BX55" s="229">
        <v>0.28389999999999999</v>
      </c>
      <c r="BY55" s="228">
        <v>508</v>
      </c>
      <c r="BZ55" s="228">
        <v>495</v>
      </c>
      <c r="CA55" s="228">
        <v>13</v>
      </c>
      <c r="CB55" s="229">
        <v>2.63E-2</v>
      </c>
      <c r="CC55" s="228">
        <v>495</v>
      </c>
      <c r="CD55" s="228">
        <v>486</v>
      </c>
      <c r="CE55" s="228">
        <v>9</v>
      </c>
      <c r="CF55" s="229">
        <v>1.9199999999999998E-2</v>
      </c>
      <c r="CG55" s="228">
        <v>13</v>
      </c>
      <c r="CH55" s="228">
        <v>9</v>
      </c>
      <c r="CI55" s="228">
        <v>4</v>
      </c>
      <c r="CJ55" s="229">
        <v>0.47370000000000001</v>
      </c>
      <c r="CK55" s="228">
        <v>1</v>
      </c>
      <c r="CL55" s="228">
        <v>1</v>
      </c>
      <c r="CM55" s="228">
        <v>0</v>
      </c>
      <c r="CN55" s="229">
        <v>-0.35709999999999997</v>
      </c>
      <c r="CO55" s="228">
        <v>202</v>
      </c>
      <c r="CP55" s="228">
        <v>188</v>
      </c>
      <c r="CQ55" s="228">
        <v>14</v>
      </c>
      <c r="CR55" s="229">
        <v>7.2800000000000004E-2</v>
      </c>
      <c r="CS55" s="228">
        <v>199</v>
      </c>
      <c r="CT55" s="228">
        <v>210</v>
      </c>
      <c r="CU55" s="228">
        <v>-11</v>
      </c>
      <c r="CV55" s="229">
        <v>-5.3499999999999999E-2</v>
      </c>
      <c r="CW55" s="228">
        <v>909</v>
      </c>
      <c r="CX55" s="228">
        <v>894</v>
      </c>
      <c r="CY55" s="228">
        <v>15</v>
      </c>
      <c r="CZ55" s="229">
        <v>1.7299999999999999E-2</v>
      </c>
      <c r="DA55" s="228">
        <v>37.47</v>
      </c>
      <c r="DB55" s="228">
        <v>42.15</v>
      </c>
      <c r="DC55" s="228">
        <v>-4.68</v>
      </c>
      <c r="DD55" s="228">
        <v>-4.68</v>
      </c>
      <c r="DE55" s="228">
        <v>34.15</v>
      </c>
      <c r="DF55" s="228">
        <v>34.229999999999997</v>
      </c>
      <c r="DG55" s="228">
        <v>3.32</v>
      </c>
      <c r="DH55" s="228">
        <v>-0.08</v>
      </c>
      <c r="DI55" s="228">
        <v>36.549999999999997</v>
      </c>
      <c r="DJ55" s="228">
        <v>41.24</v>
      </c>
      <c r="DK55" s="228">
        <v>-4.6900000000000004</v>
      </c>
      <c r="DL55" s="228">
        <v>-4.6900000000000004</v>
      </c>
      <c r="DM55" s="228">
        <v>39.549999999999997</v>
      </c>
      <c r="DN55" s="228">
        <v>44.28</v>
      </c>
      <c r="DO55" s="228">
        <v>-4.7300000000000004</v>
      </c>
      <c r="DP55" s="228">
        <v>-4.7300000000000004</v>
      </c>
      <c r="DQ55" s="228">
        <v>0.99</v>
      </c>
      <c r="DR55" s="228">
        <v>1.1200000000000001</v>
      </c>
      <c r="DS55" s="228">
        <v>-0.13</v>
      </c>
      <c r="DT55" s="229">
        <v>-0.11609999999999999</v>
      </c>
      <c r="DU55" s="231">
        <v>2060</v>
      </c>
      <c r="DV55" s="231">
        <v>1900</v>
      </c>
      <c r="DW55" s="228">
        <v>0.44</v>
      </c>
      <c r="DX55" s="228">
        <v>0.43</v>
      </c>
      <c r="DY55" s="228">
        <v>0.01</v>
      </c>
      <c r="DZ55" s="229">
        <v>2.3300000000000001E-2</v>
      </c>
      <c r="EA55" s="229">
        <v>2.5899999999999999E-2</v>
      </c>
      <c r="EB55" s="230">
        <v>47775</v>
      </c>
      <c r="EC55" s="229">
        <v>4.1999999999999997E-3</v>
      </c>
      <c r="ED55" s="229">
        <v>2.5899999999999999E-2</v>
      </c>
      <c r="EE55" s="228">
        <v>9.15</v>
      </c>
      <c r="EF55" s="229">
        <v>4.5999999999999999E-3</v>
      </c>
      <c r="EG55" s="230">
        <v>112522</v>
      </c>
      <c r="EH55" s="230">
        <v>87155</v>
      </c>
      <c r="EI55" s="229">
        <v>0.29110000000000003</v>
      </c>
      <c r="EJ55" s="229">
        <v>0.55089999999999995</v>
      </c>
      <c r="EK55" s="228">
        <v>206.82</v>
      </c>
      <c r="EL55" s="228">
        <v>80.180000000000007</v>
      </c>
      <c r="EM55" s="228">
        <v>114.53</v>
      </c>
      <c r="EN55" s="228">
        <v>18.29</v>
      </c>
      <c r="EO55" s="228">
        <v>401.53</v>
      </c>
      <c r="EP55" s="228">
        <v>380.78</v>
      </c>
      <c r="EQ55" s="228">
        <v>20.75</v>
      </c>
      <c r="ER55" s="229">
        <v>5.45E-2</v>
      </c>
      <c r="ES55" s="228">
        <v>208.48</v>
      </c>
      <c r="ET55" s="228">
        <v>186.74</v>
      </c>
      <c r="EU55" s="228">
        <v>508.39</v>
      </c>
      <c r="EV55" s="231">
        <v>12425160</v>
      </c>
      <c r="EW55" s="228">
        <v>903.61</v>
      </c>
      <c r="EX55" s="228">
        <v>885.06</v>
      </c>
      <c r="EY55" s="228">
        <v>18.55</v>
      </c>
      <c r="EZ55" s="229">
        <v>2.1000000000000001E-2</v>
      </c>
      <c r="FA55" s="229">
        <v>0.36990000000000001</v>
      </c>
      <c r="FB55" s="227" t="s">
        <v>555</v>
      </c>
      <c r="FC55">
        <f t="shared" si="0"/>
        <v>13</v>
      </c>
    </row>
    <row r="56" spans="1:159" ht="17.25" thickBot="1" x14ac:dyDescent="0.3">
      <c r="A56" s="226">
        <v>46129</v>
      </c>
      <c r="B56" s="227" t="s">
        <v>614</v>
      </c>
      <c r="C56" s="227" t="s">
        <v>599</v>
      </c>
      <c r="D56" s="228">
        <v>2075</v>
      </c>
      <c r="E56" s="228">
        <v>11</v>
      </c>
      <c r="F56" s="228">
        <v>464.5</v>
      </c>
      <c r="G56" s="228">
        <v>461.15</v>
      </c>
      <c r="H56" s="228">
        <v>3.35</v>
      </c>
      <c r="I56" s="229">
        <v>7.3000000000000001E-3</v>
      </c>
      <c r="J56" s="228">
        <v>463</v>
      </c>
      <c r="K56" s="228">
        <v>459.75</v>
      </c>
      <c r="L56" s="228">
        <v>3.25</v>
      </c>
      <c r="M56" s="229">
        <v>7.1000000000000004E-3</v>
      </c>
      <c r="N56" s="228">
        <v>464.5</v>
      </c>
      <c r="O56" s="228">
        <v>461.15</v>
      </c>
      <c r="P56" s="228">
        <v>3.35</v>
      </c>
      <c r="Q56" s="229">
        <v>7.3000000000000001E-3</v>
      </c>
      <c r="R56" s="228">
        <v>466.65</v>
      </c>
      <c r="S56" s="228">
        <v>463.65</v>
      </c>
      <c r="T56" s="228">
        <v>3</v>
      </c>
      <c r="U56" s="229">
        <v>6.4999999999999997E-3</v>
      </c>
      <c r="V56" s="228">
        <v>469.2</v>
      </c>
      <c r="W56" s="228">
        <v>466.25</v>
      </c>
      <c r="X56" s="228">
        <v>2.95</v>
      </c>
      <c r="Y56" s="229">
        <v>6.3E-3</v>
      </c>
      <c r="Z56" s="228">
        <v>1.5</v>
      </c>
      <c r="AA56" s="228">
        <v>1.4</v>
      </c>
      <c r="AB56" s="228">
        <v>0.1</v>
      </c>
      <c r="AC56" s="229">
        <v>3.2000000000000002E-3</v>
      </c>
      <c r="AD56" s="228">
        <v>1.5</v>
      </c>
      <c r="AE56" s="228">
        <v>1.4</v>
      </c>
      <c r="AF56" s="228">
        <v>0.1</v>
      </c>
      <c r="AG56" s="229">
        <v>3.2000000000000002E-3</v>
      </c>
      <c r="AH56" s="228">
        <v>3.65</v>
      </c>
      <c r="AI56" s="228">
        <v>3.9</v>
      </c>
      <c r="AJ56" s="228">
        <v>-0.25</v>
      </c>
      <c r="AK56" s="229">
        <v>7.9000000000000008E-3</v>
      </c>
      <c r="AL56" s="228">
        <v>6.2</v>
      </c>
      <c r="AM56" s="228">
        <v>6.5</v>
      </c>
      <c r="AN56" s="228">
        <v>-0.3</v>
      </c>
      <c r="AO56" s="229">
        <v>1.34E-2</v>
      </c>
      <c r="AP56" s="228">
        <v>465.35</v>
      </c>
      <c r="AQ56" s="228">
        <v>467.32</v>
      </c>
      <c r="AR56" s="228">
        <v>0</v>
      </c>
      <c r="AS56" s="228">
        <v>340</v>
      </c>
      <c r="AT56" s="228">
        <v>264</v>
      </c>
      <c r="AU56" s="228">
        <v>76</v>
      </c>
      <c r="AV56" s="229">
        <v>0.28789999999999999</v>
      </c>
      <c r="AW56" s="228">
        <v>312</v>
      </c>
      <c r="AX56" s="228">
        <v>234</v>
      </c>
      <c r="AY56" s="228">
        <v>79</v>
      </c>
      <c r="AZ56" s="229">
        <v>0.33579999999999999</v>
      </c>
      <c r="BA56" s="228">
        <v>27</v>
      </c>
      <c r="BB56" s="228">
        <v>27</v>
      </c>
      <c r="BC56" s="228">
        <v>-1</v>
      </c>
      <c r="BD56" s="229">
        <v>-3.1600000000000003E-2</v>
      </c>
      <c r="BE56" s="228">
        <v>1</v>
      </c>
      <c r="BF56" s="228">
        <v>3</v>
      </c>
      <c r="BG56" s="228">
        <v>-2</v>
      </c>
      <c r="BH56" s="229">
        <v>-0.58620000000000005</v>
      </c>
      <c r="BI56" s="230">
        <v>1442</v>
      </c>
      <c r="BJ56" s="228">
        <v>498</v>
      </c>
      <c r="BK56" s="228">
        <v>944</v>
      </c>
      <c r="BL56" s="229">
        <v>1.8980999999999999</v>
      </c>
      <c r="BM56" s="228">
        <v>312</v>
      </c>
      <c r="BN56" s="228">
        <v>139</v>
      </c>
      <c r="BO56" s="228">
        <v>174</v>
      </c>
      <c r="BP56" s="229">
        <v>1.2561</v>
      </c>
      <c r="BQ56" s="230">
        <v>2095</v>
      </c>
      <c r="BR56" s="228">
        <v>900</v>
      </c>
      <c r="BS56" s="230">
        <v>1194</v>
      </c>
      <c r="BT56" s="229">
        <v>1.3268</v>
      </c>
      <c r="BU56" s="230">
        <v>5683537</v>
      </c>
      <c r="BV56" s="230">
        <v>3958970</v>
      </c>
      <c r="BW56" s="230">
        <v>1724567</v>
      </c>
      <c r="BX56" s="229">
        <v>0.43559999999999999</v>
      </c>
      <c r="BY56" s="230">
        <v>1476</v>
      </c>
      <c r="BZ56" s="230">
        <v>1400</v>
      </c>
      <c r="CA56" s="228">
        <v>76</v>
      </c>
      <c r="CB56" s="229">
        <v>5.3999999999999999E-2</v>
      </c>
      <c r="CC56" s="230">
        <v>1432</v>
      </c>
      <c r="CD56" s="230">
        <v>1362</v>
      </c>
      <c r="CE56" s="228">
        <v>70</v>
      </c>
      <c r="CF56" s="229">
        <v>5.1299999999999998E-2</v>
      </c>
      <c r="CG56" s="228">
        <v>40</v>
      </c>
      <c r="CH56" s="228">
        <v>35</v>
      </c>
      <c r="CI56" s="228">
        <v>5</v>
      </c>
      <c r="CJ56" s="229">
        <v>0.15379999999999999</v>
      </c>
      <c r="CK56" s="228">
        <v>3</v>
      </c>
      <c r="CL56" s="228">
        <v>3</v>
      </c>
      <c r="CM56" s="228">
        <v>0</v>
      </c>
      <c r="CN56" s="229">
        <v>0.14810000000000001</v>
      </c>
      <c r="CO56" s="228">
        <v>671</v>
      </c>
      <c r="CP56" s="228">
        <v>476</v>
      </c>
      <c r="CQ56" s="228">
        <v>195</v>
      </c>
      <c r="CR56" s="229">
        <v>0.40889999999999999</v>
      </c>
      <c r="CS56" s="228">
        <v>259</v>
      </c>
      <c r="CT56" s="228">
        <v>218</v>
      </c>
      <c r="CU56" s="228">
        <v>40</v>
      </c>
      <c r="CV56" s="229">
        <v>0.185</v>
      </c>
      <c r="CW56" s="230">
        <v>2405</v>
      </c>
      <c r="CX56" s="230">
        <v>2094</v>
      </c>
      <c r="CY56" s="228">
        <v>311</v>
      </c>
      <c r="CZ56" s="229">
        <v>0.14829999999999999</v>
      </c>
      <c r="DA56" s="228">
        <v>38.07</v>
      </c>
      <c r="DB56" s="228">
        <v>34.99</v>
      </c>
      <c r="DC56" s="228">
        <v>3.08</v>
      </c>
      <c r="DD56" s="228">
        <v>3.08</v>
      </c>
      <c r="DE56" s="228">
        <v>39.450000000000003</v>
      </c>
      <c r="DF56" s="228">
        <v>39.54</v>
      </c>
      <c r="DG56" s="228">
        <v>-1.38</v>
      </c>
      <c r="DH56" s="228">
        <v>-0.09</v>
      </c>
      <c r="DI56" s="228">
        <v>38.35</v>
      </c>
      <c r="DJ56" s="228">
        <v>34.72</v>
      </c>
      <c r="DK56" s="228">
        <v>3.63</v>
      </c>
      <c r="DL56" s="228">
        <v>3.63</v>
      </c>
      <c r="DM56" s="228">
        <v>36.78</v>
      </c>
      <c r="DN56" s="228">
        <v>35.96</v>
      </c>
      <c r="DO56" s="228">
        <v>0.82</v>
      </c>
      <c r="DP56" s="228">
        <v>0.82</v>
      </c>
      <c r="DQ56" s="228">
        <v>0.39</v>
      </c>
      <c r="DR56" s="228">
        <v>0.46</v>
      </c>
      <c r="DS56" s="228">
        <v>-7.0000000000000007E-2</v>
      </c>
      <c r="DT56" s="229">
        <v>-0.1522</v>
      </c>
      <c r="DU56" s="228">
        <v>480</v>
      </c>
      <c r="DV56" s="228">
        <v>460</v>
      </c>
      <c r="DW56" s="228">
        <v>0.22</v>
      </c>
      <c r="DX56" s="228">
        <v>0.28000000000000003</v>
      </c>
      <c r="DY56" s="228">
        <v>-0.06</v>
      </c>
      <c r="DZ56" s="229">
        <v>-0.21429999999999999</v>
      </c>
      <c r="EA56" s="229">
        <v>2.9499999999999998E-2</v>
      </c>
      <c r="EB56" s="230">
        <v>811325</v>
      </c>
      <c r="EC56" s="229">
        <v>4.5999999999999999E-3</v>
      </c>
      <c r="ED56" s="229">
        <v>2.9499999999999998E-2</v>
      </c>
      <c r="EE56" s="228">
        <v>1.97</v>
      </c>
      <c r="EF56" s="229">
        <v>4.1999999999999997E-3</v>
      </c>
      <c r="EG56" s="230">
        <v>3547918</v>
      </c>
      <c r="EH56" s="230">
        <v>2145596</v>
      </c>
      <c r="EI56" s="229">
        <v>0.65359999999999996</v>
      </c>
      <c r="EJ56" s="229">
        <v>0.62419999999999998</v>
      </c>
      <c r="EK56" s="231">
        <v>1512.51</v>
      </c>
      <c r="EL56" s="228">
        <v>310.38</v>
      </c>
      <c r="EM56" s="228">
        <v>340.98</v>
      </c>
      <c r="EN56" s="228">
        <v>21.74</v>
      </c>
      <c r="EO56" s="231">
        <v>2163.87</v>
      </c>
      <c r="EP56" s="228">
        <v>916.99</v>
      </c>
      <c r="EQ56" s="231">
        <v>1246.8800000000001</v>
      </c>
      <c r="ER56" s="229">
        <v>1.3597999999999999</v>
      </c>
      <c r="ES56" s="228">
        <v>688.18</v>
      </c>
      <c r="ET56" s="228">
        <v>244.38</v>
      </c>
      <c r="EU56" s="231">
        <v>1475.95</v>
      </c>
      <c r="EV56" s="231">
        <v>83072620</v>
      </c>
      <c r="EW56" s="231">
        <v>2408.5100000000002</v>
      </c>
      <c r="EX56" s="231">
        <v>2080.6799999999998</v>
      </c>
      <c r="EY56" s="228">
        <v>327.83</v>
      </c>
      <c r="EZ56" s="229">
        <v>0.15759999999999999</v>
      </c>
      <c r="FA56" s="229">
        <v>0.62329999999999997</v>
      </c>
      <c r="FB56" s="227" t="s">
        <v>555</v>
      </c>
      <c r="FC56">
        <f t="shared" si="0"/>
        <v>44</v>
      </c>
    </row>
    <row r="57" spans="1:159" ht="17.25" thickBot="1" x14ac:dyDescent="0.3">
      <c r="A57" s="226">
        <v>46129</v>
      </c>
      <c r="B57" s="227" t="s">
        <v>170</v>
      </c>
      <c r="C57" s="227" t="s">
        <v>205</v>
      </c>
      <c r="D57" s="228">
        <v>100</v>
      </c>
      <c r="E57" s="228">
        <v>11</v>
      </c>
      <c r="F57" s="231">
        <v>6238</v>
      </c>
      <c r="G57" s="231">
        <v>6292</v>
      </c>
      <c r="H57" s="228">
        <v>-54</v>
      </c>
      <c r="I57" s="229">
        <v>-8.6E-3</v>
      </c>
      <c r="J57" s="231">
        <v>6229</v>
      </c>
      <c r="K57" s="231">
        <v>6293.5</v>
      </c>
      <c r="L57" s="228">
        <v>-64.5</v>
      </c>
      <c r="M57" s="229">
        <v>-1.0200000000000001E-2</v>
      </c>
      <c r="N57" s="231">
        <v>6238</v>
      </c>
      <c r="O57" s="231">
        <v>6292</v>
      </c>
      <c r="P57" s="228">
        <v>-54</v>
      </c>
      <c r="Q57" s="229">
        <v>-8.6E-3</v>
      </c>
      <c r="R57" s="231">
        <v>6276.5</v>
      </c>
      <c r="S57" s="231">
        <v>6328</v>
      </c>
      <c r="T57" s="228">
        <v>-51.5</v>
      </c>
      <c r="U57" s="229">
        <v>-8.0999999999999996E-3</v>
      </c>
      <c r="V57" s="231">
        <v>6299.5</v>
      </c>
      <c r="W57" s="231">
        <v>6358.5</v>
      </c>
      <c r="X57" s="228">
        <v>-59</v>
      </c>
      <c r="Y57" s="229">
        <v>-9.2999999999999992E-3</v>
      </c>
      <c r="Z57" s="228">
        <v>9</v>
      </c>
      <c r="AA57" s="228">
        <v>-1.5</v>
      </c>
      <c r="AB57" s="228">
        <v>10.5</v>
      </c>
      <c r="AC57" s="229">
        <v>1.4E-3</v>
      </c>
      <c r="AD57" s="228">
        <v>9</v>
      </c>
      <c r="AE57" s="228">
        <v>-1.5</v>
      </c>
      <c r="AF57" s="228">
        <v>10.5</v>
      </c>
      <c r="AG57" s="229">
        <v>1.4E-3</v>
      </c>
      <c r="AH57" s="228">
        <v>47.5</v>
      </c>
      <c r="AI57" s="228">
        <v>34.5</v>
      </c>
      <c r="AJ57" s="228">
        <v>13</v>
      </c>
      <c r="AK57" s="229">
        <v>7.6E-3</v>
      </c>
      <c r="AL57" s="228">
        <v>70.5</v>
      </c>
      <c r="AM57" s="228">
        <v>65</v>
      </c>
      <c r="AN57" s="228">
        <v>5.5</v>
      </c>
      <c r="AO57" s="229">
        <v>1.1299999999999999E-2</v>
      </c>
      <c r="AP57" s="231">
        <v>6263.48</v>
      </c>
      <c r="AQ57" s="231">
        <v>6297.22</v>
      </c>
      <c r="AR57" s="228">
        <v>0</v>
      </c>
      <c r="AS57" s="228">
        <v>123</v>
      </c>
      <c r="AT57" s="228">
        <v>202</v>
      </c>
      <c r="AU57" s="228">
        <v>-79</v>
      </c>
      <c r="AV57" s="229">
        <v>-0.39229999999999998</v>
      </c>
      <c r="AW57" s="228">
        <v>103</v>
      </c>
      <c r="AX57" s="228">
        <v>190</v>
      </c>
      <c r="AY57" s="228">
        <v>-87</v>
      </c>
      <c r="AZ57" s="229">
        <v>-0.45660000000000001</v>
      </c>
      <c r="BA57" s="228">
        <v>20</v>
      </c>
      <c r="BB57" s="228">
        <v>11</v>
      </c>
      <c r="BC57" s="228">
        <v>8</v>
      </c>
      <c r="BD57" s="229">
        <v>0.7389</v>
      </c>
      <c r="BE57" s="228">
        <v>0</v>
      </c>
      <c r="BF57" s="228">
        <v>1</v>
      </c>
      <c r="BG57" s="228">
        <v>-1</v>
      </c>
      <c r="BH57" s="229">
        <v>-0.88239999999999996</v>
      </c>
      <c r="BI57" s="228">
        <v>646</v>
      </c>
      <c r="BJ57" s="230">
        <v>1071</v>
      </c>
      <c r="BK57" s="228">
        <v>-425</v>
      </c>
      <c r="BL57" s="229">
        <v>-0.39679999999999999</v>
      </c>
      <c r="BM57" s="228">
        <v>367</v>
      </c>
      <c r="BN57" s="228">
        <v>500</v>
      </c>
      <c r="BO57" s="228">
        <v>-133</v>
      </c>
      <c r="BP57" s="229">
        <v>-0.26550000000000001</v>
      </c>
      <c r="BQ57" s="230">
        <v>1136</v>
      </c>
      <c r="BR57" s="230">
        <v>1773</v>
      </c>
      <c r="BS57" s="228">
        <v>-637</v>
      </c>
      <c r="BT57" s="229">
        <v>-0.35930000000000001</v>
      </c>
      <c r="BU57" s="230">
        <v>178285</v>
      </c>
      <c r="BV57" s="230">
        <v>440721</v>
      </c>
      <c r="BW57" s="230">
        <v>-262436</v>
      </c>
      <c r="BX57" s="229">
        <v>-0.59550000000000003</v>
      </c>
      <c r="BY57" s="230">
        <v>1719</v>
      </c>
      <c r="BZ57" s="230">
        <v>1728</v>
      </c>
      <c r="CA57" s="228">
        <v>-9</v>
      </c>
      <c r="CB57" s="229">
        <v>-5.1000000000000004E-3</v>
      </c>
      <c r="CC57" s="230">
        <v>1663</v>
      </c>
      <c r="CD57" s="230">
        <v>1677</v>
      </c>
      <c r="CE57" s="228">
        <v>-14</v>
      </c>
      <c r="CF57" s="229">
        <v>-8.0999999999999996E-3</v>
      </c>
      <c r="CG57" s="228">
        <v>54</v>
      </c>
      <c r="CH57" s="228">
        <v>49</v>
      </c>
      <c r="CI57" s="228">
        <v>5</v>
      </c>
      <c r="CJ57" s="229">
        <v>9.4600000000000004E-2</v>
      </c>
      <c r="CK57" s="228">
        <v>2</v>
      </c>
      <c r="CL57" s="228">
        <v>2</v>
      </c>
      <c r="CM57" s="228">
        <v>0</v>
      </c>
      <c r="CN57" s="229">
        <v>0</v>
      </c>
      <c r="CO57" s="228">
        <v>440</v>
      </c>
      <c r="CP57" s="228">
        <v>386</v>
      </c>
      <c r="CQ57" s="228">
        <v>54</v>
      </c>
      <c r="CR57" s="229">
        <v>0.13880000000000001</v>
      </c>
      <c r="CS57" s="228">
        <v>461</v>
      </c>
      <c r="CT57" s="228">
        <v>464</v>
      </c>
      <c r="CU57" s="228">
        <v>-2</v>
      </c>
      <c r="CV57" s="229">
        <v>-5.0000000000000001E-3</v>
      </c>
      <c r="CW57" s="230">
        <v>2620</v>
      </c>
      <c r="CX57" s="230">
        <v>2577</v>
      </c>
      <c r="CY57" s="228">
        <v>42</v>
      </c>
      <c r="CZ57" s="229">
        <v>1.6500000000000001E-2</v>
      </c>
      <c r="DA57" s="228">
        <v>24.25</v>
      </c>
      <c r="DB57" s="228">
        <v>24.82</v>
      </c>
      <c r="DC57" s="228">
        <v>-0.56999999999999995</v>
      </c>
      <c r="DD57" s="228">
        <v>-0.56999999999999995</v>
      </c>
      <c r="DE57" s="228">
        <v>29.75</v>
      </c>
      <c r="DF57" s="228">
        <v>29.79</v>
      </c>
      <c r="DG57" s="228">
        <v>-5.5</v>
      </c>
      <c r="DH57" s="228">
        <v>-0.04</v>
      </c>
      <c r="DI57" s="228">
        <v>23.79</v>
      </c>
      <c r="DJ57" s="228">
        <v>23.94</v>
      </c>
      <c r="DK57" s="228">
        <v>-0.15</v>
      </c>
      <c r="DL57" s="228">
        <v>-0.15</v>
      </c>
      <c r="DM57" s="228">
        <v>25.06</v>
      </c>
      <c r="DN57" s="228">
        <v>26.7</v>
      </c>
      <c r="DO57" s="228">
        <v>-1.64</v>
      </c>
      <c r="DP57" s="228">
        <v>-1.64</v>
      </c>
      <c r="DQ57" s="228">
        <v>1.05</v>
      </c>
      <c r="DR57" s="228">
        <v>1.2</v>
      </c>
      <c r="DS57" s="228">
        <v>-0.15</v>
      </c>
      <c r="DT57" s="229">
        <v>-0.125</v>
      </c>
      <c r="DU57" s="231">
        <v>6300</v>
      </c>
      <c r="DV57" s="231">
        <v>5200</v>
      </c>
      <c r="DW57" s="228">
        <v>0.56999999999999995</v>
      </c>
      <c r="DX57" s="228">
        <v>0.47</v>
      </c>
      <c r="DY57" s="228">
        <v>0.1</v>
      </c>
      <c r="DZ57" s="229">
        <v>0.21279999999999999</v>
      </c>
      <c r="EA57" s="229">
        <v>3.2500000000000001E-2</v>
      </c>
      <c r="EB57" s="230">
        <v>82100</v>
      </c>
      <c r="EC57" s="229">
        <v>6.1999999999999998E-3</v>
      </c>
      <c r="ED57" s="229">
        <v>3.2500000000000001E-2</v>
      </c>
      <c r="EE57" s="228">
        <v>33.74</v>
      </c>
      <c r="EF57" s="229">
        <v>5.4000000000000003E-3</v>
      </c>
      <c r="EG57" s="230">
        <v>76362</v>
      </c>
      <c r="EH57" s="230">
        <v>269550</v>
      </c>
      <c r="EI57" s="229">
        <v>-0.7167</v>
      </c>
      <c r="EJ57" s="229">
        <v>0.42830000000000001</v>
      </c>
      <c r="EK57" s="228">
        <v>668.7</v>
      </c>
      <c r="EL57" s="228">
        <v>365.15</v>
      </c>
      <c r="EM57" s="228">
        <v>123.31</v>
      </c>
      <c r="EN57" s="228">
        <v>31.17</v>
      </c>
      <c r="EO57" s="231">
        <v>1157.17</v>
      </c>
      <c r="EP57" s="231">
        <v>1800.28</v>
      </c>
      <c r="EQ57" s="228">
        <v>-643.12</v>
      </c>
      <c r="ER57" s="229">
        <v>-0.35720000000000002</v>
      </c>
      <c r="ES57" s="228">
        <v>443.94</v>
      </c>
      <c r="ET57" s="228">
        <v>424.93</v>
      </c>
      <c r="EU57" s="231">
        <v>1719.23</v>
      </c>
      <c r="EV57" s="231">
        <v>15815194</v>
      </c>
      <c r="EW57" s="231">
        <v>2588.1</v>
      </c>
      <c r="EX57" s="231">
        <v>2558.92</v>
      </c>
      <c r="EY57" s="228">
        <v>29.18</v>
      </c>
      <c r="EZ57" s="229">
        <v>1.14E-2</v>
      </c>
      <c r="FA57" s="229">
        <v>0.2656</v>
      </c>
      <c r="FB57" s="227" t="s">
        <v>567</v>
      </c>
      <c r="FC57">
        <f t="shared" si="0"/>
        <v>56</v>
      </c>
    </row>
    <row r="58" spans="1:159" ht="17.25" thickBot="1" x14ac:dyDescent="0.3">
      <c r="A58" s="226">
        <v>46129</v>
      </c>
      <c r="B58" s="227" t="s">
        <v>184</v>
      </c>
      <c r="C58" s="227" t="s">
        <v>512</v>
      </c>
      <c r="D58" s="228">
        <v>50</v>
      </c>
      <c r="E58" s="228">
        <v>11</v>
      </c>
      <c r="F58" s="231">
        <v>11377.5</v>
      </c>
      <c r="G58" s="231">
        <v>11222.5</v>
      </c>
      <c r="H58" s="228">
        <v>155</v>
      </c>
      <c r="I58" s="229">
        <v>1.38E-2</v>
      </c>
      <c r="J58" s="231">
        <v>11371.5</v>
      </c>
      <c r="K58" s="231">
        <v>11287</v>
      </c>
      <c r="L58" s="228">
        <v>84.5</v>
      </c>
      <c r="M58" s="229">
        <v>7.4999999999999997E-3</v>
      </c>
      <c r="N58" s="231">
        <v>11377.5</v>
      </c>
      <c r="O58" s="231">
        <v>11222.5</v>
      </c>
      <c r="P58" s="228">
        <v>155</v>
      </c>
      <c r="Q58" s="229">
        <v>1.38E-2</v>
      </c>
      <c r="R58" s="231">
        <v>11280</v>
      </c>
      <c r="S58" s="231">
        <v>11128</v>
      </c>
      <c r="T58" s="228">
        <v>152</v>
      </c>
      <c r="U58" s="229">
        <v>1.37E-2</v>
      </c>
      <c r="V58" s="231">
        <v>11207.5</v>
      </c>
      <c r="W58" s="231">
        <v>11091.5</v>
      </c>
      <c r="X58" s="228">
        <v>116</v>
      </c>
      <c r="Y58" s="229">
        <v>1.0500000000000001E-2</v>
      </c>
      <c r="Z58" s="228">
        <v>6</v>
      </c>
      <c r="AA58" s="228">
        <v>-64.5</v>
      </c>
      <c r="AB58" s="228">
        <v>70.5</v>
      </c>
      <c r="AC58" s="229">
        <v>5.0000000000000001E-4</v>
      </c>
      <c r="AD58" s="228">
        <v>6</v>
      </c>
      <c r="AE58" s="228">
        <v>-64.5</v>
      </c>
      <c r="AF58" s="228">
        <v>70.5</v>
      </c>
      <c r="AG58" s="229">
        <v>5.0000000000000001E-4</v>
      </c>
      <c r="AH58" s="228">
        <v>-91.5</v>
      </c>
      <c r="AI58" s="228">
        <v>-159</v>
      </c>
      <c r="AJ58" s="228">
        <v>67.5</v>
      </c>
      <c r="AK58" s="229">
        <v>-8.0000000000000002E-3</v>
      </c>
      <c r="AL58" s="228">
        <v>-164</v>
      </c>
      <c r="AM58" s="228">
        <v>-195.5</v>
      </c>
      <c r="AN58" s="228">
        <v>31.5</v>
      </c>
      <c r="AO58" s="229">
        <v>-1.44E-2</v>
      </c>
      <c r="AP58" s="231">
        <v>11328.28</v>
      </c>
      <c r="AQ58" s="231">
        <v>11215.76</v>
      </c>
      <c r="AR58" s="228">
        <v>0</v>
      </c>
      <c r="AS58" s="230">
        <v>1059</v>
      </c>
      <c r="AT58" s="230">
        <v>1549</v>
      </c>
      <c r="AU58" s="228">
        <v>-490</v>
      </c>
      <c r="AV58" s="229">
        <v>-0.31609999999999999</v>
      </c>
      <c r="AW58" s="228">
        <v>832</v>
      </c>
      <c r="AX58" s="230">
        <v>1259</v>
      </c>
      <c r="AY58" s="228">
        <v>-426</v>
      </c>
      <c r="AZ58" s="229">
        <v>-0.33879999999999999</v>
      </c>
      <c r="BA58" s="228">
        <v>193</v>
      </c>
      <c r="BB58" s="228">
        <v>250</v>
      </c>
      <c r="BC58" s="228">
        <v>-56</v>
      </c>
      <c r="BD58" s="229">
        <v>-0.2258</v>
      </c>
      <c r="BE58" s="228">
        <v>34</v>
      </c>
      <c r="BF58" s="228">
        <v>41</v>
      </c>
      <c r="BG58" s="228">
        <v>-7</v>
      </c>
      <c r="BH58" s="229">
        <v>-0.16919999999999999</v>
      </c>
      <c r="BI58" s="230">
        <v>3955</v>
      </c>
      <c r="BJ58" s="230">
        <v>6627</v>
      </c>
      <c r="BK58" s="230">
        <v>-2672</v>
      </c>
      <c r="BL58" s="229">
        <v>-0.4032</v>
      </c>
      <c r="BM58" s="230">
        <v>2202</v>
      </c>
      <c r="BN58" s="230">
        <v>2546</v>
      </c>
      <c r="BO58" s="228">
        <v>-344</v>
      </c>
      <c r="BP58" s="229">
        <v>-0.1353</v>
      </c>
      <c r="BQ58" s="230">
        <v>7216</v>
      </c>
      <c r="BR58" s="230">
        <v>10722</v>
      </c>
      <c r="BS58" s="230">
        <v>-3506</v>
      </c>
      <c r="BT58" s="229">
        <v>-0.32700000000000001</v>
      </c>
      <c r="BU58" s="230">
        <v>776120</v>
      </c>
      <c r="BV58" s="230">
        <v>1129935</v>
      </c>
      <c r="BW58" s="230">
        <v>-353815</v>
      </c>
      <c r="BX58" s="229">
        <v>-0.31309999999999999</v>
      </c>
      <c r="BY58" s="230">
        <v>3534</v>
      </c>
      <c r="BZ58" s="230">
        <v>3604</v>
      </c>
      <c r="CA58" s="228">
        <v>-70</v>
      </c>
      <c r="CB58" s="229">
        <v>-1.9400000000000001E-2</v>
      </c>
      <c r="CC58" s="230">
        <v>3001</v>
      </c>
      <c r="CD58" s="230">
        <v>3111</v>
      </c>
      <c r="CE58" s="228">
        <v>-110</v>
      </c>
      <c r="CF58" s="229">
        <v>-3.5299999999999998E-2</v>
      </c>
      <c r="CG58" s="228">
        <v>477</v>
      </c>
      <c r="CH58" s="228">
        <v>438</v>
      </c>
      <c r="CI58" s="228">
        <v>39</v>
      </c>
      <c r="CJ58" s="229">
        <v>9.0200000000000002E-2</v>
      </c>
      <c r="CK58" s="228">
        <v>56</v>
      </c>
      <c r="CL58" s="228">
        <v>55</v>
      </c>
      <c r="CM58" s="228">
        <v>1</v>
      </c>
      <c r="CN58" s="229">
        <v>1.03E-2</v>
      </c>
      <c r="CO58" s="230">
        <v>2377</v>
      </c>
      <c r="CP58" s="230">
        <v>2478</v>
      </c>
      <c r="CQ58" s="228">
        <v>-101</v>
      </c>
      <c r="CR58" s="229">
        <v>-4.0599999999999997E-2</v>
      </c>
      <c r="CS58" s="230">
        <v>1768</v>
      </c>
      <c r="CT58" s="230">
        <v>1748</v>
      </c>
      <c r="CU58" s="228">
        <v>20</v>
      </c>
      <c r="CV58" s="229">
        <v>1.1299999999999999E-2</v>
      </c>
      <c r="CW58" s="230">
        <v>7679</v>
      </c>
      <c r="CX58" s="230">
        <v>7830</v>
      </c>
      <c r="CY58" s="228">
        <v>-151</v>
      </c>
      <c r="CZ58" s="229">
        <v>-1.9300000000000001E-2</v>
      </c>
      <c r="DA58" s="228">
        <v>45.96</v>
      </c>
      <c r="DB58" s="228">
        <v>47.52</v>
      </c>
      <c r="DC58" s="228">
        <v>-1.56</v>
      </c>
      <c r="DD58" s="228">
        <v>-1.56</v>
      </c>
      <c r="DE58" s="228">
        <v>49.35</v>
      </c>
      <c r="DF58" s="228">
        <v>49.44</v>
      </c>
      <c r="DG58" s="228">
        <v>-3.39</v>
      </c>
      <c r="DH58" s="228">
        <v>-0.09</v>
      </c>
      <c r="DI58" s="228">
        <v>44.01</v>
      </c>
      <c r="DJ58" s="228">
        <v>46.18</v>
      </c>
      <c r="DK58" s="228">
        <v>-2.17</v>
      </c>
      <c r="DL58" s="228">
        <v>-2.17</v>
      </c>
      <c r="DM58" s="228">
        <v>49.46</v>
      </c>
      <c r="DN58" s="228">
        <v>51.01</v>
      </c>
      <c r="DO58" s="228">
        <v>-1.55</v>
      </c>
      <c r="DP58" s="228">
        <v>-1.55</v>
      </c>
      <c r="DQ58" s="228">
        <v>0.74</v>
      </c>
      <c r="DR58" s="228">
        <v>0.71</v>
      </c>
      <c r="DS58" s="228">
        <v>0.03</v>
      </c>
      <c r="DT58" s="229">
        <v>4.2299999999999997E-2</v>
      </c>
      <c r="DU58" s="231">
        <v>12000</v>
      </c>
      <c r="DV58" s="231">
        <v>10000</v>
      </c>
      <c r="DW58" s="228">
        <v>0.56000000000000005</v>
      </c>
      <c r="DX58" s="228">
        <v>0.38</v>
      </c>
      <c r="DY58" s="228">
        <v>0.18</v>
      </c>
      <c r="DZ58" s="229">
        <v>0.47370000000000001</v>
      </c>
      <c r="EA58" s="229">
        <v>0.15079999999999999</v>
      </c>
      <c r="EB58" s="230">
        <v>433350</v>
      </c>
      <c r="EC58" s="229">
        <v>-8.6E-3</v>
      </c>
      <c r="ED58" s="229">
        <v>0.15079999999999999</v>
      </c>
      <c r="EE58" s="228">
        <v>-112.52</v>
      </c>
      <c r="EF58" s="229">
        <v>-9.9000000000000008E-3</v>
      </c>
      <c r="EG58" s="230">
        <v>185972</v>
      </c>
      <c r="EH58" s="230">
        <v>306292</v>
      </c>
      <c r="EI58" s="229">
        <v>-0.39279999999999998</v>
      </c>
      <c r="EJ58" s="229">
        <v>0.23960000000000001</v>
      </c>
      <c r="EK58" s="231">
        <v>4140.04</v>
      </c>
      <c r="EL58" s="231">
        <v>2106.98</v>
      </c>
      <c r="EM58" s="231">
        <v>1052.3499999999999</v>
      </c>
      <c r="EN58" s="228">
        <v>201.68</v>
      </c>
      <c r="EO58" s="231">
        <v>7299.37</v>
      </c>
      <c r="EP58" s="231">
        <v>10857.61</v>
      </c>
      <c r="EQ58" s="231">
        <v>-3558.25</v>
      </c>
      <c r="ER58" s="229">
        <v>-0.32769999999999999</v>
      </c>
      <c r="ES58" s="231">
        <v>2367.2600000000002</v>
      </c>
      <c r="ET58" s="231">
        <v>1595.6</v>
      </c>
      <c r="EU58" s="231">
        <v>3529.21</v>
      </c>
      <c r="EV58" s="231">
        <v>6478285</v>
      </c>
      <c r="EW58" s="231">
        <v>7492.07</v>
      </c>
      <c r="EX58" s="231">
        <v>7574.26</v>
      </c>
      <c r="EY58" s="228">
        <v>-82.19</v>
      </c>
      <c r="EZ58" s="229">
        <v>-1.09E-2</v>
      </c>
      <c r="FA58" s="229">
        <v>1.0419</v>
      </c>
      <c r="FB58" s="227" t="s">
        <v>693</v>
      </c>
      <c r="FC58">
        <f t="shared" si="0"/>
        <v>533</v>
      </c>
    </row>
    <row r="59" spans="1:159" ht="17.25" thickBot="1" x14ac:dyDescent="0.3">
      <c r="A59" s="226">
        <v>46129</v>
      </c>
      <c r="B59" s="227" t="s">
        <v>206</v>
      </c>
      <c r="C59" s="227" t="s">
        <v>207</v>
      </c>
      <c r="D59" s="228">
        <v>825</v>
      </c>
      <c r="E59" s="228">
        <v>11</v>
      </c>
      <c r="F59" s="228">
        <v>601.54999999999995</v>
      </c>
      <c r="G59" s="228">
        <v>589.79999999999995</v>
      </c>
      <c r="H59" s="228">
        <v>11.75</v>
      </c>
      <c r="I59" s="229">
        <v>1.9900000000000001E-2</v>
      </c>
      <c r="J59" s="228">
        <v>601.75</v>
      </c>
      <c r="K59" s="228">
        <v>589.70000000000005</v>
      </c>
      <c r="L59" s="228">
        <v>12.05</v>
      </c>
      <c r="M59" s="229">
        <v>2.0400000000000001E-2</v>
      </c>
      <c r="N59" s="228">
        <v>601.54999999999995</v>
      </c>
      <c r="O59" s="228">
        <v>589.79999999999995</v>
      </c>
      <c r="P59" s="228">
        <v>11.75</v>
      </c>
      <c r="Q59" s="229">
        <v>1.9900000000000001E-2</v>
      </c>
      <c r="R59" s="228">
        <v>605.04999999999995</v>
      </c>
      <c r="S59" s="228">
        <v>593.70000000000005</v>
      </c>
      <c r="T59" s="228">
        <v>11.35</v>
      </c>
      <c r="U59" s="229">
        <v>1.9099999999999999E-2</v>
      </c>
      <c r="V59" s="228">
        <v>608.6</v>
      </c>
      <c r="W59" s="228">
        <v>595.9</v>
      </c>
      <c r="X59" s="228">
        <v>12.7</v>
      </c>
      <c r="Y59" s="229">
        <v>2.1299999999999999E-2</v>
      </c>
      <c r="Z59" s="228">
        <v>-0.2</v>
      </c>
      <c r="AA59" s="228">
        <v>0.1</v>
      </c>
      <c r="AB59" s="228">
        <v>-0.3</v>
      </c>
      <c r="AC59" s="229">
        <v>-2.9999999999999997E-4</v>
      </c>
      <c r="AD59" s="228">
        <v>-0.2</v>
      </c>
      <c r="AE59" s="228">
        <v>0.1</v>
      </c>
      <c r="AF59" s="228">
        <v>-0.3</v>
      </c>
      <c r="AG59" s="229">
        <v>-2.9999999999999997E-4</v>
      </c>
      <c r="AH59" s="228">
        <v>3.3</v>
      </c>
      <c r="AI59" s="228">
        <v>4</v>
      </c>
      <c r="AJ59" s="228">
        <v>-0.7</v>
      </c>
      <c r="AK59" s="229">
        <v>5.4999999999999997E-3</v>
      </c>
      <c r="AL59" s="228">
        <v>6.85</v>
      </c>
      <c r="AM59" s="228">
        <v>6.2</v>
      </c>
      <c r="AN59" s="228">
        <v>0.65</v>
      </c>
      <c r="AO59" s="229">
        <v>1.14E-2</v>
      </c>
      <c r="AP59" s="228">
        <v>598.9</v>
      </c>
      <c r="AQ59" s="228">
        <v>600.67999999999995</v>
      </c>
      <c r="AR59" s="228">
        <v>0</v>
      </c>
      <c r="AS59" s="228">
        <v>587</v>
      </c>
      <c r="AT59" s="228">
        <v>316</v>
      </c>
      <c r="AU59" s="228">
        <v>271</v>
      </c>
      <c r="AV59" s="229">
        <v>0.85950000000000004</v>
      </c>
      <c r="AW59" s="228">
        <v>463</v>
      </c>
      <c r="AX59" s="228">
        <v>283</v>
      </c>
      <c r="AY59" s="228">
        <v>180</v>
      </c>
      <c r="AZ59" s="229">
        <v>0.6351</v>
      </c>
      <c r="BA59" s="228">
        <v>36</v>
      </c>
      <c r="BB59" s="228">
        <v>30</v>
      </c>
      <c r="BC59" s="228">
        <v>7</v>
      </c>
      <c r="BD59" s="229">
        <v>0.22689999999999999</v>
      </c>
      <c r="BE59" s="228">
        <v>88</v>
      </c>
      <c r="BF59" s="228">
        <v>3</v>
      </c>
      <c r="BG59" s="228">
        <v>85</v>
      </c>
      <c r="BH59" s="229">
        <v>25.5672</v>
      </c>
      <c r="BI59" s="230">
        <v>1028</v>
      </c>
      <c r="BJ59" s="228">
        <v>661</v>
      </c>
      <c r="BK59" s="228">
        <v>367</v>
      </c>
      <c r="BL59" s="229">
        <v>0.55449999999999999</v>
      </c>
      <c r="BM59" s="228">
        <v>865</v>
      </c>
      <c r="BN59" s="228">
        <v>544</v>
      </c>
      <c r="BO59" s="228">
        <v>321</v>
      </c>
      <c r="BP59" s="229">
        <v>0.58909999999999996</v>
      </c>
      <c r="BQ59" s="230">
        <v>2480</v>
      </c>
      <c r="BR59" s="230">
        <v>1521</v>
      </c>
      <c r="BS59" s="228">
        <v>959</v>
      </c>
      <c r="BT59" s="229">
        <v>0.63019999999999998</v>
      </c>
      <c r="BU59" s="230">
        <v>5020638</v>
      </c>
      <c r="BV59" s="230">
        <v>4516855</v>
      </c>
      <c r="BW59" s="230">
        <v>503783</v>
      </c>
      <c r="BX59" s="229">
        <v>0.1115</v>
      </c>
      <c r="BY59" s="230">
        <v>3087</v>
      </c>
      <c r="BZ59" s="230">
        <v>3162</v>
      </c>
      <c r="CA59" s="228">
        <v>-75</v>
      </c>
      <c r="CB59" s="229">
        <v>-2.3800000000000002E-2</v>
      </c>
      <c r="CC59" s="230">
        <v>2771</v>
      </c>
      <c r="CD59" s="230">
        <v>2943</v>
      </c>
      <c r="CE59" s="228">
        <v>-172</v>
      </c>
      <c r="CF59" s="229">
        <v>-5.8599999999999999E-2</v>
      </c>
      <c r="CG59" s="228">
        <v>224</v>
      </c>
      <c r="CH59" s="228">
        <v>212</v>
      </c>
      <c r="CI59" s="228">
        <v>12</v>
      </c>
      <c r="CJ59" s="229">
        <v>5.5199999999999999E-2</v>
      </c>
      <c r="CK59" s="228">
        <v>92</v>
      </c>
      <c r="CL59" s="228">
        <v>6</v>
      </c>
      <c r="CM59" s="228">
        <v>85</v>
      </c>
      <c r="CN59" s="229">
        <v>13.333299999999999</v>
      </c>
      <c r="CO59" s="228">
        <v>630</v>
      </c>
      <c r="CP59" s="228">
        <v>642</v>
      </c>
      <c r="CQ59" s="228">
        <v>-12</v>
      </c>
      <c r="CR59" s="229">
        <v>-1.8599999999999998E-2</v>
      </c>
      <c r="CS59" s="228">
        <v>679</v>
      </c>
      <c r="CT59" s="228">
        <v>687</v>
      </c>
      <c r="CU59" s="228">
        <v>-9</v>
      </c>
      <c r="CV59" s="229">
        <v>-1.26E-2</v>
      </c>
      <c r="CW59" s="230">
        <v>4396</v>
      </c>
      <c r="CX59" s="230">
        <v>4492</v>
      </c>
      <c r="CY59" s="228">
        <v>-96</v>
      </c>
      <c r="CZ59" s="229">
        <v>-2.1399999999999999E-2</v>
      </c>
      <c r="DA59" s="228">
        <v>34.47</v>
      </c>
      <c r="DB59" s="228">
        <v>36.06</v>
      </c>
      <c r="DC59" s="228">
        <v>-1.59</v>
      </c>
      <c r="DD59" s="228">
        <v>-1.59</v>
      </c>
      <c r="DE59" s="228">
        <v>38.049999999999997</v>
      </c>
      <c r="DF59" s="228">
        <v>38.049999999999997</v>
      </c>
      <c r="DG59" s="228">
        <v>-3.58</v>
      </c>
      <c r="DH59" s="228">
        <v>0</v>
      </c>
      <c r="DI59" s="228">
        <v>32.950000000000003</v>
      </c>
      <c r="DJ59" s="228">
        <v>34.479999999999997</v>
      </c>
      <c r="DK59" s="228">
        <v>-1.53</v>
      </c>
      <c r="DL59" s="228">
        <v>-1.53</v>
      </c>
      <c r="DM59" s="228">
        <v>36.28</v>
      </c>
      <c r="DN59" s="228">
        <v>37.97</v>
      </c>
      <c r="DO59" s="228">
        <v>-1.69</v>
      </c>
      <c r="DP59" s="228">
        <v>-1.69</v>
      </c>
      <c r="DQ59" s="228">
        <v>1.08</v>
      </c>
      <c r="DR59" s="228">
        <v>1.07</v>
      </c>
      <c r="DS59" s="228">
        <v>0.01</v>
      </c>
      <c r="DT59" s="229">
        <v>9.2999999999999992E-3</v>
      </c>
      <c r="DU59" s="228">
        <v>600</v>
      </c>
      <c r="DV59" s="228">
        <v>540</v>
      </c>
      <c r="DW59" s="228">
        <v>0.84</v>
      </c>
      <c r="DX59" s="228">
        <v>0.82</v>
      </c>
      <c r="DY59" s="228">
        <v>0.02</v>
      </c>
      <c r="DZ59" s="229">
        <v>2.4400000000000002E-2</v>
      </c>
      <c r="EA59" s="229">
        <v>0.1023</v>
      </c>
      <c r="EB59" s="230">
        <v>3635775</v>
      </c>
      <c r="EC59" s="229">
        <v>5.7999999999999996E-3</v>
      </c>
      <c r="ED59" s="229">
        <v>0.1023</v>
      </c>
      <c r="EE59" s="228">
        <v>1.78</v>
      </c>
      <c r="EF59" s="229">
        <v>3.0000000000000001E-3</v>
      </c>
      <c r="EG59" s="230">
        <v>2565754</v>
      </c>
      <c r="EH59" s="230">
        <v>2450554</v>
      </c>
      <c r="EI59" s="229">
        <v>4.7E-2</v>
      </c>
      <c r="EJ59" s="229">
        <v>0.51100000000000001</v>
      </c>
      <c r="EK59" s="231">
        <v>1056.6099999999999</v>
      </c>
      <c r="EL59" s="228">
        <v>834.61</v>
      </c>
      <c r="EM59" s="228">
        <v>586.32000000000005</v>
      </c>
      <c r="EN59" s="228">
        <v>70.58</v>
      </c>
      <c r="EO59" s="231">
        <v>2477.54</v>
      </c>
      <c r="EP59" s="231">
        <v>1500.89</v>
      </c>
      <c r="EQ59" s="228">
        <v>976.65</v>
      </c>
      <c r="ER59" s="229">
        <v>0.65069999999999995</v>
      </c>
      <c r="ES59" s="228">
        <v>613.23</v>
      </c>
      <c r="ET59" s="228">
        <v>622.57000000000005</v>
      </c>
      <c r="EU59" s="231">
        <v>3088.89</v>
      </c>
      <c r="EV59" s="231">
        <v>96251298</v>
      </c>
      <c r="EW59" s="231">
        <v>4324.68</v>
      </c>
      <c r="EX59" s="231">
        <v>4349.13</v>
      </c>
      <c r="EY59" s="228">
        <v>-24.45</v>
      </c>
      <c r="EZ59" s="229">
        <v>-5.5999999999999999E-3</v>
      </c>
      <c r="FA59" s="229">
        <v>0.75919999999999999</v>
      </c>
      <c r="FB59" s="227" t="s">
        <v>693</v>
      </c>
      <c r="FC59">
        <f t="shared" si="0"/>
        <v>316</v>
      </c>
    </row>
    <row r="60" spans="1:159" ht="17.25" thickBot="1" x14ac:dyDescent="0.3">
      <c r="A60" s="226">
        <v>46129</v>
      </c>
      <c r="B60" s="227" t="s">
        <v>614</v>
      </c>
      <c r="C60" s="227" t="s">
        <v>582</v>
      </c>
      <c r="D60" s="228">
        <v>150</v>
      </c>
      <c r="E60" s="228">
        <v>11</v>
      </c>
      <c r="F60" s="231">
        <v>4644.8999999999996</v>
      </c>
      <c r="G60" s="231">
        <v>4429</v>
      </c>
      <c r="H60" s="228">
        <v>215.9</v>
      </c>
      <c r="I60" s="229">
        <v>4.87E-2</v>
      </c>
      <c r="J60" s="231">
        <v>4628.5</v>
      </c>
      <c r="K60" s="231">
        <v>4428.3</v>
      </c>
      <c r="L60" s="228">
        <v>200.2</v>
      </c>
      <c r="M60" s="229">
        <v>4.5199999999999997E-2</v>
      </c>
      <c r="N60" s="231">
        <v>4644.8999999999996</v>
      </c>
      <c r="O60" s="231">
        <v>4429</v>
      </c>
      <c r="P60" s="228">
        <v>215.9</v>
      </c>
      <c r="Q60" s="229">
        <v>4.87E-2</v>
      </c>
      <c r="R60" s="231">
        <v>4634.1000000000004</v>
      </c>
      <c r="S60" s="231">
        <v>4419.7</v>
      </c>
      <c r="T60" s="228">
        <v>214.4</v>
      </c>
      <c r="U60" s="229">
        <v>4.8500000000000001E-2</v>
      </c>
      <c r="V60" s="231">
        <v>4622.6000000000004</v>
      </c>
      <c r="W60" s="231">
        <v>4414.3</v>
      </c>
      <c r="X60" s="228">
        <v>208.3</v>
      </c>
      <c r="Y60" s="229">
        <v>4.7199999999999999E-2</v>
      </c>
      <c r="Z60" s="228">
        <v>16.399999999999999</v>
      </c>
      <c r="AA60" s="228">
        <v>0.7</v>
      </c>
      <c r="AB60" s="228">
        <v>15.7</v>
      </c>
      <c r="AC60" s="229">
        <v>3.5000000000000001E-3</v>
      </c>
      <c r="AD60" s="228">
        <v>16.399999999999999</v>
      </c>
      <c r="AE60" s="228">
        <v>0.7</v>
      </c>
      <c r="AF60" s="228">
        <v>15.7</v>
      </c>
      <c r="AG60" s="229">
        <v>3.5000000000000001E-3</v>
      </c>
      <c r="AH60" s="228">
        <v>5.6</v>
      </c>
      <c r="AI60" s="228">
        <v>-8.6</v>
      </c>
      <c r="AJ60" s="228">
        <v>14.2</v>
      </c>
      <c r="AK60" s="229">
        <v>1.1999999999999999E-3</v>
      </c>
      <c r="AL60" s="228">
        <v>-5.9</v>
      </c>
      <c r="AM60" s="228">
        <v>-14</v>
      </c>
      <c r="AN60" s="228">
        <v>8.1</v>
      </c>
      <c r="AO60" s="229">
        <v>-1.2999999999999999E-3</v>
      </c>
      <c r="AP60" s="231">
        <v>4598.33</v>
      </c>
      <c r="AQ60" s="231">
        <v>4590.54</v>
      </c>
      <c r="AR60" s="228">
        <v>0</v>
      </c>
      <c r="AS60" s="228">
        <v>676</v>
      </c>
      <c r="AT60" s="228">
        <v>371</v>
      </c>
      <c r="AU60" s="228">
        <v>305</v>
      </c>
      <c r="AV60" s="229">
        <v>0.82050000000000001</v>
      </c>
      <c r="AW60" s="228">
        <v>603</v>
      </c>
      <c r="AX60" s="228">
        <v>297</v>
      </c>
      <c r="AY60" s="228">
        <v>306</v>
      </c>
      <c r="AZ60" s="229">
        <v>1.0317000000000001</v>
      </c>
      <c r="BA60" s="228">
        <v>63</v>
      </c>
      <c r="BB60" s="228">
        <v>72</v>
      </c>
      <c r="BC60" s="228">
        <v>-9</v>
      </c>
      <c r="BD60" s="229">
        <v>-0.1206</v>
      </c>
      <c r="BE60" s="228">
        <v>10</v>
      </c>
      <c r="BF60" s="228">
        <v>3</v>
      </c>
      <c r="BG60" s="228">
        <v>7</v>
      </c>
      <c r="BH60" s="229">
        <v>2.4878</v>
      </c>
      <c r="BI60" s="230">
        <v>4507</v>
      </c>
      <c r="BJ60" s="230">
        <v>1157</v>
      </c>
      <c r="BK60" s="230">
        <v>3350</v>
      </c>
      <c r="BL60" s="229">
        <v>2.8959999999999999</v>
      </c>
      <c r="BM60" s="230">
        <v>2025</v>
      </c>
      <c r="BN60" s="228">
        <v>660</v>
      </c>
      <c r="BO60" s="230">
        <v>1364</v>
      </c>
      <c r="BP60" s="229">
        <v>2.0657000000000001</v>
      </c>
      <c r="BQ60" s="230">
        <v>7207</v>
      </c>
      <c r="BR60" s="230">
        <v>2188</v>
      </c>
      <c r="BS60" s="230">
        <v>5019</v>
      </c>
      <c r="BT60" s="229">
        <v>2.2934000000000001</v>
      </c>
      <c r="BU60" s="230">
        <v>1407059</v>
      </c>
      <c r="BV60" s="230">
        <v>356825</v>
      </c>
      <c r="BW60" s="230">
        <v>1050234</v>
      </c>
      <c r="BX60" s="229">
        <v>2.9432999999999998</v>
      </c>
      <c r="BY60" s="230">
        <v>1874</v>
      </c>
      <c r="BZ60" s="230">
        <v>1873</v>
      </c>
      <c r="CA60" s="228">
        <v>0</v>
      </c>
      <c r="CB60" s="229">
        <v>2.0000000000000001E-4</v>
      </c>
      <c r="CC60" s="230">
        <v>1709</v>
      </c>
      <c r="CD60" s="230">
        <v>1722</v>
      </c>
      <c r="CE60" s="228">
        <v>-13</v>
      </c>
      <c r="CF60" s="229">
        <v>-7.7000000000000002E-3</v>
      </c>
      <c r="CG60" s="228">
        <v>156</v>
      </c>
      <c r="CH60" s="228">
        <v>140</v>
      </c>
      <c r="CI60" s="228">
        <v>16</v>
      </c>
      <c r="CJ60" s="229">
        <v>0.1137</v>
      </c>
      <c r="CK60" s="228">
        <v>9</v>
      </c>
      <c r="CL60" s="228">
        <v>11</v>
      </c>
      <c r="CM60" s="228">
        <v>-2</v>
      </c>
      <c r="CN60" s="229">
        <v>-0.19750000000000001</v>
      </c>
      <c r="CO60" s="228">
        <v>905</v>
      </c>
      <c r="CP60" s="228">
        <v>892</v>
      </c>
      <c r="CQ60" s="228">
        <v>13</v>
      </c>
      <c r="CR60" s="229">
        <v>1.49E-2</v>
      </c>
      <c r="CS60" s="228">
        <v>873</v>
      </c>
      <c r="CT60" s="228">
        <v>709</v>
      </c>
      <c r="CU60" s="228">
        <v>164</v>
      </c>
      <c r="CV60" s="229">
        <v>0.23089999999999999</v>
      </c>
      <c r="CW60" s="230">
        <v>3652</v>
      </c>
      <c r="CX60" s="230">
        <v>3475</v>
      </c>
      <c r="CY60" s="228">
        <v>177</v>
      </c>
      <c r="CZ60" s="229">
        <v>5.11E-2</v>
      </c>
      <c r="DA60" s="228">
        <v>32.5</v>
      </c>
      <c r="DB60" s="228">
        <v>30.59</v>
      </c>
      <c r="DC60" s="228">
        <v>1.91</v>
      </c>
      <c r="DD60" s="228">
        <v>1.91</v>
      </c>
      <c r="DE60" s="228">
        <v>33.24</v>
      </c>
      <c r="DF60" s="228">
        <v>32.69</v>
      </c>
      <c r="DG60" s="228">
        <v>-0.74</v>
      </c>
      <c r="DH60" s="228">
        <v>0.55000000000000004</v>
      </c>
      <c r="DI60" s="228">
        <v>31.27</v>
      </c>
      <c r="DJ60" s="228">
        <v>29.89</v>
      </c>
      <c r="DK60" s="228">
        <v>1.38</v>
      </c>
      <c r="DL60" s="228">
        <v>1.38</v>
      </c>
      <c r="DM60" s="228">
        <v>35.25</v>
      </c>
      <c r="DN60" s="228">
        <v>31.81</v>
      </c>
      <c r="DO60" s="228">
        <v>3.44</v>
      </c>
      <c r="DP60" s="228">
        <v>3.44</v>
      </c>
      <c r="DQ60" s="228">
        <v>0.96</v>
      </c>
      <c r="DR60" s="228">
        <v>0.8</v>
      </c>
      <c r="DS60" s="228">
        <v>0.16</v>
      </c>
      <c r="DT60" s="229">
        <v>0.2</v>
      </c>
      <c r="DU60" s="231">
        <v>4600</v>
      </c>
      <c r="DV60" s="231">
        <v>4200</v>
      </c>
      <c r="DW60" s="228">
        <v>0.45</v>
      </c>
      <c r="DX60" s="228">
        <v>0.56999999999999995</v>
      </c>
      <c r="DY60" s="228">
        <v>-0.12</v>
      </c>
      <c r="DZ60" s="229">
        <v>-0.21049999999999999</v>
      </c>
      <c r="EA60" s="229">
        <v>8.7900000000000006E-2</v>
      </c>
      <c r="EB60" s="230">
        <v>325050</v>
      </c>
      <c r="EC60" s="229">
        <v>-2.3E-3</v>
      </c>
      <c r="ED60" s="229">
        <v>8.7900000000000006E-2</v>
      </c>
      <c r="EE60" s="228">
        <v>-7.79</v>
      </c>
      <c r="EF60" s="229">
        <v>-1.6999999999999999E-3</v>
      </c>
      <c r="EG60" s="230">
        <v>732037</v>
      </c>
      <c r="EH60" s="230">
        <v>131501</v>
      </c>
      <c r="EI60" s="229">
        <v>4.5667999999999997</v>
      </c>
      <c r="EJ60" s="229">
        <v>0.52029999999999998</v>
      </c>
      <c r="EK60" s="231">
        <v>4630.3100000000004</v>
      </c>
      <c r="EL60" s="231">
        <v>1947.48</v>
      </c>
      <c r="EM60" s="228">
        <v>668.74</v>
      </c>
      <c r="EN60" s="228">
        <v>54.89</v>
      </c>
      <c r="EO60" s="231">
        <v>7246.53</v>
      </c>
      <c r="EP60" s="231">
        <v>2124.2399999999998</v>
      </c>
      <c r="EQ60" s="231">
        <v>5122.28</v>
      </c>
      <c r="ER60" s="229">
        <v>2.4113000000000002</v>
      </c>
      <c r="ES60" s="228">
        <v>881.86</v>
      </c>
      <c r="ET60" s="228">
        <v>784.04</v>
      </c>
      <c r="EU60" s="231">
        <v>1873.39</v>
      </c>
      <c r="EV60" s="231">
        <v>16494391</v>
      </c>
      <c r="EW60" s="231">
        <v>3539.3</v>
      </c>
      <c r="EX60" s="231">
        <v>3270.77</v>
      </c>
      <c r="EY60" s="228">
        <v>268.52999999999997</v>
      </c>
      <c r="EZ60" s="229">
        <v>8.2100000000000006E-2</v>
      </c>
      <c r="FA60" s="229">
        <v>0.47670000000000001</v>
      </c>
      <c r="FB60" s="227" t="s">
        <v>555</v>
      </c>
      <c r="FC60">
        <f t="shared" si="0"/>
        <v>165</v>
      </c>
    </row>
    <row r="61" spans="1:159" ht="17.25" thickBot="1" x14ac:dyDescent="0.3">
      <c r="A61" s="226">
        <v>46129</v>
      </c>
      <c r="B61" s="227" t="s">
        <v>170</v>
      </c>
      <c r="C61" s="227" t="s">
        <v>208</v>
      </c>
      <c r="D61" s="228">
        <v>625</v>
      </c>
      <c r="E61" s="228">
        <v>11</v>
      </c>
      <c r="F61" s="231">
        <v>1231.8</v>
      </c>
      <c r="G61" s="231">
        <v>1221</v>
      </c>
      <c r="H61" s="228">
        <v>10.8</v>
      </c>
      <c r="I61" s="229">
        <v>8.8000000000000005E-3</v>
      </c>
      <c r="J61" s="231">
        <v>1235.7</v>
      </c>
      <c r="K61" s="231">
        <v>1221.4000000000001</v>
      </c>
      <c r="L61" s="228">
        <v>14.3</v>
      </c>
      <c r="M61" s="229">
        <v>1.17E-2</v>
      </c>
      <c r="N61" s="231">
        <v>1231.8</v>
      </c>
      <c r="O61" s="231">
        <v>1221</v>
      </c>
      <c r="P61" s="228">
        <v>10.8</v>
      </c>
      <c r="Q61" s="229">
        <v>8.8000000000000005E-3</v>
      </c>
      <c r="R61" s="231">
        <v>1232.2</v>
      </c>
      <c r="S61" s="231">
        <v>1222.3</v>
      </c>
      <c r="T61" s="228">
        <v>9.9</v>
      </c>
      <c r="U61" s="229">
        <v>8.0999999999999996E-3</v>
      </c>
      <c r="V61" s="231">
        <v>1236.0999999999999</v>
      </c>
      <c r="W61" s="231">
        <v>1225.5999999999999</v>
      </c>
      <c r="X61" s="228">
        <v>10.5</v>
      </c>
      <c r="Y61" s="229">
        <v>8.6E-3</v>
      </c>
      <c r="Z61" s="228">
        <v>-3.9</v>
      </c>
      <c r="AA61" s="228">
        <v>-0.4</v>
      </c>
      <c r="AB61" s="228">
        <v>-3.5</v>
      </c>
      <c r="AC61" s="229">
        <v>-3.2000000000000002E-3</v>
      </c>
      <c r="AD61" s="228">
        <v>-3.9</v>
      </c>
      <c r="AE61" s="228">
        <v>-0.4</v>
      </c>
      <c r="AF61" s="228">
        <v>-3.5</v>
      </c>
      <c r="AG61" s="229">
        <v>-3.2000000000000002E-3</v>
      </c>
      <c r="AH61" s="228">
        <v>-3.5</v>
      </c>
      <c r="AI61" s="228">
        <v>0.9</v>
      </c>
      <c r="AJ61" s="228">
        <v>-4.4000000000000004</v>
      </c>
      <c r="AK61" s="229">
        <v>-2.8E-3</v>
      </c>
      <c r="AL61" s="228">
        <v>0.4</v>
      </c>
      <c r="AM61" s="228">
        <v>4.2</v>
      </c>
      <c r="AN61" s="228">
        <v>-3.8</v>
      </c>
      <c r="AO61" s="229">
        <v>2.9999999999999997E-4</v>
      </c>
      <c r="AP61" s="231">
        <v>1226.95</v>
      </c>
      <c r="AQ61" s="231">
        <v>1228.3800000000001</v>
      </c>
      <c r="AR61" s="228">
        <v>0</v>
      </c>
      <c r="AS61" s="228">
        <v>282</v>
      </c>
      <c r="AT61" s="228">
        <v>333</v>
      </c>
      <c r="AU61" s="228">
        <v>-50</v>
      </c>
      <c r="AV61" s="229">
        <v>-0.151</v>
      </c>
      <c r="AW61" s="228">
        <v>218</v>
      </c>
      <c r="AX61" s="228">
        <v>271</v>
      </c>
      <c r="AY61" s="228">
        <v>-53</v>
      </c>
      <c r="AZ61" s="229">
        <v>-0.1956</v>
      </c>
      <c r="BA61" s="228">
        <v>60</v>
      </c>
      <c r="BB61" s="228">
        <v>57</v>
      </c>
      <c r="BC61" s="228">
        <v>3</v>
      </c>
      <c r="BD61" s="229">
        <v>5.8500000000000003E-2</v>
      </c>
      <c r="BE61" s="228">
        <v>5</v>
      </c>
      <c r="BF61" s="228">
        <v>5</v>
      </c>
      <c r="BG61" s="228">
        <v>-1</v>
      </c>
      <c r="BH61" s="229">
        <v>-0.1061</v>
      </c>
      <c r="BI61" s="230">
        <v>1182</v>
      </c>
      <c r="BJ61" s="230">
        <v>1130</v>
      </c>
      <c r="BK61" s="228">
        <v>52</v>
      </c>
      <c r="BL61" s="229">
        <v>4.5600000000000002E-2</v>
      </c>
      <c r="BM61" s="228">
        <v>497</v>
      </c>
      <c r="BN61" s="228">
        <v>582</v>
      </c>
      <c r="BO61" s="228">
        <v>-84</v>
      </c>
      <c r="BP61" s="229">
        <v>-0.1452</v>
      </c>
      <c r="BQ61" s="230">
        <v>1962</v>
      </c>
      <c r="BR61" s="230">
        <v>2045</v>
      </c>
      <c r="BS61" s="228">
        <v>-83</v>
      </c>
      <c r="BT61" s="229">
        <v>-4.07E-2</v>
      </c>
      <c r="BU61" s="230">
        <v>2640179</v>
      </c>
      <c r="BV61" s="230">
        <v>2097756</v>
      </c>
      <c r="BW61" s="230">
        <v>542423</v>
      </c>
      <c r="BX61" s="229">
        <v>0.2586</v>
      </c>
      <c r="BY61" s="230">
        <v>1702</v>
      </c>
      <c r="BZ61" s="230">
        <v>1667</v>
      </c>
      <c r="CA61" s="228">
        <v>34</v>
      </c>
      <c r="CB61" s="229">
        <v>2.0500000000000001E-2</v>
      </c>
      <c r="CC61" s="230">
        <v>1582</v>
      </c>
      <c r="CD61" s="230">
        <v>1570</v>
      </c>
      <c r="CE61" s="228">
        <v>12</v>
      </c>
      <c r="CF61" s="229">
        <v>7.7999999999999996E-3</v>
      </c>
      <c r="CG61" s="228">
        <v>105</v>
      </c>
      <c r="CH61" s="228">
        <v>83</v>
      </c>
      <c r="CI61" s="228">
        <v>22</v>
      </c>
      <c r="CJ61" s="229">
        <v>0.26440000000000002</v>
      </c>
      <c r="CK61" s="228">
        <v>15</v>
      </c>
      <c r="CL61" s="228">
        <v>15</v>
      </c>
      <c r="CM61" s="228">
        <v>0</v>
      </c>
      <c r="CN61" s="229">
        <v>5.1000000000000004E-3</v>
      </c>
      <c r="CO61" s="228">
        <v>893</v>
      </c>
      <c r="CP61" s="228">
        <v>881</v>
      </c>
      <c r="CQ61" s="228">
        <v>12</v>
      </c>
      <c r="CR61" s="229">
        <v>1.35E-2</v>
      </c>
      <c r="CS61" s="228">
        <v>637</v>
      </c>
      <c r="CT61" s="228">
        <v>632</v>
      </c>
      <c r="CU61" s="228">
        <v>5</v>
      </c>
      <c r="CV61" s="229">
        <v>7.7999999999999996E-3</v>
      </c>
      <c r="CW61" s="230">
        <v>3231</v>
      </c>
      <c r="CX61" s="230">
        <v>3180</v>
      </c>
      <c r="CY61" s="228">
        <v>51</v>
      </c>
      <c r="CZ61" s="229">
        <v>1.6E-2</v>
      </c>
      <c r="DA61" s="228">
        <v>25.1</v>
      </c>
      <c r="DB61" s="228">
        <v>25.77</v>
      </c>
      <c r="DC61" s="228">
        <v>-0.67</v>
      </c>
      <c r="DD61" s="228">
        <v>-0.67</v>
      </c>
      <c r="DE61" s="228">
        <v>26.04</v>
      </c>
      <c r="DF61" s="228">
        <v>26.06</v>
      </c>
      <c r="DG61" s="228">
        <v>-0.94</v>
      </c>
      <c r="DH61" s="228">
        <v>-0.02</v>
      </c>
      <c r="DI61" s="228">
        <v>24.76</v>
      </c>
      <c r="DJ61" s="228">
        <v>25.58</v>
      </c>
      <c r="DK61" s="228">
        <v>-0.82</v>
      </c>
      <c r="DL61" s="228">
        <v>-0.82</v>
      </c>
      <c r="DM61" s="228">
        <v>25.92</v>
      </c>
      <c r="DN61" s="228">
        <v>26.15</v>
      </c>
      <c r="DO61" s="228">
        <v>-0.23</v>
      </c>
      <c r="DP61" s="228">
        <v>-0.23</v>
      </c>
      <c r="DQ61" s="228">
        <v>0.71</v>
      </c>
      <c r="DR61" s="228">
        <v>0.72</v>
      </c>
      <c r="DS61" s="228">
        <v>-0.01</v>
      </c>
      <c r="DT61" s="229">
        <v>-1.3899999999999999E-2</v>
      </c>
      <c r="DU61" s="231">
        <v>1260</v>
      </c>
      <c r="DV61" s="231">
        <v>1200</v>
      </c>
      <c r="DW61" s="228">
        <v>0.42</v>
      </c>
      <c r="DX61" s="228">
        <v>0.51</v>
      </c>
      <c r="DY61" s="228">
        <v>-0.09</v>
      </c>
      <c r="DZ61" s="229">
        <v>-0.17649999999999999</v>
      </c>
      <c r="EA61" s="229">
        <v>7.0400000000000004E-2</v>
      </c>
      <c r="EB61" s="230">
        <v>794375</v>
      </c>
      <c r="EC61" s="229">
        <v>2.9999999999999997E-4</v>
      </c>
      <c r="ED61" s="229">
        <v>7.0400000000000004E-2</v>
      </c>
      <c r="EE61" s="228">
        <v>1.43</v>
      </c>
      <c r="EF61" s="229">
        <v>1.1999999999999999E-3</v>
      </c>
      <c r="EG61" s="230">
        <v>1809643</v>
      </c>
      <c r="EH61" s="230">
        <v>1075065</v>
      </c>
      <c r="EI61" s="229">
        <v>0.68330000000000002</v>
      </c>
      <c r="EJ61" s="229">
        <v>0.68540000000000001</v>
      </c>
      <c r="EK61" s="231">
        <v>1209.72</v>
      </c>
      <c r="EL61" s="228">
        <v>492.55</v>
      </c>
      <c r="EM61" s="228">
        <v>281.3</v>
      </c>
      <c r="EN61" s="228">
        <v>45.21</v>
      </c>
      <c r="EO61" s="231">
        <v>1983.56</v>
      </c>
      <c r="EP61" s="231">
        <v>2058.0700000000002</v>
      </c>
      <c r="EQ61" s="228">
        <v>-74.52</v>
      </c>
      <c r="ER61" s="229">
        <v>-3.6200000000000003E-2</v>
      </c>
      <c r="ES61" s="228">
        <v>914.43</v>
      </c>
      <c r="ET61" s="228">
        <v>610.39</v>
      </c>
      <c r="EU61" s="231">
        <v>1701.66</v>
      </c>
      <c r="EV61" s="231">
        <v>61026255</v>
      </c>
      <c r="EW61" s="231">
        <v>3226.48</v>
      </c>
      <c r="EX61" s="231">
        <v>3159.87</v>
      </c>
      <c r="EY61" s="228">
        <v>66.61</v>
      </c>
      <c r="EZ61" s="229">
        <v>2.1100000000000001E-2</v>
      </c>
      <c r="FA61" s="229">
        <v>0.4299</v>
      </c>
      <c r="FB61" s="227" t="s">
        <v>555</v>
      </c>
      <c r="FC61">
        <f t="shared" si="0"/>
        <v>120</v>
      </c>
    </row>
    <row r="62" spans="1:159" ht="17.25" thickBot="1" x14ac:dyDescent="0.3">
      <c r="A62" s="226">
        <v>46129</v>
      </c>
      <c r="B62" s="227" t="s">
        <v>162</v>
      </c>
      <c r="C62" s="227" t="s">
        <v>209</v>
      </c>
      <c r="D62" s="228">
        <v>100</v>
      </c>
      <c r="E62" s="228">
        <v>11</v>
      </c>
      <c r="F62" s="231">
        <v>7189.5</v>
      </c>
      <c r="G62" s="231">
        <v>7132.5</v>
      </c>
      <c r="H62" s="228">
        <v>57</v>
      </c>
      <c r="I62" s="229">
        <v>8.0000000000000002E-3</v>
      </c>
      <c r="J62" s="231">
        <v>7189.5</v>
      </c>
      <c r="K62" s="231">
        <v>7131</v>
      </c>
      <c r="L62" s="228">
        <v>58.5</v>
      </c>
      <c r="M62" s="229">
        <v>8.2000000000000007E-3</v>
      </c>
      <c r="N62" s="231">
        <v>7189.5</v>
      </c>
      <c r="O62" s="231">
        <v>7132.5</v>
      </c>
      <c r="P62" s="228">
        <v>57</v>
      </c>
      <c r="Q62" s="229">
        <v>8.0000000000000002E-3</v>
      </c>
      <c r="R62" s="231">
        <v>7228.5</v>
      </c>
      <c r="S62" s="231">
        <v>7174</v>
      </c>
      <c r="T62" s="228">
        <v>54.5</v>
      </c>
      <c r="U62" s="229">
        <v>7.6E-3</v>
      </c>
      <c r="V62" s="231">
        <v>7279</v>
      </c>
      <c r="W62" s="231">
        <v>7214</v>
      </c>
      <c r="X62" s="228">
        <v>65</v>
      </c>
      <c r="Y62" s="229">
        <v>8.9999999999999993E-3</v>
      </c>
      <c r="Z62" s="228">
        <v>0</v>
      </c>
      <c r="AA62" s="228">
        <v>1.5</v>
      </c>
      <c r="AB62" s="228">
        <v>-1.5</v>
      </c>
      <c r="AC62" s="229">
        <v>0</v>
      </c>
      <c r="AD62" s="228">
        <v>0</v>
      </c>
      <c r="AE62" s="228">
        <v>1.5</v>
      </c>
      <c r="AF62" s="228">
        <v>-1.5</v>
      </c>
      <c r="AG62" s="229">
        <v>0</v>
      </c>
      <c r="AH62" s="228">
        <v>39</v>
      </c>
      <c r="AI62" s="228">
        <v>43</v>
      </c>
      <c r="AJ62" s="228">
        <v>-4</v>
      </c>
      <c r="AK62" s="229">
        <v>5.4000000000000003E-3</v>
      </c>
      <c r="AL62" s="228">
        <v>89.5</v>
      </c>
      <c r="AM62" s="228">
        <v>83</v>
      </c>
      <c r="AN62" s="228">
        <v>6.5</v>
      </c>
      <c r="AO62" s="229">
        <v>1.24E-2</v>
      </c>
      <c r="AP62" s="231">
        <v>7170.41</v>
      </c>
      <c r="AQ62" s="231">
        <v>7203.38</v>
      </c>
      <c r="AR62" s="228">
        <v>0</v>
      </c>
      <c r="AS62" s="228">
        <v>345</v>
      </c>
      <c r="AT62" s="228">
        <v>690</v>
      </c>
      <c r="AU62" s="228">
        <v>-345</v>
      </c>
      <c r="AV62" s="229">
        <v>-0.49980000000000002</v>
      </c>
      <c r="AW62" s="228">
        <v>285</v>
      </c>
      <c r="AX62" s="228">
        <v>510</v>
      </c>
      <c r="AY62" s="228">
        <v>-225</v>
      </c>
      <c r="AZ62" s="229">
        <v>-0.441</v>
      </c>
      <c r="BA62" s="228">
        <v>57</v>
      </c>
      <c r="BB62" s="228">
        <v>33</v>
      </c>
      <c r="BC62" s="228">
        <v>24</v>
      </c>
      <c r="BD62" s="229">
        <v>0.73850000000000005</v>
      </c>
      <c r="BE62" s="228">
        <v>4</v>
      </c>
      <c r="BF62" s="228">
        <v>148</v>
      </c>
      <c r="BG62" s="228">
        <v>-145</v>
      </c>
      <c r="BH62" s="229">
        <v>-0.97570000000000001</v>
      </c>
      <c r="BI62" s="230">
        <v>2362</v>
      </c>
      <c r="BJ62" s="230">
        <v>1993</v>
      </c>
      <c r="BK62" s="228">
        <v>369</v>
      </c>
      <c r="BL62" s="229">
        <v>0.18509999999999999</v>
      </c>
      <c r="BM62" s="228">
        <v>792</v>
      </c>
      <c r="BN62" s="230">
        <v>1053</v>
      </c>
      <c r="BO62" s="228">
        <v>-261</v>
      </c>
      <c r="BP62" s="229">
        <v>-0.24779999999999999</v>
      </c>
      <c r="BQ62" s="230">
        <v>3499</v>
      </c>
      <c r="BR62" s="230">
        <v>3736</v>
      </c>
      <c r="BS62" s="228">
        <v>-237</v>
      </c>
      <c r="BT62" s="229">
        <v>-6.3399999999999998E-2</v>
      </c>
      <c r="BU62" s="230">
        <v>645766</v>
      </c>
      <c r="BV62" s="230">
        <v>600951</v>
      </c>
      <c r="BW62" s="230">
        <v>44815</v>
      </c>
      <c r="BX62" s="229">
        <v>7.46E-2</v>
      </c>
      <c r="BY62" s="230">
        <v>3087</v>
      </c>
      <c r="BZ62" s="230">
        <v>3129</v>
      </c>
      <c r="CA62" s="228">
        <v>-42</v>
      </c>
      <c r="CB62" s="229">
        <v>-1.34E-2</v>
      </c>
      <c r="CC62" s="230">
        <v>2608</v>
      </c>
      <c r="CD62" s="230">
        <v>2644</v>
      </c>
      <c r="CE62" s="228">
        <v>-36</v>
      </c>
      <c r="CF62" s="229">
        <v>-1.3599999999999999E-2</v>
      </c>
      <c r="CG62" s="228">
        <v>238</v>
      </c>
      <c r="CH62" s="228">
        <v>244</v>
      </c>
      <c r="CI62" s="228">
        <v>-6</v>
      </c>
      <c r="CJ62" s="229">
        <v>-2.3300000000000001E-2</v>
      </c>
      <c r="CK62" s="228">
        <v>241</v>
      </c>
      <c r="CL62" s="228">
        <v>242</v>
      </c>
      <c r="CM62" s="228">
        <v>0</v>
      </c>
      <c r="CN62" s="229">
        <v>-8.9999999999999998E-4</v>
      </c>
      <c r="CO62" s="230">
        <v>1669</v>
      </c>
      <c r="CP62" s="230">
        <v>1671</v>
      </c>
      <c r="CQ62" s="228">
        <v>-2</v>
      </c>
      <c r="CR62" s="229">
        <v>-1E-3</v>
      </c>
      <c r="CS62" s="230">
        <v>1136</v>
      </c>
      <c r="CT62" s="230">
        <v>1121</v>
      </c>
      <c r="CU62" s="228">
        <v>14</v>
      </c>
      <c r="CV62" s="229">
        <v>1.2699999999999999E-2</v>
      </c>
      <c r="CW62" s="230">
        <v>5892</v>
      </c>
      <c r="CX62" s="230">
        <v>5921</v>
      </c>
      <c r="CY62" s="228">
        <v>-29</v>
      </c>
      <c r="CZ62" s="229">
        <v>-4.8999999999999998E-3</v>
      </c>
      <c r="DA62" s="228">
        <v>30.63</v>
      </c>
      <c r="DB62" s="228">
        <v>32.380000000000003</v>
      </c>
      <c r="DC62" s="228">
        <v>-1.75</v>
      </c>
      <c r="DD62" s="228">
        <v>-1.75</v>
      </c>
      <c r="DE62" s="228">
        <v>33.86</v>
      </c>
      <c r="DF62" s="228">
        <v>33.93</v>
      </c>
      <c r="DG62" s="228">
        <v>-3.23</v>
      </c>
      <c r="DH62" s="228">
        <v>-7.0000000000000007E-2</v>
      </c>
      <c r="DI62" s="228">
        <v>30.13</v>
      </c>
      <c r="DJ62" s="228">
        <v>32.159999999999997</v>
      </c>
      <c r="DK62" s="228">
        <v>-2.0299999999999998</v>
      </c>
      <c r="DL62" s="228">
        <v>-2.0299999999999998</v>
      </c>
      <c r="DM62" s="228">
        <v>32.15</v>
      </c>
      <c r="DN62" s="228">
        <v>32.81</v>
      </c>
      <c r="DO62" s="228">
        <v>-0.66</v>
      </c>
      <c r="DP62" s="228">
        <v>-0.66</v>
      </c>
      <c r="DQ62" s="228">
        <v>0.68</v>
      </c>
      <c r="DR62" s="228">
        <v>0.67</v>
      </c>
      <c r="DS62" s="228">
        <v>0.01</v>
      </c>
      <c r="DT62" s="229">
        <v>1.49E-2</v>
      </c>
      <c r="DU62" s="231">
        <v>8000</v>
      </c>
      <c r="DV62" s="231">
        <v>7100</v>
      </c>
      <c r="DW62" s="228">
        <v>0.34</v>
      </c>
      <c r="DX62" s="228">
        <v>0.53</v>
      </c>
      <c r="DY62" s="228">
        <v>-0.19</v>
      </c>
      <c r="DZ62" s="229">
        <v>-0.35849999999999999</v>
      </c>
      <c r="EA62" s="229">
        <v>0.15540000000000001</v>
      </c>
      <c r="EB62" s="230">
        <v>675500</v>
      </c>
      <c r="EC62" s="229">
        <v>5.4000000000000003E-3</v>
      </c>
      <c r="ED62" s="229">
        <v>0.15540000000000001</v>
      </c>
      <c r="EE62" s="228">
        <v>32.97</v>
      </c>
      <c r="EF62" s="229">
        <v>4.5999999999999999E-3</v>
      </c>
      <c r="EG62" s="230">
        <v>392238</v>
      </c>
      <c r="EH62" s="230">
        <v>301365</v>
      </c>
      <c r="EI62" s="229">
        <v>0.30149999999999999</v>
      </c>
      <c r="EJ62" s="229">
        <v>0.60740000000000005</v>
      </c>
      <c r="EK62" s="231">
        <v>2455.31</v>
      </c>
      <c r="EL62" s="228">
        <v>774.47</v>
      </c>
      <c r="EM62" s="228">
        <v>344.7</v>
      </c>
      <c r="EN62" s="228">
        <v>89.83</v>
      </c>
      <c r="EO62" s="231">
        <v>3574.48</v>
      </c>
      <c r="EP62" s="231">
        <v>3780.91</v>
      </c>
      <c r="EQ62" s="228">
        <v>-206.44</v>
      </c>
      <c r="ER62" s="229">
        <v>-5.4600000000000003E-2</v>
      </c>
      <c r="ES62" s="231">
        <v>1721.98</v>
      </c>
      <c r="ET62" s="231">
        <v>1100.5</v>
      </c>
      <c r="EU62" s="231">
        <v>3091.61</v>
      </c>
      <c r="EV62" s="231">
        <v>20960143</v>
      </c>
      <c r="EW62" s="231">
        <v>5914.09</v>
      </c>
      <c r="EX62" s="231">
        <v>5913.01</v>
      </c>
      <c r="EY62" s="228">
        <v>1.08</v>
      </c>
      <c r="EZ62" s="229">
        <v>2.0000000000000001E-4</v>
      </c>
      <c r="FA62" s="229">
        <v>0.39100000000000001</v>
      </c>
      <c r="FB62" s="227" t="s">
        <v>693</v>
      </c>
      <c r="FC62">
        <f t="shared" si="0"/>
        <v>479</v>
      </c>
    </row>
    <row r="63" spans="1:159" ht="17.25" thickBot="1" x14ac:dyDescent="0.3">
      <c r="A63" s="226">
        <v>46129</v>
      </c>
      <c r="B63" s="227" t="s">
        <v>614</v>
      </c>
      <c r="C63" s="227" t="s">
        <v>665</v>
      </c>
      <c r="D63" s="228">
        <v>2425</v>
      </c>
      <c r="E63" s="228">
        <v>11</v>
      </c>
      <c r="F63" s="228">
        <v>252.59</v>
      </c>
      <c r="G63" s="228">
        <v>252.79</v>
      </c>
      <c r="H63" s="228">
        <v>-0.2</v>
      </c>
      <c r="I63" s="229">
        <v>-8.0000000000000004E-4</v>
      </c>
      <c r="J63" s="228">
        <v>252.61</v>
      </c>
      <c r="K63" s="228">
        <v>252.7</v>
      </c>
      <c r="L63" s="228">
        <v>-0.09</v>
      </c>
      <c r="M63" s="229">
        <v>-4.0000000000000002E-4</v>
      </c>
      <c r="N63" s="228">
        <v>252.59</v>
      </c>
      <c r="O63" s="228">
        <v>252.79</v>
      </c>
      <c r="P63" s="228">
        <v>-0.2</v>
      </c>
      <c r="Q63" s="229">
        <v>-8.0000000000000004E-4</v>
      </c>
      <c r="R63" s="228">
        <v>253.93</v>
      </c>
      <c r="S63" s="228">
        <v>254.23</v>
      </c>
      <c r="T63" s="228">
        <v>-0.3</v>
      </c>
      <c r="U63" s="229">
        <v>-1.1999999999999999E-3</v>
      </c>
      <c r="V63" s="228">
        <v>255.4</v>
      </c>
      <c r="W63" s="228">
        <v>255.68</v>
      </c>
      <c r="X63" s="228">
        <v>-0.28000000000000003</v>
      </c>
      <c r="Y63" s="229">
        <v>-1.1000000000000001E-3</v>
      </c>
      <c r="Z63" s="228">
        <v>-0.02</v>
      </c>
      <c r="AA63" s="228">
        <v>0.09</v>
      </c>
      <c r="AB63" s="228">
        <v>-0.11</v>
      </c>
      <c r="AC63" s="229">
        <v>-1E-4</v>
      </c>
      <c r="AD63" s="228">
        <v>-0.02</v>
      </c>
      <c r="AE63" s="228">
        <v>0.09</v>
      </c>
      <c r="AF63" s="228">
        <v>-0.11</v>
      </c>
      <c r="AG63" s="229">
        <v>-1E-4</v>
      </c>
      <c r="AH63" s="228">
        <v>1.32</v>
      </c>
      <c r="AI63" s="228">
        <v>1.53</v>
      </c>
      <c r="AJ63" s="228">
        <v>-0.21</v>
      </c>
      <c r="AK63" s="229">
        <v>5.1999999999999998E-3</v>
      </c>
      <c r="AL63" s="228">
        <v>2.79</v>
      </c>
      <c r="AM63" s="228">
        <v>2.98</v>
      </c>
      <c r="AN63" s="228">
        <v>-0.19</v>
      </c>
      <c r="AO63" s="229">
        <v>1.0999999999999999E-2</v>
      </c>
      <c r="AP63" s="228">
        <v>252.07</v>
      </c>
      <c r="AQ63" s="228">
        <v>253.51</v>
      </c>
      <c r="AR63" s="228">
        <v>0</v>
      </c>
      <c r="AS63" s="228">
        <v>905</v>
      </c>
      <c r="AT63" s="230">
        <v>1060</v>
      </c>
      <c r="AU63" s="228">
        <v>-156</v>
      </c>
      <c r="AV63" s="229">
        <v>-0.1467</v>
      </c>
      <c r="AW63" s="228">
        <v>802</v>
      </c>
      <c r="AX63" s="228">
        <v>950</v>
      </c>
      <c r="AY63" s="228">
        <v>-149</v>
      </c>
      <c r="AZ63" s="229">
        <v>-0.15629999999999999</v>
      </c>
      <c r="BA63" s="228">
        <v>90</v>
      </c>
      <c r="BB63" s="228">
        <v>97</v>
      </c>
      <c r="BC63" s="228">
        <v>-7</v>
      </c>
      <c r="BD63" s="229">
        <v>-6.9199999999999998E-2</v>
      </c>
      <c r="BE63" s="228">
        <v>13</v>
      </c>
      <c r="BF63" s="228">
        <v>13</v>
      </c>
      <c r="BG63" s="228">
        <v>0</v>
      </c>
      <c r="BH63" s="229">
        <v>-1.8499999999999999E-2</v>
      </c>
      <c r="BI63" s="230">
        <v>2174</v>
      </c>
      <c r="BJ63" s="230">
        <v>2976</v>
      </c>
      <c r="BK63" s="228">
        <v>-801</v>
      </c>
      <c r="BL63" s="229">
        <v>-0.26929999999999998</v>
      </c>
      <c r="BM63" s="230">
        <v>1064</v>
      </c>
      <c r="BN63" s="230">
        <v>1288</v>
      </c>
      <c r="BO63" s="228">
        <v>-224</v>
      </c>
      <c r="BP63" s="229">
        <v>-0.1739</v>
      </c>
      <c r="BQ63" s="230">
        <v>4143</v>
      </c>
      <c r="BR63" s="230">
        <v>5324</v>
      </c>
      <c r="BS63" s="230">
        <v>-1181</v>
      </c>
      <c r="BT63" s="229">
        <v>-0.2218</v>
      </c>
      <c r="BU63" s="230">
        <v>38278410</v>
      </c>
      <c r="BV63" s="230">
        <v>50157460</v>
      </c>
      <c r="BW63" s="230">
        <v>-11879050</v>
      </c>
      <c r="BX63" s="229">
        <v>-0.23680000000000001</v>
      </c>
      <c r="BY63" s="230">
        <v>4927</v>
      </c>
      <c r="BZ63" s="230">
        <v>5051</v>
      </c>
      <c r="CA63" s="228">
        <v>-124</v>
      </c>
      <c r="CB63" s="229">
        <v>-2.46E-2</v>
      </c>
      <c r="CC63" s="230">
        <v>4469</v>
      </c>
      <c r="CD63" s="230">
        <v>4618</v>
      </c>
      <c r="CE63" s="228">
        <v>-149</v>
      </c>
      <c r="CF63" s="229">
        <v>-3.2199999999999999E-2</v>
      </c>
      <c r="CG63" s="228">
        <v>386</v>
      </c>
      <c r="CH63" s="228">
        <v>364</v>
      </c>
      <c r="CI63" s="228">
        <v>22</v>
      </c>
      <c r="CJ63" s="229">
        <v>5.9799999999999999E-2</v>
      </c>
      <c r="CK63" s="228">
        <v>72</v>
      </c>
      <c r="CL63" s="228">
        <v>69</v>
      </c>
      <c r="CM63" s="228">
        <v>3</v>
      </c>
      <c r="CN63" s="229">
        <v>4.24E-2</v>
      </c>
      <c r="CO63" s="230">
        <v>1637</v>
      </c>
      <c r="CP63" s="230">
        <v>1601</v>
      </c>
      <c r="CQ63" s="228">
        <v>36</v>
      </c>
      <c r="CR63" s="229">
        <v>2.2800000000000001E-2</v>
      </c>
      <c r="CS63" s="230">
        <v>1279</v>
      </c>
      <c r="CT63" s="230">
        <v>1261</v>
      </c>
      <c r="CU63" s="228">
        <v>18</v>
      </c>
      <c r="CV63" s="229">
        <v>1.46E-2</v>
      </c>
      <c r="CW63" s="230">
        <v>7844</v>
      </c>
      <c r="CX63" s="230">
        <v>7913</v>
      </c>
      <c r="CY63" s="228">
        <v>-69</v>
      </c>
      <c r="CZ63" s="229">
        <v>-8.8000000000000005E-3</v>
      </c>
      <c r="DA63" s="228">
        <v>44.57</v>
      </c>
      <c r="DB63" s="228">
        <v>46.37</v>
      </c>
      <c r="DC63" s="228">
        <v>-1.8</v>
      </c>
      <c r="DD63" s="228">
        <v>-1.8</v>
      </c>
      <c r="DE63" s="228">
        <v>46.24</v>
      </c>
      <c r="DF63" s="228">
        <v>46.36</v>
      </c>
      <c r="DG63" s="228">
        <v>-1.67</v>
      </c>
      <c r="DH63" s="228">
        <v>-0.12</v>
      </c>
      <c r="DI63" s="228">
        <v>43.2</v>
      </c>
      <c r="DJ63" s="228">
        <v>44.75</v>
      </c>
      <c r="DK63" s="228">
        <v>-1.55</v>
      </c>
      <c r="DL63" s="228">
        <v>-1.55</v>
      </c>
      <c r="DM63" s="228">
        <v>47.37</v>
      </c>
      <c r="DN63" s="228">
        <v>50.12</v>
      </c>
      <c r="DO63" s="228">
        <v>-2.75</v>
      </c>
      <c r="DP63" s="228">
        <v>-2.75</v>
      </c>
      <c r="DQ63" s="228">
        <v>0.78</v>
      </c>
      <c r="DR63" s="228">
        <v>0.79</v>
      </c>
      <c r="DS63" s="228">
        <v>-0.01</v>
      </c>
      <c r="DT63" s="229">
        <v>-1.2699999999999999E-2</v>
      </c>
      <c r="DU63" s="228">
        <v>250</v>
      </c>
      <c r="DV63" s="228">
        <v>230</v>
      </c>
      <c r="DW63" s="228">
        <v>0.49</v>
      </c>
      <c r="DX63" s="228">
        <v>0.43</v>
      </c>
      <c r="DY63" s="228">
        <v>0.06</v>
      </c>
      <c r="DZ63" s="229">
        <v>0.13950000000000001</v>
      </c>
      <c r="EA63" s="229">
        <v>9.2899999999999996E-2</v>
      </c>
      <c r="EB63" s="230">
        <v>17154450</v>
      </c>
      <c r="EC63" s="229">
        <v>5.3E-3</v>
      </c>
      <c r="ED63" s="229">
        <v>9.2899999999999996E-2</v>
      </c>
      <c r="EE63" s="228">
        <v>1.44</v>
      </c>
      <c r="EF63" s="229">
        <v>5.7000000000000002E-3</v>
      </c>
      <c r="EG63" s="230">
        <v>18585012</v>
      </c>
      <c r="EH63" s="230">
        <v>21475461</v>
      </c>
      <c r="EI63" s="229">
        <v>-0.1346</v>
      </c>
      <c r="EJ63" s="229">
        <v>0.48549999999999999</v>
      </c>
      <c r="EK63" s="231">
        <v>2283.2399999999998</v>
      </c>
      <c r="EL63" s="231">
        <v>1043.32</v>
      </c>
      <c r="EM63" s="228">
        <v>903.5</v>
      </c>
      <c r="EN63" s="228">
        <v>135.26</v>
      </c>
      <c r="EO63" s="231">
        <v>4230.0600000000004</v>
      </c>
      <c r="EP63" s="231">
        <v>5408.49</v>
      </c>
      <c r="EQ63" s="231">
        <v>-1178.43</v>
      </c>
      <c r="ER63" s="229">
        <v>-0.21790000000000001</v>
      </c>
      <c r="ES63" s="231">
        <v>1651.24</v>
      </c>
      <c r="ET63" s="231">
        <v>1209.7</v>
      </c>
      <c r="EU63" s="231">
        <v>4930.17</v>
      </c>
      <c r="EV63" s="231">
        <v>1366821859</v>
      </c>
      <c r="EW63" s="231">
        <v>7791.11</v>
      </c>
      <c r="EX63" s="231">
        <v>7860.87</v>
      </c>
      <c r="EY63" s="228">
        <v>-69.760000000000005</v>
      </c>
      <c r="EZ63" s="229">
        <v>-8.8999999999999999E-3</v>
      </c>
      <c r="FA63" s="229">
        <v>0.22720000000000001</v>
      </c>
      <c r="FB63" s="227" t="s">
        <v>567</v>
      </c>
      <c r="FC63">
        <f t="shared" si="0"/>
        <v>458</v>
      </c>
    </row>
    <row r="64" spans="1:159" ht="17.25" thickBot="1" x14ac:dyDescent="0.3">
      <c r="A64" s="226">
        <v>46129</v>
      </c>
      <c r="B64" s="227" t="s">
        <v>162</v>
      </c>
      <c r="C64" s="227" t="s">
        <v>211</v>
      </c>
      <c r="D64" s="228">
        <v>1800</v>
      </c>
      <c r="E64" s="228">
        <v>11</v>
      </c>
      <c r="F64" s="228">
        <v>330.25</v>
      </c>
      <c r="G64" s="228">
        <v>331.6</v>
      </c>
      <c r="H64" s="228">
        <v>-1.35</v>
      </c>
      <c r="I64" s="229">
        <v>-4.1000000000000003E-3</v>
      </c>
      <c r="J64" s="228">
        <v>330</v>
      </c>
      <c r="K64" s="228">
        <v>331.4</v>
      </c>
      <c r="L64" s="228">
        <v>-1.4</v>
      </c>
      <c r="M64" s="229">
        <v>-4.1999999999999997E-3</v>
      </c>
      <c r="N64" s="228">
        <v>330.25</v>
      </c>
      <c r="O64" s="228">
        <v>331.6</v>
      </c>
      <c r="P64" s="228">
        <v>-1.35</v>
      </c>
      <c r="Q64" s="229">
        <v>-4.1000000000000003E-3</v>
      </c>
      <c r="R64" s="228">
        <v>332.2</v>
      </c>
      <c r="S64" s="228">
        <v>333.65</v>
      </c>
      <c r="T64" s="228">
        <v>-1.45</v>
      </c>
      <c r="U64" s="229">
        <v>-4.3E-3</v>
      </c>
      <c r="V64" s="228">
        <v>335</v>
      </c>
      <c r="W64" s="228">
        <v>335.35</v>
      </c>
      <c r="X64" s="228">
        <v>-0.35</v>
      </c>
      <c r="Y64" s="229">
        <v>-1E-3</v>
      </c>
      <c r="Z64" s="228">
        <v>0.25</v>
      </c>
      <c r="AA64" s="228">
        <v>0.2</v>
      </c>
      <c r="AB64" s="228">
        <v>0.05</v>
      </c>
      <c r="AC64" s="229">
        <v>8.0000000000000004E-4</v>
      </c>
      <c r="AD64" s="228">
        <v>0.25</v>
      </c>
      <c r="AE64" s="228">
        <v>0.2</v>
      </c>
      <c r="AF64" s="228">
        <v>0.05</v>
      </c>
      <c r="AG64" s="229">
        <v>8.0000000000000004E-4</v>
      </c>
      <c r="AH64" s="228">
        <v>2.2000000000000002</v>
      </c>
      <c r="AI64" s="228">
        <v>2.25</v>
      </c>
      <c r="AJ64" s="228">
        <v>-0.05</v>
      </c>
      <c r="AK64" s="229">
        <v>6.7000000000000002E-3</v>
      </c>
      <c r="AL64" s="228">
        <v>5</v>
      </c>
      <c r="AM64" s="228">
        <v>3.95</v>
      </c>
      <c r="AN64" s="228">
        <v>1.05</v>
      </c>
      <c r="AO64" s="229">
        <v>1.52E-2</v>
      </c>
      <c r="AP64" s="228">
        <v>330.44</v>
      </c>
      <c r="AQ64" s="228">
        <v>332.47</v>
      </c>
      <c r="AR64" s="228">
        <v>0</v>
      </c>
      <c r="AS64" s="228">
        <v>144</v>
      </c>
      <c r="AT64" s="228">
        <v>113</v>
      </c>
      <c r="AU64" s="228">
        <v>31</v>
      </c>
      <c r="AV64" s="229">
        <v>0.2712</v>
      </c>
      <c r="AW64" s="228">
        <v>115</v>
      </c>
      <c r="AX64" s="228">
        <v>92</v>
      </c>
      <c r="AY64" s="228">
        <v>23</v>
      </c>
      <c r="AZ64" s="229">
        <v>0.24890000000000001</v>
      </c>
      <c r="BA64" s="228">
        <v>25</v>
      </c>
      <c r="BB64" s="228">
        <v>19</v>
      </c>
      <c r="BC64" s="228">
        <v>6</v>
      </c>
      <c r="BD64" s="229">
        <v>0.2969</v>
      </c>
      <c r="BE64" s="228">
        <v>5</v>
      </c>
      <c r="BF64" s="228">
        <v>2</v>
      </c>
      <c r="BG64" s="228">
        <v>2</v>
      </c>
      <c r="BH64" s="229">
        <v>0.92500000000000004</v>
      </c>
      <c r="BI64" s="228">
        <v>168</v>
      </c>
      <c r="BJ64" s="228">
        <v>177</v>
      </c>
      <c r="BK64" s="228">
        <v>-9</v>
      </c>
      <c r="BL64" s="229">
        <v>-4.8099999999999997E-2</v>
      </c>
      <c r="BM64" s="228">
        <v>88</v>
      </c>
      <c r="BN64" s="228">
        <v>113</v>
      </c>
      <c r="BO64" s="228">
        <v>-25</v>
      </c>
      <c r="BP64" s="229">
        <v>-0.22270000000000001</v>
      </c>
      <c r="BQ64" s="228">
        <v>400</v>
      </c>
      <c r="BR64" s="228">
        <v>403</v>
      </c>
      <c r="BS64" s="228">
        <v>-3</v>
      </c>
      <c r="BT64" s="229">
        <v>-7.4000000000000003E-3</v>
      </c>
      <c r="BU64" s="230">
        <v>1571688</v>
      </c>
      <c r="BV64" s="230">
        <v>2357430</v>
      </c>
      <c r="BW64" s="230">
        <v>-785742</v>
      </c>
      <c r="BX64" s="229">
        <v>-0.33329999999999999</v>
      </c>
      <c r="BY64" s="228">
        <v>949</v>
      </c>
      <c r="BZ64" s="228">
        <v>955</v>
      </c>
      <c r="CA64" s="228">
        <v>-6</v>
      </c>
      <c r="CB64" s="229">
        <v>-6.4999999999999997E-3</v>
      </c>
      <c r="CC64" s="228">
        <v>869</v>
      </c>
      <c r="CD64" s="228">
        <v>892</v>
      </c>
      <c r="CE64" s="228">
        <v>-23</v>
      </c>
      <c r="CF64" s="229">
        <v>-2.6100000000000002E-2</v>
      </c>
      <c r="CG64" s="228">
        <v>69</v>
      </c>
      <c r="CH64" s="228">
        <v>56</v>
      </c>
      <c r="CI64" s="228">
        <v>13</v>
      </c>
      <c r="CJ64" s="229">
        <v>0.2276</v>
      </c>
      <c r="CK64" s="228">
        <v>11</v>
      </c>
      <c r="CL64" s="228">
        <v>7</v>
      </c>
      <c r="CM64" s="228">
        <v>4</v>
      </c>
      <c r="CN64" s="229">
        <v>0.59660000000000002</v>
      </c>
      <c r="CO64" s="228">
        <v>428</v>
      </c>
      <c r="CP64" s="228">
        <v>411</v>
      </c>
      <c r="CQ64" s="228">
        <v>17</v>
      </c>
      <c r="CR64" s="229">
        <v>4.1200000000000001E-2</v>
      </c>
      <c r="CS64" s="228">
        <v>417</v>
      </c>
      <c r="CT64" s="228">
        <v>411</v>
      </c>
      <c r="CU64" s="228">
        <v>6</v>
      </c>
      <c r="CV64" s="229">
        <v>1.43E-2</v>
      </c>
      <c r="CW64" s="230">
        <v>1794</v>
      </c>
      <c r="CX64" s="230">
        <v>1778</v>
      </c>
      <c r="CY64" s="228">
        <v>17</v>
      </c>
      <c r="CZ64" s="229">
        <v>9.4000000000000004E-3</v>
      </c>
      <c r="DA64" s="228">
        <v>34.79</v>
      </c>
      <c r="DB64" s="228">
        <v>36.880000000000003</v>
      </c>
      <c r="DC64" s="228">
        <v>-2.09</v>
      </c>
      <c r="DD64" s="228">
        <v>-2.09</v>
      </c>
      <c r="DE64" s="228">
        <v>35.46</v>
      </c>
      <c r="DF64" s="228">
        <v>35.54</v>
      </c>
      <c r="DG64" s="228">
        <v>-0.67</v>
      </c>
      <c r="DH64" s="228">
        <v>-0.08</v>
      </c>
      <c r="DI64" s="228">
        <v>33.479999999999997</v>
      </c>
      <c r="DJ64" s="228">
        <v>34.82</v>
      </c>
      <c r="DK64" s="228">
        <v>-1.34</v>
      </c>
      <c r="DL64" s="228">
        <v>-1.34</v>
      </c>
      <c r="DM64" s="228">
        <v>37.299999999999997</v>
      </c>
      <c r="DN64" s="228">
        <v>40.1</v>
      </c>
      <c r="DO64" s="228">
        <v>-2.8</v>
      </c>
      <c r="DP64" s="228">
        <v>-2.8</v>
      </c>
      <c r="DQ64" s="228">
        <v>0.97</v>
      </c>
      <c r="DR64" s="228">
        <v>1</v>
      </c>
      <c r="DS64" s="228">
        <v>-0.03</v>
      </c>
      <c r="DT64" s="229">
        <v>-0.03</v>
      </c>
      <c r="DU64" s="228">
        <v>300</v>
      </c>
      <c r="DV64" s="228">
        <v>310</v>
      </c>
      <c r="DW64" s="228">
        <v>0.52</v>
      </c>
      <c r="DX64" s="228">
        <v>0.64</v>
      </c>
      <c r="DY64" s="228">
        <v>-0.12</v>
      </c>
      <c r="DZ64" s="229">
        <v>-0.1875</v>
      </c>
      <c r="EA64" s="229">
        <v>8.4900000000000003E-2</v>
      </c>
      <c r="EB64" s="230">
        <v>1922400</v>
      </c>
      <c r="EC64" s="229">
        <v>5.8999999999999999E-3</v>
      </c>
      <c r="ED64" s="229">
        <v>8.4900000000000003E-2</v>
      </c>
      <c r="EE64" s="228">
        <v>2.0299999999999998</v>
      </c>
      <c r="EF64" s="229">
        <v>6.1000000000000004E-3</v>
      </c>
      <c r="EG64" s="230">
        <v>633737</v>
      </c>
      <c r="EH64" s="230">
        <v>1108575</v>
      </c>
      <c r="EI64" s="229">
        <v>-0.42830000000000001</v>
      </c>
      <c r="EJ64" s="229">
        <v>0.4032</v>
      </c>
      <c r="EK64" s="228">
        <v>175.69</v>
      </c>
      <c r="EL64" s="228">
        <v>86.24</v>
      </c>
      <c r="EM64" s="228">
        <v>144.09</v>
      </c>
      <c r="EN64" s="228">
        <v>28.2</v>
      </c>
      <c r="EO64" s="228">
        <v>406.02</v>
      </c>
      <c r="EP64" s="228">
        <v>406.15</v>
      </c>
      <c r="EQ64" s="228">
        <v>-0.12</v>
      </c>
      <c r="ER64" s="229">
        <v>-2.9999999999999997E-4</v>
      </c>
      <c r="ES64" s="228">
        <v>426.68</v>
      </c>
      <c r="ET64" s="228">
        <v>393.07</v>
      </c>
      <c r="EU64" s="228">
        <v>949.85</v>
      </c>
      <c r="EV64" s="231">
        <v>50211048</v>
      </c>
      <c r="EW64" s="231">
        <v>1769.6</v>
      </c>
      <c r="EX64" s="231">
        <v>1755.34</v>
      </c>
      <c r="EY64" s="228">
        <v>14.26</v>
      </c>
      <c r="EZ64" s="229">
        <v>8.0999999999999996E-3</v>
      </c>
      <c r="FA64" s="229">
        <v>1.0820000000000001</v>
      </c>
      <c r="FB64" s="227" t="s">
        <v>567</v>
      </c>
      <c r="FC64">
        <f t="shared" si="0"/>
        <v>80</v>
      </c>
    </row>
    <row r="65" spans="1:159" ht="17.25" thickBot="1" x14ac:dyDescent="0.3">
      <c r="A65" s="226">
        <v>46129</v>
      </c>
      <c r="B65" s="227" t="s">
        <v>172</v>
      </c>
      <c r="C65" s="227" t="s">
        <v>212</v>
      </c>
      <c r="D65" s="228">
        <v>5000</v>
      </c>
      <c r="E65" s="228">
        <v>11</v>
      </c>
      <c r="F65" s="228">
        <v>293.60000000000002</v>
      </c>
      <c r="G65" s="228">
        <v>285.10000000000002</v>
      </c>
      <c r="H65" s="228">
        <v>8.5</v>
      </c>
      <c r="I65" s="229">
        <v>2.98E-2</v>
      </c>
      <c r="J65" s="228">
        <v>293.75</v>
      </c>
      <c r="K65" s="228">
        <v>284.39999999999998</v>
      </c>
      <c r="L65" s="228">
        <v>9.35</v>
      </c>
      <c r="M65" s="229">
        <v>3.2899999999999999E-2</v>
      </c>
      <c r="N65" s="228">
        <v>293.60000000000002</v>
      </c>
      <c r="O65" s="228">
        <v>285.10000000000002</v>
      </c>
      <c r="P65" s="228">
        <v>8.5</v>
      </c>
      <c r="Q65" s="229">
        <v>2.98E-2</v>
      </c>
      <c r="R65" s="228">
        <v>295.10000000000002</v>
      </c>
      <c r="S65" s="228">
        <v>286.75</v>
      </c>
      <c r="T65" s="228">
        <v>8.35</v>
      </c>
      <c r="U65" s="229">
        <v>2.9100000000000001E-2</v>
      </c>
      <c r="V65" s="228">
        <v>296.35000000000002</v>
      </c>
      <c r="W65" s="228">
        <v>288.39999999999998</v>
      </c>
      <c r="X65" s="228">
        <v>7.95</v>
      </c>
      <c r="Y65" s="229">
        <v>2.76E-2</v>
      </c>
      <c r="Z65" s="228">
        <v>-0.15</v>
      </c>
      <c r="AA65" s="228">
        <v>0.7</v>
      </c>
      <c r="AB65" s="228">
        <v>-0.85</v>
      </c>
      <c r="AC65" s="229">
        <v>-5.0000000000000001E-4</v>
      </c>
      <c r="AD65" s="228">
        <v>-0.15</v>
      </c>
      <c r="AE65" s="228">
        <v>0.7</v>
      </c>
      <c r="AF65" s="228">
        <v>-0.85</v>
      </c>
      <c r="AG65" s="229">
        <v>-5.0000000000000001E-4</v>
      </c>
      <c r="AH65" s="228">
        <v>1.35</v>
      </c>
      <c r="AI65" s="228">
        <v>2.35</v>
      </c>
      <c r="AJ65" s="228">
        <v>-1</v>
      </c>
      <c r="AK65" s="229">
        <v>4.5999999999999999E-3</v>
      </c>
      <c r="AL65" s="228">
        <v>2.6</v>
      </c>
      <c r="AM65" s="228">
        <v>4</v>
      </c>
      <c r="AN65" s="228">
        <v>-1.4</v>
      </c>
      <c r="AO65" s="229">
        <v>8.8999999999999999E-3</v>
      </c>
      <c r="AP65" s="228">
        <v>290.95999999999998</v>
      </c>
      <c r="AQ65" s="228">
        <v>291.7</v>
      </c>
      <c r="AR65" s="228">
        <v>0</v>
      </c>
      <c r="AS65" s="228">
        <v>567</v>
      </c>
      <c r="AT65" s="228">
        <v>507</v>
      </c>
      <c r="AU65" s="228">
        <v>60</v>
      </c>
      <c r="AV65" s="229">
        <v>0.1181</v>
      </c>
      <c r="AW65" s="228">
        <v>478</v>
      </c>
      <c r="AX65" s="228">
        <v>402</v>
      </c>
      <c r="AY65" s="228">
        <v>76</v>
      </c>
      <c r="AZ65" s="229">
        <v>0.18959999999999999</v>
      </c>
      <c r="BA65" s="228">
        <v>80</v>
      </c>
      <c r="BB65" s="228">
        <v>99</v>
      </c>
      <c r="BC65" s="228">
        <v>-19</v>
      </c>
      <c r="BD65" s="229">
        <v>-0.18990000000000001</v>
      </c>
      <c r="BE65" s="228">
        <v>9</v>
      </c>
      <c r="BF65" s="228">
        <v>6</v>
      </c>
      <c r="BG65" s="228">
        <v>2</v>
      </c>
      <c r="BH65" s="229">
        <v>0.38640000000000002</v>
      </c>
      <c r="BI65" s="230">
        <v>1975</v>
      </c>
      <c r="BJ65" s="230">
        <v>1711</v>
      </c>
      <c r="BK65" s="228">
        <v>263</v>
      </c>
      <c r="BL65" s="229">
        <v>0.15379999999999999</v>
      </c>
      <c r="BM65" s="230">
        <v>1092</v>
      </c>
      <c r="BN65" s="228">
        <v>895</v>
      </c>
      <c r="BO65" s="228">
        <v>196</v>
      </c>
      <c r="BP65" s="229">
        <v>0.21920000000000001</v>
      </c>
      <c r="BQ65" s="230">
        <v>3633</v>
      </c>
      <c r="BR65" s="230">
        <v>3114</v>
      </c>
      <c r="BS65" s="228">
        <v>519</v>
      </c>
      <c r="BT65" s="229">
        <v>0.1668</v>
      </c>
      <c r="BU65" s="230">
        <v>9698418</v>
      </c>
      <c r="BV65" s="230">
        <v>11165290</v>
      </c>
      <c r="BW65" s="230">
        <v>-1466872</v>
      </c>
      <c r="BX65" s="229">
        <v>-0.13139999999999999</v>
      </c>
      <c r="BY65" s="230">
        <v>2362</v>
      </c>
      <c r="BZ65" s="230">
        <v>2408</v>
      </c>
      <c r="CA65" s="228">
        <v>-45</v>
      </c>
      <c r="CB65" s="229">
        <v>-1.8800000000000001E-2</v>
      </c>
      <c r="CC65" s="230">
        <v>2169</v>
      </c>
      <c r="CD65" s="230">
        <v>2227</v>
      </c>
      <c r="CE65" s="228">
        <v>-58</v>
      </c>
      <c r="CF65" s="229">
        <v>-2.5999999999999999E-2</v>
      </c>
      <c r="CG65" s="228">
        <v>177</v>
      </c>
      <c r="CH65" s="228">
        <v>164</v>
      </c>
      <c r="CI65" s="228">
        <v>13</v>
      </c>
      <c r="CJ65" s="229">
        <v>8.1500000000000003E-2</v>
      </c>
      <c r="CK65" s="228">
        <v>16</v>
      </c>
      <c r="CL65" s="228">
        <v>17</v>
      </c>
      <c r="CM65" s="228">
        <v>-1</v>
      </c>
      <c r="CN65" s="229">
        <v>-5.1700000000000003E-2</v>
      </c>
      <c r="CO65" s="230">
        <v>1074</v>
      </c>
      <c r="CP65" s="230">
        <v>1186</v>
      </c>
      <c r="CQ65" s="228">
        <v>-112</v>
      </c>
      <c r="CR65" s="229">
        <v>-9.4299999999999995E-2</v>
      </c>
      <c r="CS65" s="228">
        <v>902</v>
      </c>
      <c r="CT65" s="228">
        <v>816</v>
      </c>
      <c r="CU65" s="228">
        <v>86</v>
      </c>
      <c r="CV65" s="229">
        <v>0.10489999999999999</v>
      </c>
      <c r="CW65" s="230">
        <v>4338</v>
      </c>
      <c r="CX65" s="230">
        <v>4409</v>
      </c>
      <c r="CY65" s="228">
        <v>-72</v>
      </c>
      <c r="CZ65" s="229">
        <v>-1.6199999999999999E-2</v>
      </c>
      <c r="DA65" s="228">
        <v>30.25</v>
      </c>
      <c r="DB65" s="228">
        <v>33.24</v>
      </c>
      <c r="DC65" s="228">
        <v>-2.99</v>
      </c>
      <c r="DD65" s="228">
        <v>-2.99</v>
      </c>
      <c r="DE65" s="228">
        <v>32.409999999999997</v>
      </c>
      <c r="DF65" s="228">
        <v>32.19</v>
      </c>
      <c r="DG65" s="228">
        <v>-2.16</v>
      </c>
      <c r="DH65" s="228">
        <v>0.22</v>
      </c>
      <c r="DI65" s="228">
        <v>28.39</v>
      </c>
      <c r="DJ65" s="228">
        <v>32.58</v>
      </c>
      <c r="DK65" s="228">
        <v>-4.1900000000000004</v>
      </c>
      <c r="DL65" s="228">
        <v>-4.1900000000000004</v>
      </c>
      <c r="DM65" s="228">
        <v>33.6</v>
      </c>
      <c r="DN65" s="228">
        <v>34.49</v>
      </c>
      <c r="DO65" s="228">
        <v>-0.89</v>
      </c>
      <c r="DP65" s="228">
        <v>-0.89</v>
      </c>
      <c r="DQ65" s="228">
        <v>0.84</v>
      </c>
      <c r="DR65" s="228">
        <v>0.69</v>
      </c>
      <c r="DS65" s="228">
        <v>0.15</v>
      </c>
      <c r="DT65" s="229">
        <v>0.21740000000000001</v>
      </c>
      <c r="DU65" s="228">
        <v>305</v>
      </c>
      <c r="DV65" s="228">
        <v>280</v>
      </c>
      <c r="DW65" s="228">
        <v>0.55000000000000004</v>
      </c>
      <c r="DX65" s="228">
        <v>0.52</v>
      </c>
      <c r="DY65" s="228">
        <v>0.03</v>
      </c>
      <c r="DZ65" s="229">
        <v>5.7700000000000001E-2</v>
      </c>
      <c r="EA65" s="229">
        <v>8.1900000000000001E-2</v>
      </c>
      <c r="EB65" s="230">
        <v>6165000</v>
      </c>
      <c r="EC65" s="229">
        <v>5.1000000000000004E-3</v>
      </c>
      <c r="ED65" s="229">
        <v>8.1900000000000001E-2</v>
      </c>
      <c r="EE65" s="228">
        <v>0.74</v>
      </c>
      <c r="EF65" s="229">
        <v>2.5000000000000001E-3</v>
      </c>
      <c r="EG65" s="230">
        <v>5726696</v>
      </c>
      <c r="EH65" s="230">
        <v>6434214</v>
      </c>
      <c r="EI65" s="229">
        <v>-0.11</v>
      </c>
      <c r="EJ65" s="229">
        <v>0.59050000000000002</v>
      </c>
      <c r="EK65" s="231">
        <v>2032.11</v>
      </c>
      <c r="EL65" s="231">
        <v>1046.45</v>
      </c>
      <c r="EM65" s="228">
        <v>562.25</v>
      </c>
      <c r="EN65" s="228">
        <v>34.369999999999997</v>
      </c>
      <c r="EO65" s="231">
        <v>3640.81</v>
      </c>
      <c r="EP65" s="231">
        <v>3106.87</v>
      </c>
      <c r="EQ65" s="228">
        <v>533.94000000000005</v>
      </c>
      <c r="ER65" s="229">
        <v>0.1719</v>
      </c>
      <c r="ES65" s="231">
        <v>1076.4000000000001</v>
      </c>
      <c r="ET65" s="228">
        <v>831.41</v>
      </c>
      <c r="EU65" s="231">
        <v>2363.2199999999998</v>
      </c>
      <c r="EV65" s="231">
        <v>359450597</v>
      </c>
      <c r="EW65" s="231">
        <v>4271.0200000000004</v>
      </c>
      <c r="EX65" s="231">
        <v>4272.8100000000004</v>
      </c>
      <c r="EY65" s="228">
        <v>-1.79</v>
      </c>
      <c r="EZ65" s="229">
        <v>-4.0000000000000002E-4</v>
      </c>
      <c r="FA65" s="229">
        <v>0.41099999999999998</v>
      </c>
      <c r="FB65" s="227" t="s">
        <v>693</v>
      </c>
      <c r="FC65">
        <f t="shared" si="0"/>
        <v>193</v>
      </c>
    </row>
    <row r="66" spans="1:159" ht="17.25" thickBot="1" x14ac:dyDescent="0.3">
      <c r="A66" s="226">
        <v>46129</v>
      </c>
      <c r="B66" s="227" t="s">
        <v>181</v>
      </c>
      <c r="C66" s="227" t="s">
        <v>480</v>
      </c>
      <c r="D66" s="228">
        <v>60</v>
      </c>
      <c r="E66" s="228">
        <v>11</v>
      </c>
      <c r="F66" s="231">
        <v>26566.3</v>
      </c>
      <c r="G66" s="231">
        <v>26392.2</v>
      </c>
      <c r="H66" s="228">
        <v>174.1</v>
      </c>
      <c r="I66" s="229">
        <v>6.6E-3</v>
      </c>
      <c r="J66" s="231">
        <v>26521.25</v>
      </c>
      <c r="K66" s="231">
        <v>26343.55</v>
      </c>
      <c r="L66" s="228">
        <v>177.7</v>
      </c>
      <c r="M66" s="229">
        <v>6.7000000000000002E-3</v>
      </c>
      <c r="N66" s="231">
        <v>26566.3</v>
      </c>
      <c r="O66" s="231">
        <v>26392.2</v>
      </c>
      <c r="P66" s="228">
        <v>174.1</v>
      </c>
      <c r="Q66" s="229">
        <v>6.6E-3</v>
      </c>
      <c r="R66" s="231">
        <v>26707.1</v>
      </c>
      <c r="S66" s="231">
        <v>26583.3</v>
      </c>
      <c r="T66" s="228">
        <v>123.8</v>
      </c>
      <c r="U66" s="229">
        <v>4.7000000000000002E-3</v>
      </c>
      <c r="V66" s="228">
        <v>0</v>
      </c>
      <c r="W66" s="228">
        <v>0</v>
      </c>
      <c r="X66" s="228">
        <v>0</v>
      </c>
      <c r="Y66" s="229">
        <v>0</v>
      </c>
      <c r="Z66" s="228">
        <v>45.05</v>
      </c>
      <c r="AA66" s="228">
        <v>48.65</v>
      </c>
      <c r="AB66" s="228">
        <v>-3.6</v>
      </c>
      <c r="AC66" s="229">
        <v>1.6999999999999999E-3</v>
      </c>
      <c r="AD66" s="228">
        <v>45.05</v>
      </c>
      <c r="AE66" s="228">
        <v>48.65</v>
      </c>
      <c r="AF66" s="228">
        <v>-3.6</v>
      </c>
      <c r="AG66" s="229">
        <v>1.6999999999999999E-3</v>
      </c>
      <c r="AH66" s="228">
        <v>185.85</v>
      </c>
      <c r="AI66" s="228">
        <v>239.75</v>
      </c>
      <c r="AJ66" s="228">
        <v>-53.9</v>
      </c>
      <c r="AK66" s="229">
        <v>7.0000000000000001E-3</v>
      </c>
      <c r="AL66" s="228">
        <v>0</v>
      </c>
      <c r="AM66" s="228">
        <v>0</v>
      </c>
      <c r="AN66" s="228">
        <v>0</v>
      </c>
      <c r="AO66" s="229">
        <v>0</v>
      </c>
      <c r="AP66" s="231">
        <v>26477.07</v>
      </c>
      <c r="AQ66" s="231">
        <v>26651.08</v>
      </c>
      <c r="AR66" s="228">
        <v>0</v>
      </c>
      <c r="AS66" s="228">
        <v>35</v>
      </c>
      <c r="AT66" s="228">
        <v>29</v>
      </c>
      <c r="AU66" s="228">
        <v>6</v>
      </c>
      <c r="AV66" s="229">
        <v>0.18920000000000001</v>
      </c>
      <c r="AW66" s="228">
        <v>30</v>
      </c>
      <c r="AX66" s="228">
        <v>27</v>
      </c>
      <c r="AY66" s="228">
        <v>3</v>
      </c>
      <c r="AZ66" s="229">
        <v>0.125</v>
      </c>
      <c r="BA66" s="228">
        <v>5</v>
      </c>
      <c r="BB66" s="228">
        <v>3</v>
      </c>
      <c r="BC66" s="228">
        <v>2</v>
      </c>
      <c r="BD66" s="229">
        <v>0.82350000000000001</v>
      </c>
      <c r="BE66" s="228">
        <v>0</v>
      </c>
      <c r="BF66" s="228">
        <v>0</v>
      </c>
      <c r="BG66" s="228">
        <v>0</v>
      </c>
      <c r="BH66" s="229">
        <v>0</v>
      </c>
      <c r="BI66" s="230">
        <v>1628</v>
      </c>
      <c r="BJ66" s="230">
        <v>1670</v>
      </c>
      <c r="BK66" s="228">
        <v>-42</v>
      </c>
      <c r="BL66" s="229">
        <v>-2.5100000000000001E-2</v>
      </c>
      <c r="BM66" s="228">
        <v>811</v>
      </c>
      <c r="BN66" s="230">
        <v>1257</v>
      </c>
      <c r="BO66" s="228">
        <v>-446</v>
      </c>
      <c r="BP66" s="229">
        <v>-0.35460000000000003</v>
      </c>
      <c r="BQ66" s="230">
        <v>2475</v>
      </c>
      <c r="BR66" s="230">
        <v>2957</v>
      </c>
      <c r="BS66" s="228">
        <v>-482</v>
      </c>
      <c r="BT66" s="229">
        <v>-0.16309999999999999</v>
      </c>
      <c r="BU66" s="228">
        <v>0</v>
      </c>
      <c r="BV66" s="228">
        <v>0</v>
      </c>
      <c r="BW66" s="228">
        <v>0</v>
      </c>
      <c r="BX66" s="229">
        <v>0</v>
      </c>
      <c r="BY66" s="228">
        <v>77</v>
      </c>
      <c r="BZ66" s="228">
        <v>72</v>
      </c>
      <c r="CA66" s="228">
        <v>5</v>
      </c>
      <c r="CB66" s="229">
        <v>7.3499999999999996E-2</v>
      </c>
      <c r="CC66" s="228">
        <v>70</v>
      </c>
      <c r="CD66" s="228">
        <v>66</v>
      </c>
      <c r="CE66" s="228">
        <v>4</v>
      </c>
      <c r="CF66" s="229">
        <v>6.5199999999999994E-2</v>
      </c>
      <c r="CG66" s="228">
        <v>7</v>
      </c>
      <c r="CH66" s="228">
        <v>6</v>
      </c>
      <c r="CI66" s="228">
        <v>1</v>
      </c>
      <c r="CJ66" s="229">
        <v>0.1714</v>
      </c>
      <c r="CK66" s="228">
        <v>0</v>
      </c>
      <c r="CL66" s="228">
        <v>0</v>
      </c>
      <c r="CM66" s="228">
        <v>0</v>
      </c>
      <c r="CN66" s="229">
        <v>0</v>
      </c>
      <c r="CO66" s="230">
        <v>1050</v>
      </c>
      <c r="CP66" s="230">
        <v>1061</v>
      </c>
      <c r="CQ66" s="228">
        <v>-11</v>
      </c>
      <c r="CR66" s="229">
        <v>-1.04E-2</v>
      </c>
      <c r="CS66" s="228">
        <v>712</v>
      </c>
      <c r="CT66" s="228">
        <v>743</v>
      </c>
      <c r="CU66" s="228">
        <v>-31</v>
      </c>
      <c r="CV66" s="229">
        <v>-4.2200000000000001E-2</v>
      </c>
      <c r="CW66" s="230">
        <v>1838</v>
      </c>
      <c r="CX66" s="230">
        <v>1876</v>
      </c>
      <c r="CY66" s="228">
        <v>-37</v>
      </c>
      <c r="CZ66" s="229">
        <v>-1.9800000000000002E-2</v>
      </c>
      <c r="DA66" s="228">
        <v>21.34</v>
      </c>
      <c r="DB66" s="228">
        <v>23.02</v>
      </c>
      <c r="DC66" s="228">
        <v>-1.68</v>
      </c>
      <c r="DD66" s="228">
        <v>-1.68</v>
      </c>
      <c r="DE66" s="228">
        <v>21.76</v>
      </c>
      <c r="DF66" s="228">
        <v>21.8</v>
      </c>
      <c r="DG66" s="228">
        <v>-0.42</v>
      </c>
      <c r="DH66" s="228">
        <v>-0.04</v>
      </c>
      <c r="DI66" s="228">
        <v>19.96</v>
      </c>
      <c r="DJ66" s="228">
        <v>20.93</v>
      </c>
      <c r="DK66" s="228">
        <v>-0.97</v>
      </c>
      <c r="DL66" s="228">
        <v>-0.97</v>
      </c>
      <c r="DM66" s="228">
        <v>24.12</v>
      </c>
      <c r="DN66" s="228">
        <v>25.8</v>
      </c>
      <c r="DO66" s="228">
        <v>-1.68</v>
      </c>
      <c r="DP66" s="228">
        <v>-1.68</v>
      </c>
      <c r="DQ66" s="228">
        <v>0.68</v>
      </c>
      <c r="DR66" s="228">
        <v>0.7</v>
      </c>
      <c r="DS66" s="228">
        <v>-0.02</v>
      </c>
      <c r="DT66" s="229">
        <v>-2.86E-2</v>
      </c>
      <c r="DU66" s="231">
        <v>28500</v>
      </c>
      <c r="DV66" s="231">
        <v>24000</v>
      </c>
      <c r="DW66" s="228">
        <v>0.5</v>
      </c>
      <c r="DX66" s="228">
        <v>0.75</v>
      </c>
      <c r="DY66" s="228">
        <v>-0.25</v>
      </c>
      <c r="DZ66" s="229">
        <v>-0.33329999999999999</v>
      </c>
      <c r="EA66" s="229">
        <v>8.5099999999999995E-2</v>
      </c>
      <c r="EB66" s="230">
        <v>2100</v>
      </c>
      <c r="EC66" s="229">
        <v>5.3E-3</v>
      </c>
      <c r="ED66" s="229">
        <v>8.5099999999999995E-2</v>
      </c>
      <c r="EE66" s="228">
        <v>174.01</v>
      </c>
      <c r="EF66" s="229">
        <v>6.6E-3</v>
      </c>
      <c r="EG66" s="228">
        <v>0</v>
      </c>
      <c r="EH66" s="228">
        <v>0</v>
      </c>
      <c r="EI66" s="229">
        <v>0</v>
      </c>
      <c r="EJ66" s="229">
        <v>0</v>
      </c>
      <c r="EK66" s="231">
        <v>1676.54</v>
      </c>
      <c r="EL66" s="228">
        <v>779.44</v>
      </c>
      <c r="EM66" s="228">
        <v>34.979999999999997</v>
      </c>
      <c r="EN66" s="228">
        <v>0</v>
      </c>
      <c r="EO66" s="231">
        <v>2490.96</v>
      </c>
      <c r="EP66" s="231">
        <v>2954.85</v>
      </c>
      <c r="EQ66" s="228">
        <v>-463.89</v>
      </c>
      <c r="ER66" s="229">
        <v>-0.157</v>
      </c>
      <c r="ES66" s="231">
        <v>1083.71</v>
      </c>
      <c r="ET66" s="228">
        <v>653.4</v>
      </c>
      <c r="EU66" s="228">
        <v>76.86</v>
      </c>
      <c r="EV66" s="228">
        <v>0</v>
      </c>
      <c r="EW66" s="231">
        <v>1813.98</v>
      </c>
      <c r="EX66" s="231">
        <v>1840.8</v>
      </c>
      <c r="EY66" s="228">
        <v>-26.82</v>
      </c>
      <c r="EZ66" s="229">
        <v>-1.46E-2</v>
      </c>
      <c r="FA66" s="229">
        <v>0</v>
      </c>
      <c r="FB66" s="227" t="s">
        <v>555</v>
      </c>
      <c r="FC66">
        <f t="shared" si="0"/>
        <v>7</v>
      </c>
    </row>
    <row r="67" spans="1:159" ht="17.25" thickBot="1" x14ac:dyDescent="0.3">
      <c r="A67" s="226">
        <v>46129</v>
      </c>
      <c r="B67" s="227" t="s">
        <v>162</v>
      </c>
      <c r="C67" s="227" t="s">
        <v>700</v>
      </c>
      <c r="D67" s="228">
        <v>25</v>
      </c>
      <c r="E67" s="228">
        <v>11</v>
      </c>
      <c r="F67" s="231">
        <v>22371</v>
      </c>
      <c r="G67" s="231">
        <v>22574</v>
      </c>
      <c r="H67" s="228">
        <v>-203</v>
      </c>
      <c r="I67" s="229">
        <v>-8.9999999999999993E-3</v>
      </c>
      <c r="J67" s="231">
        <v>22378</v>
      </c>
      <c r="K67" s="231">
        <v>22538</v>
      </c>
      <c r="L67" s="228">
        <v>-160</v>
      </c>
      <c r="M67" s="229">
        <v>-7.1000000000000004E-3</v>
      </c>
      <c r="N67" s="231">
        <v>22371</v>
      </c>
      <c r="O67" s="231">
        <v>22574</v>
      </c>
      <c r="P67" s="228">
        <v>-203</v>
      </c>
      <c r="Q67" s="229">
        <v>-8.9999999999999993E-3</v>
      </c>
      <c r="R67" s="231">
        <v>22257</v>
      </c>
      <c r="S67" s="231">
        <v>22480</v>
      </c>
      <c r="T67" s="228">
        <v>-223</v>
      </c>
      <c r="U67" s="229">
        <v>-9.9000000000000008E-3</v>
      </c>
      <c r="V67" s="231">
        <v>22250</v>
      </c>
      <c r="W67" s="231">
        <v>22466</v>
      </c>
      <c r="X67" s="228">
        <v>-216</v>
      </c>
      <c r="Y67" s="229">
        <v>-9.5999999999999992E-3</v>
      </c>
      <c r="Z67" s="228">
        <v>-7</v>
      </c>
      <c r="AA67" s="228">
        <v>36</v>
      </c>
      <c r="AB67" s="228">
        <v>-43</v>
      </c>
      <c r="AC67" s="229">
        <v>-2.9999999999999997E-4</v>
      </c>
      <c r="AD67" s="228">
        <v>-7</v>
      </c>
      <c r="AE67" s="228">
        <v>36</v>
      </c>
      <c r="AF67" s="228">
        <v>-43</v>
      </c>
      <c r="AG67" s="229">
        <v>-2.9999999999999997E-4</v>
      </c>
      <c r="AH67" s="228">
        <v>-121</v>
      </c>
      <c r="AI67" s="228">
        <v>-58</v>
      </c>
      <c r="AJ67" s="228">
        <v>-63</v>
      </c>
      <c r="AK67" s="229">
        <v>-5.4000000000000003E-3</v>
      </c>
      <c r="AL67" s="228">
        <v>-128</v>
      </c>
      <c r="AM67" s="228">
        <v>-72</v>
      </c>
      <c r="AN67" s="228">
        <v>-56</v>
      </c>
      <c r="AO67" s="229">
        <v>-5.7000000000000002E-3</v>
      </c>
      <c r="AP67" s="231">
        <v>22459.57</v>
      </c>
      <c r="AQ67" s="231">
        <v>22311.62</v>
      </c>
      <c r="AR67" s="228">
        <v>0</v>
      </c>
      <c r="AS67" s="228">
        <v>76</v>
      </c>
      <c r="AT67" s="228">
        <v>124</v>
      </c>
      <c r="AU67" s="228">
        <v>-48</v>
      </c>
      <c r="AV67" s="229">
        <v>-0.3886</v>
      </c>
      <c r="AW67" s="228">
        <v>55</v>
      </c>
      <c r="AX67" s="228">
        <v>92</v>
      </c>
      <c r="AY67" s="228">
        <v>-37</v>
      </c>
      <c r="AZ67" s="229">
        <v>-0.40500000000000003</v>
      </c>
      <c r="BA67" s="228">
        <v>21</v>
      </c>
      <c r="BB67" s="228">
        <v>32</v>
      </c>
      <c r="BC67" s="228">
        <v>-11</v>
      </c>
      <c r="BD67" s="229">
        <v>-0.33860000000000001</v>
      </c>
      <c r="BE67" s="228">
        <v>0</v>
      </c>
      <c r="BF67" s="228">
        <v>0</v>
      </c>
      <c r="BG67" s="228">
        <v>0</v>
      </c>
      <c r="BH67" s="229">
        <v>-0.66669999999999996</v>
      </c>
      <c r="BI67" s="228">
        <v>119</v>
      </c>
      <c r="BJ67" s="228">
        <v>348</v>
      </c>
      <c r="BK67" s="228">
        <v>-229</v>
      </c>
      <c r="BL67" s="229">
        <v>-0.65759999999999996</v>
      </c>
      <c r="BM67" s="228">
        <v>28</v>
      </c>
      <c r="BN67" s="228">
        <v>56</v>
      </c>
      <c r="BO67" s="228">
        <v>-28</v>
      </c>
      <c r="BP67" s="229">
        <v>-0.4985</v>
      </c>
      <c r="BQ67" s="228">
        <v>223</v>
      </c>
      <c r="BR67" s="228">
        <v>528</v>
      </c>
      <c r="BS67" s="228">
        <v>-305</v>
      </c>
      <c r="BT67" s="229">
        <v>-0.57750000000000001</v>
      </c>
      <c r="BU67" s="230">
        <v>101433</v>
      </c>
      <c r="BV67" s="230">
        <v>142823</v>
      </c>
      <c r="BW67" s="230">
        <v>-41390</v>
      </c>
      <c r="BX67" s="229">
        <v>-0.2898</v>
      </c>
      <c r="BY67" s="228">
        <v>294</v>
      </c>
      <c r="BZ67" s="228">
        <v>269</v>
      </c>
      <c r="CA67" s="228">
        <v>26</v>
      </c>
      <c r="CB67" s="229">
        <v>9.6000000000000002E-2</v>
      </c>
      <c r="CC67" s="228">
        <v>220</v>
      </c>
      <c r="CD67" s="228">
        <v>206</v>
      </c>
      <c r="CE67" s="228">
        <v>14</v>
      </c>
      <c r="CF67" s="229">
        <v>6.6600000000000006E-2</v>
      </c>
      <c r="CG67" s="228">
        <v>71</v>
      </c>
      <c r="CH67" s="228">
        <v>59</v>
      </c>
      <c r="CI67" s="228">
        <v>12</v>
      </c>
      <c r="CJ67" s="229">
        <v>0.20380000000000001</v>
      </c>
      <c r="CK67" s="228">
        <v>3</v>
      </c>
      <c r="CL67" s="228">
        <v>3</v>
      </c>
      <c r="CM67" s="228">
        <v>0</v>
      </c>
      <c r="CN67" s="229">
        <v>0</v>
      </c>
      <c r="CO67" s="228">
        <v>176</v>
      </c>
      <c r="CP67" s="228">
        <v>164</v>
      </c>
      <c r="CQ67" s="228">
        <v>12</v>
      </c>
      <c r="CR67" s="229">
        <v>7.0499999999999993E-2</v>
      </c>
      <c r="CS67" s="228">
        <v>59</v>
      </c>
      <c r="CT67" s="228">
        <v>59</v>
      </c>
      <c r="CU67" s="228">
        <v>0</v>
      </c>
      <c r="CV67" s="229">
        <v>0</v>
      </c>
      <c r="CW67" s="228">
        <v>529</v>
      </c>
      <c r="CX67" s="228">
        <v>492</v>
      </c>
      <c r="CY67" s="228">
        <v>37</v>
      </c>
      <c r="CZ67" s="229">
        <v>7.5999999999999998E-2</v>
      </c>
      <c r="DA67" s="228">
        <v>60.87</v>
      </c>
      <c r="DB67" s="228">
        <v>59.79</v>
      </c>
      <c r="DC67" s="228">
        <v>1.08</v>
      </c>
      <c r="DD67" s="228">
        <v>1.08</v>
      </c>
      <c r="DE67" s="228">
        <v>65.760000000000005</v>
      </c>
      <c r="DF67" s="228">
        <v>65.91</v>
      </c>
      <c r="DG67" s="228">
        <v>-4.8899999999999997</v>
      </c>
      <c r="DH67" s="228">
        <v>-0.15</v>
      </c>
      <c r="DI67" s="228">
        <v>60.25</v>
      </c>
      <c r="DJ67" s="228">
        <v>59.36</v>
      </c>
      <c r="DK67" s="228">
        <v>0.89</v>
      </c>
      <c r="DL67" s="228">
        <v>0.89</v>
      </c>
      <c r="DM67" s="228">
        <v>63.53</v>
      </c>
      <c r="DN67" s="228">
        <v>62.5</v>
      </c>
      <c r="DO67" s="228">
        <v>1.03</v>
      </c>
      <c r="DP67" s="228">
        <v>1.03</v>
      </c>
      <c r="DQ67" s="228">
        <v>0.34</v>
      </c>
      <c r="DR67" s="228">
        <v>0.36</v>
      </c>
      <c r="DS67" s="228">
        <v>-0.02</v>
      </c>
      <c r="DT67" s="229">
        <v>-5.5599999999999997E-2</v>
      </c>
      <c r="DU67" s="231">
        <v>25000</v>
      </c>
      <c r="DV67" s="231">
        <v>22000</v>
      </c>
      <c r="DW67" s="228">
        <v>0.24</v>
      </c>
      <c r="DX67" s="228">
        <v>0.16</v>
      </c>
      <c r="DY67" s="228">
        <v>0.08</v>
      </c>
      <c r="DZ67" s="229">
        <v>0.5</v>
      </c>
      <c r="EA67" s="229">
        <v>0.25180000000000002</v>
      </c>
      <c r="EB67" s="230">
        <v>27750</v>
      </c>
      <c r="EC67" s="229">
        <v>-5.1000000000000004E-3</v>
      </c>
      <c r="ED67" s="229">
        <v>0.25180000000000002</v>
      </c>
      <c r="EE67" s="228">
        <v>-147.94999999999999</v>
      </c>
      <c r="EF67" s="229">
        <v>-6.6E-3</v>
      </c>
      <c r="EG67" s="230">
        <v>30354</v>
      </c>
      <c r="EH67" s="230">
        <v>26618</v>
      </c>
      <c r="EI67" s="229">
        <v>0.1404</v>
      </c>
      <c r="EJ67" s="229">
        <v>0.29930000000000001</v>
      </c>
      <c r="EK67" s="228">
        <v>130.38999999999999</v>
      </c>
      <c r="EL67" s="228">
        <v>26.42</v>
      </c>
      <c r="EM67" s="228">
        <v>76</v>
      </c>
      <c r="EN67" s="228">
        <v>23.14</v>
      </c>
      <c r="EO67" s="228">
        <v>232.81</v>
      </c>
      <c r="EP67" s="228">
        <v>563.07000000000005</v>
      </c>
      <c r="EQ67" s="228">
        <v>-330.26</v>
      </c>
      <c r="ER67" s="229">
        <v>-0.58650000000000002</v>
      </c>
      <c r="ES67" s="228">
        <v>185.51</v>
      </c>
      <c r="ET67" s="228">
        <v>54.24</v>
      </c>
      <c r="EU67" s="228">
        <v>293.91000000000003</v>
      </c>
      <c r="EV67" s="231">
        <v>736885</v>
      </c>
      <c r="EW67" s="228">
        <v>533.66999999999996</v>
      </c>
      <c r="EX67" s="228">
        <v>498.18</v>
      </c>
      <c r="EY67" s="228">
        <v>35.49</v>
      </c>
      <c r="EZ67" s="229">
        <v>7.1199999999999999E-2</v>
      </c>
      <c r="FA67" s="229">
        <v>0.32090000000000002</v>
      </c>
      <c r="FB67" s="227" t="s">
        <v>566</v>
      </c>
      <c r="FC67">
        <f t="shared" ref="FC67:FC130" si="1">BY67-CC67</f>
        <v>74</v>
      </c>
    </row>
    <row r="68" spans="1:159" ht="17.25" thickBot="1" x14ac:dyDescent="0.3">
      <c r="A68" s="226">
        <v>46129</v>
      </c>
      <c r="B68" s="227" t="s">
        <v>170</v>
      </c>
      <c r="C68" s="227" t="s">
        <v>675</v>
      </c>
      <c r="D68" s="228">
        <v>775</v>
      </c>
      <c r="E68" s="228">
        <v>11</v>
      </c>
      <c r="F68" s="228">
        <v>890.9</v>
      </c>
      <c r="G68" s="228">
        <v>873.8</v>
      </c>
      <c r="H68" s="228">
        <v>17.100000000000001</v>
      </c>
      <c r="I68" s="229">
        <v>1.9599999999999999E-2</v>
      </c>
      <c r="J68" s="228">
        <v>890.2</v>
      </c>
      <c r="K68" s="228">
        <v>873.9</v>
      </c>
      <c r="L68" s="228">
        <v>16.3</v>
      </c>
      <c r="M68" s="229">
        <v>1.8700000000000001E-2</v>
      </c>
      <c r="N68" s="228">
        <v>890.9</v>
      </c>
      <c r="O68" s="228">
        <v>873.8</v>
      </c>
      <c r="P68" s="228">
        <v>17.100000000000001</v>
      </c>
      <c r="Q68" s="229">
        <v>1.9599999999999999E-2</v>
      </c>
      <c r="R68" s="228">
        <v>896.1</v>
      </c>
      <c r="S68" s="228">
        <v>878.8</v>
      </c>
      <c r="T68" s="228">
        <v>17.3</v>
      </c>
      <c r="U68" s="229">
        <v>1.9699999999999999E-2</v>
      </c>
      <c r="V68" s="228">
        <v>901.15</v>
      </c>
      <c r="W68" s="228">
        <v>884.2</v>
      </c>
      <c r="X68" s="228">
        <v>16.95</v>
      </c>
      <c r="Y68" s="229">
        <v>1.9199999999999998E-2</v>
      </c>
      <c r="Z68" s="228">
        <v>0.7</v>
      </c>
      <c r="AA68" s="228">
        <v>-0.1</v>
      </c>
      <c r="AB68" s="228">
        <v>0.8</v>
      </c>
      <c r="AC68" s="229">
        <v>8.0000000000000004E-4</v>
      </c>
      <c r="AD68" s="228">
        <v>0.7</v>
      </c>
      <c r="AE68" s="228">
        <v>-0.1</v>
      </c>
      <c r="AF68" s="228">
        <v>0.8</v>
      </c>
      <c r="AG68" s="229">
        <v>8.0000000000000004E-4</v>
      </c>
      <c r="AH68" s="228">
        <v>5.9</v>
      </c>
      <c r="AI68" s="228">
        <v>4.9000000000000004</v>
      </c>
      <c r="AJ68" s="228">
        <v>1</v>
      </c>
      <c r="AK68" s="229">
        <v>6.6E-3</v>
      </c>
      <c r="AL68" s="228">
        <v>10.95</v>
      </c>
      <c r="AM68" s="228">
        <v>10.3</v>
      </c>
      <c r="AN68" s="228">
        <v>0.65</v>
      </c>
      <c r="AO68" s="229">
        <v>1.23E-2</v>
      </c>
      <c r="AP68" s="228">
        <v>890.13</v>
      </c>
      <c r="AQ68" s="228">
        <v>896.89</v>
      </c>
      <c r="AR68" s="228">
        <v>0</v>
      </c>
      <c r="AS68" s="228">
        <v>168</v>
      </c>
      <c r="AT68" s="228">
        <v>307</v>
      </c>
      <c r="AU68" s="228">
        <v>-139</v>
      </c>
      <c r="AV68" s="229">
        <v>-0.4536</v>
      </c>
      <c r="AW68" s="228">
        <v>144</v>
      </c>
      <c r="AX68" s="228">
        <v>224</v>
      </c>
      <c r="AY68" s="228">
        <v>-80</v>
      </c>
      <c r="AZ68" s="229">
        <v>-0.35570000000000002</v>
      </c>
      <c r="BA68" s="228">
        <v>20</v>
      </c>
      <c r="BB68" s="228">
        <v>14</v>
      </c>
      <c r="BC68" s="228">
        <v>6</v>
      </c>
      <c r="BD68" s="229">
        <v>0.41870000000000002</v>
      </c>
      <c r="BE68" s="228">
        <v>4</v>
      </c>
      <c r="BF68" s="228">
        <v>70</v>
      </c>
      <c r="BG68" s="228">
        <v>-66</v>
      </c>
      <c r="BH68" s="229">
        <v>-0.94440000000000002</v>
      </c>
      <c r="BI68" s="228">
        <v>410</v>
      </c>
      <c r="BJ68" s="228">
        <v>217</v>
      </c>
      <c r="BK68" s="228">
        <v>193</v>
      </c>
      <c r="BL68" s="229">
        <v>0.89180000000000004</v>
      </c>
      <c r="BM68" s="228">
        <v>187</v>
      </c>
      <c r="BN68" s="228">
        <v>105</v>
      </c>
      <c r="BO68" s="228">
        <v>83</v>
      </c>
      <c r="BP68" s="229">
        <v>0.79259999999999997</v>
      </c>
      <c r="BQ68" s="228">
        <v>765</v>
      </c>
      <c r="BR68" s="228">
        <v>629</v>
      </c>
      <c r="BS68" s="228">
        <v>137</v>
      </c>
      <c r="BT68" s="229">
        <v>0.21779999999999999</v>
      </c>
      <c r="BU68" s="230">
        <v>928662</v>
      </c>
      <c r="BV68" s="230">
        <v>1609962</v>
      </c>
      <c r="BW68" s="230">
        <v>-681300</v>
      </c>
      <c r="BX68" s="229">
        <v>-0.42320000000000002</v>
      </c>
      <c r="BY68" s="228">
        <v>991</v>
      </c>
      <c r="BZ68" s="228">
        <v>988</v>
      </c>
      <c r="CA68" s="228">
        <v>2</v>
      </c>
      <c r="CB68" s="229">
        <v>2.3999999999999998E-3</v>
      </c>
      <c r="CC68" s="228">
        <v>895</v>
      </c>
      <c r="CD68" s="228">
        <v>899</v>
      </c>
      <c r="CE68" s="228">
        <v>-5</v>
      </c>
      <c r="CF68" s="229">
        <v>-5.1000000000000004E-3</v>
      </c>
      <c r="CG68" s="228">
        <v>24</v>
      </c>
      <c r="CH68" s="228">
        <v>18</v>
      </c>
      <c r="CI68" s="228">
        <v>6</v>
      </c>
      <c r="CJ68" s="229">
        <v>0.33579999999999999</v>
      </c>
      <c r="CK68" s="228">
        <v>72</v>
      </c>
      <c r="CL68" s="228">
        <v>71</v>
      </c>
      <c r="CM68" s="228">
        <v>1</v>
      </c>
      <c r="CN68" s="229">
        <v>1.2699999999999999E-2</v>
      </c>
      <c r="CO68" s="228">
        <v>222</v>
      </c>
      <c r="CP68" s="228">
        <v>211</v>
      </c>
      <c r="CQ68" s="228">
        <v>11</v>
      </c>
      <c r="CR68" s="229">
        <v>5.4100000000000002E-2</v>
      </c>
      <c r="CS68" s="228">
        <v>141</v>
      </c>
      <c r="CT68" s="228">
        <v>147</v>
      </c>
      <c r="CU68" s="228">
        <v>-6</v>
      </c>
      <c r="CV68" s="229">
        <v>-4.0399999999999998E-2</v>
      </c>
      <c r="CW68" s="230">
        <v>1354</v>
      </c>
      <c r="CX68" s="230">
        <v>1346</v>
      </c>
      <c r="CY68" s="228">
        <v>8</v>
      </c>
      <c r="CZ68" s="229">
        <v>5.7999999999999996E-3</v>
      </c>
      <c r="DA68" s="228">
        <v>28.96</v>
      </c>
      <c r="DB68" s="228">
        <v>31.56</v>
      </c>
      <c r="DC68" s="228">
        <v>-2.6</v>
      </c>
      <c r="DD68" s="228">
        <v>-2.6</v>
      </c>
      <c r="DE68" s="228">
        <v>35.4</v>
      </c>
      <c r="DF68" s="228">
        <v>35.4</v>
      </c>
      <c r="DG68" s="228">
        <v>-6.44</v>
      </c>
      <c r="DH68" s="228">
        <v>0</v>
      </c>
      <c r="DI68" s="228">
        <v>27.64</v>
      </c>
      <c r="DJ68" s="228">
        <v>30.7</v>
      </c>
      <c r="DK68" s="228">
        <v>-3.06</v>
      </c>
      <c r="DL68" s="228">
        <v>-3.06</v>
      </c>
      <c r="DM68" s="228">
        <v>31.85</v>
      </c>
      <c r="DN68" s="228">
        <v>33.35</v>
      </c>
      <c r="DO68" s="228">
        <v>-1.5</v>
      </c>
      <c r="DP68" s="228">
        <v>-1.5</v>
      </c>
      <c r="DQ68" s="228">
        <v>0.63</v>
      </c>
      <c r="DR68" s="228">
        <v>0.7</v>
      </c>
      <c r="DS68" s="228">
        <v>-7.0000000000000007E-2</v>
      </c>
      <c r="DT68" s="229">
        <v>-0.1</v>
      </c>
      <c r="DU68" s="228">
        <v>940</v>
      </c>
      <c r="DV68" s="228">
        <v>850</v>
      </c>
      <c r="DW68" s="228">
        <v>0.46</v>
      </c>
      <c r="DX68" s="228">
        <v>0.48</v>
      </c>
      <c r="DY68" s="228">
        <v>-0.02</v>
      </c>
      <c r="DZ68" s="229">
        <v>-4.1700000000000001E-2</v>
      </c>
      <c r="EA68" s="229">
        <v>9.7000000000000003E-2</v>
      </c>
      <c r="EB68" s="230">
        <v>999750</v>
      </c>
      <c r="EC68" s="229">
        <v>5.7999999999999996E-3</v>
      </c>
      <c r="ED68" s="229">
        <v>9.7000000000000003E-2</v>
      </c>
      <c r="EE68" s="228">
        <v>6.76</v>
      </c>
      <c r="EF68" s="229">
        <v>7.6E-3</v>
      </c>
      <c r="EG68" s="230">
        <v>410282</v>
      </c>
      <c r="EH68" s="230">
        <v>859425</v>
      </c>
      <c r="EI68" s="229">
        <v>-0.52259999999999995</v>
      </c>
      <c r="EJ68" s="229">
        <v>0.44180000000000003</v>
      </c>
      <c r="EK68" s="228">
        <v>422.5</v>
      </c>
      <c r="EL68" s="228">
        <v>181.48</v>
      </c>
      <c r="EM68" s="228">
        <v>167.9</v>
      </c>
      <c r="EN68" s="228">
        <v>23.9</v>
      </c>
      <c r="EO68" s="228">
        <v>771.88</v>
      </c>
      <c r="EP68" s="228">
        <v>622</v>
      </c>
      <c r="EQ68" s="228">
        <v>149.88</v>
      </c>
      <c r="ER68" s="229">
        <v>0.24099999999999999</v>
      </c>
      <c r="ES68" s="228">
        <v>221.6</v>
      </c>
      <c r="ET68" s="228">
        <v>131.77000000000001</v>
      </c>
      <c r="EU68" s="228">
        <v>991.69</v>
      </c>
      <c r="EV68" s="231">
        <v>70894446</v>
      </c>
      <c r="EW68" s="231">
        <v>1345.06</v>
      </c>
      <c r="EX68" s="231">
        <v>1315.46</v>
      </c>
      <c r="EY68" s="228">
        <v>29.6</v>
      </c>
      <c r="EZ68" s="229">
        <v>2.2499999999999999E-2</v>
      </c>
      <c r="FA68" s="229">
        <v>0.21429999999999999</v>
      </c>
      <c r="FB68" s="227" t="s">
        <v>555</v>
      </c>
      <c r="FC68">
        <f t="shared" si="1"/>
        <v>96</v>
      </c>
    </row>
    <row r="69" spans="1:159" ht="17.25" thickBot="1" x14ac:dyDescent="0.3">
      <c r="A69" s="226">
        <v>46129</v>
      </c>
      <c r="B69" s="227" t="s">
        <v>193</v>
      </c>
      <c r="C69" s="227" t="s">
        <v>213</v>
      </c>
      <c r="D69" s="228">
        <v>3150</v>
      </c>
      <c r="E69" s="228">
        <v>11</v>
      </c>
      <c r="F69" s="228">
        <v>158.33000000000001</v>
      </c>
      <c r="G69" s="228">
        <v>158.97</v>
      </c>
      <c r="H69" s="228">
        <v>-0.64</v>
      </c>
      <c r="I69" s="229">
        <v>-4.0000000000000001E-3</v>
      </c>
      <c r="J69" s="228">
        <v>157.82</v>
      </c>
      <c r="K69" s="228">
        <v>158.91999999999999</v>
      </c>
      <c r="L69" s="228">
        <v>-1.1000000000000001</v>
      </c>
      <c r="M69" s="229">
        <v>-6.8999999999999999E-3</v>
      </c>
      <c r="N69" s="228">
        <v>158.33000000000001</v>
      </c>
      <c r="O69" s="228">
        <v>158.97</v>
      </c>
      <c r="P69" s="228">
        <v>-0.64</v>
      </c>
      <c r="Q69" s="229">
        <v>-4.0000000000000001E-3</v>
      </c>
      <c r="R69" s="228">
        <v>159.13999999999999</v>
      </c>
      <c r="S69" s="228">
        <v>159.86000000000001</v>
      </c>
      <c r="T69" s="228">
        <v>-0.72</v>
      </c>
      <c r="U69" s="229">
        <v>-4.4999999999999997E-3</v>
      </c>
      <c r="V69" s="228">
        <v>160.26</v>
      </c>
      <c r="W69" s="228">
        <v>160.65</v>
      </c>
      <c r="X69" s="228">
        <v>-0.39</v>
      </c>
      <c r="Y69" s="229">
        <v>-2.3999999999999998E-3</v>
      </c>
      <c r="Z69" s="228">
        <v>0.51</v>
      </c>
      <c r="AA69" s="228">
        <v>0.05</v>
      </c>
      <c r="AB69" s="228">
        <v>0.46</v>
      </c>
      <c r="AC69" s="229">
        <v>3.2000000000000002E-3</v>
      </c>
      <c r="AD69" s="228">
        <v>0.51</v>
      </c>
      <c r="AE69" s="228">
        <v>0.05</v>
      </c>
      <c r="AF69" s="228">
        <v>0.46</v>
      </c>
      <c r="AG69" s="229">
        <v>3.2000000000000002E-3</v>
      </c>
      <c r="AH69" s="228">
        <v>1.32</v>
      </c>
      <c r="AI69" s="228">
        <v>0.94</v>
      </c>
      <c r="AJ69" s="228">
        <v>0.38</v>
      </c>
      <c r="AK69" s="229">
        <v>8.3999999999999995E-3</v>
      </c>
      <c r="AL69" s="228">
        <v>2.44</v>
      </c>
      <c r="AM69" s="228">
        <v>1.73</v>
      </c>
      <c r="AN69" s="228">
        <v>0.71</v>
      </c>
      <c r="AO69" s="229">
        <v>1.55E-2</v>
      </c>
      <c r="AP69" s="228">
        <v>158.38999999999999</v>
      </c>
      <c r="AQ69" s="228">
        <v>159.19999999999999</v>
      </c>
      <c r="AR69" s="228">
        <v>0</v>
      </c>
      <c r="AS69" s="228">
        <v>177</v>
      </c>
      <c r="AT69" s="228">
        <v>248</v>
      </c>
      <c r="AU69" s="228">
        <v>-71</v>
      </c>
      <c r="AV69" s="229">
        <v>-0.28599999999999998</v>
      </c>
      <c r="AW69" s="228">
        <v>145</v>
      </c>
      <c r="AX69" s="228">
        <v>174</v>
      </c>
      <c r="AY69" s="228">
        <v>-29</v>
      </c>
      <c r="AZ69" s="229">
        <v>-0.16700000000000001</v>
      </c>
      <c r="BA69" s="228">
        <v>30</v>
      </c>
      <c r="BB69" s="228">
        <v>21</v>
      </c>
      <c r="BC69" s="228">
        <v>8</v>
      </c>
      <c r="BD69" s="229">
        <v>0.37909999999999999</v>
      </c>
      <c r="BE69" s="228">
        <v>2</v>
      </c>
      <c r="BF69" s="228">
        <v>53</v>
      </c>
      <c r="BG69" s="228">
        <v>-50</v>
      </c>
      <c r="BH69" s="229">
        <v>-0.95250000000000001</v>
      </c>
      <c r="BI69" s="228">
        <v>208</v>
      </c>
      <c r="BJ69" s="228">
        <v>263</v>
      </c>
      <c r="BK69" s="228">
        <v>-55</v>
      </c>
      <c r="BL69" s="229">
        <v>-0.20810000000000001</v>
      </c>
      <c r="BM69" s="228">
        <v>173</v>
      </c>
      <c r="BN69" s="228">
        <v>173</v>
      </c>
      <c r="BO69" s="228">
        <v>-1</v>
      </c>
      <c r="BP69" s="229">
        <v>-3.7000000000000002E-3</v>
      </c>
      <c r="BQ69" s="228">
        <v>558</v>
      </c>
      <c r="BR69" s="228">
        <v>685</v>
      </c>
      <c r="BS69" s="228">
        <v>-126</v>
      </c>
      <c r="BT69" s="229">
        <v>-0.18459999999999999</v>
      </c>
      <c r="BU69" s="230">
        <v>13504644</v>
      </c>
      <c r="BV69" s="230">
        <v>10249721</v>
      </c>
      <c r="BW69" s="230">
        <v>3254923</v>
      </c>
      <c r="BX69" s="229">
        <v>0.31759999999999999</v>
      </c>
      <c r="BY69" s="230">
        <v>1247</v>
      </c>
      <c r="BZ69" s="230">
        <v>1245</v>
      </c>
      <c r="CA69" s="228">
        <v>2</v>
      </c>
      <c r="CB69" s="229">
        <v>2E-3</v>
      </c>
      <c r="CC69" s="230">
        <v>1121</v>
      </c>
      <c r="CD69" s="230">
        <v>1132</v>
      </c>
      <c r="CE69" s="228">
        <v>-11</v>
      </c>
      <c r="CF69" s="229">
        <v>-9.7000000000000003E-3</v>
      </c>
      <c r="CG69" s="228">
        <v>69</v>
      </c>
      <c r="CH69" s="228">
        <v>58</v>
      </c>
      <c r="CI69" s="228">
        <v>12</v>
      </c>
      <c r="CJ69" s="229">
        <v>0.20519999999999999</v>
      </c>
      <c r="CK69" s="228">
        <v>56</v>
      </c>
      <c r="CL69" s="228">
        <v>55</v>
      </c>
      <c r="CM69" s="228">
        <v>2</v>
      </c>
      <c r="CN69" s="229">
        <v>3.1099999999999999E-2</v>
      </c>
      <c r="CO69" s="228">
        <v>438</v>
      </c>
      <c r="CP69" s="228">
        <v>422</v>
      </c>
      <c r="CQ69" s="228">
        <v>16</v>
      </c>
      <c r="CR69" s="229">
        <v>3.73E-2</v>
      </c>
      <c r="CS69" s="228">
        <v>515</v>
      </c>
      <c r="CT69" s="228">
        <v>511</v>
      </c>
      <c r="CU69" s="228">
        <v>4</v>
      </c>
      <c r="CV69" s="229">
        <v>8.0999999999999996E-3</v>
      </c>
      <c r="CW69" s="230">
        <v>2200</v>
      </c>
      <c r="CX69" s="230">
        <v>2177</v>
      </c>
      <c r="CY69" s="228">
        <v>22</v>
      </c>
      <c r="CZ69" s="229">
        <v>1.03E-2</v>
      </c>
      <c r="DA69" s="228">
        <v>30.16</v>
      </c>
      <c r="DB69" s="228">
        <v>31.28</v>
      </c>
      <c r="DC69" s="228">
        <v>-1.1200000000000001</v>
      </c>
      <c r="DD69" s="228">
        <v>-1.1200000000000001</v>
      </c>
      <c r="DE69" s="228">
        <v>35.58</v>
      </c>
      <c r="DF69" s="228">
        <v>35.67</v>
      </c>
      <c r="DG69" s="228">
        <v>-5.42</v>
      </c>
      <c r="DH69" s="228">
        <v>-0.09</v>
      </c>
      <c r="DI69" s="228">
        <v>28.14</v>
      </c>
      <c r="DJ69" s="228">
        <v>29.39</v>
      </c>
      <c r="DK69" s="228">
        <v>-1.25</v>
      </c>
      <c r="DL69" s="228">
        <v>-1.25</v>
      </c>
      <c r="DM69" s="228">
        <v>32.61</v>
      </c>
      <c r="DN69" s="228">
        <v>34.14</v>
      </c>
      <c r="DO69" s="228">
        <v>-1.53</v>
      </c>
      <c r="DP69" s="228">
        <v>-1.53</v>
      </c>
      <c r="DQ69" s="228">
        <v>1.18</v>
      </c>
      <c r="DR69" s="228">
        <v>1.21</v>
      </c>
      <c r="DS69" s="228">
        <v>-0.03</v>
      </c>
      <c r="DT69" s="229">
        <v>-2.4799999999999999E-2</v>
      </c>
      <c r="DU69" s="228">
        <v>144</v>
      </c>
      <c r="DV69" s="228">
        <v>130</v>
      </c>
      <c r="DW69" s="228">
        <v>0.83</v>
      </c>
      <c r="DX69" s="228">
        <v>0.66</v>
      </c>
      <c r="DY69" s="228">
        <v>0.17</v>
      </c>
      <c r="DZ69" s="229">
        <v>0.2576</v>
      </c>
      <c r="EA69" s="229">
        <v>0.1008</v>
      </c>
      <c r="EB69" s="230">
        <v>7087500</v>
      </c>
      <c r="EC69" s="229">
        <v>5.1000000000000004E-3</v>
      </c>
      <c r="ED69" s="229">
        <v>0.1008</v>
      </c>
      <c r="EE69" s="228">
        <v>0.81</v>
      </c>
      <c r="EF69" s="229">
        <v>5.1000000000000004E-3</v>
      </c>
      <c r="EG69" s="230">
        <v>8258780</v>
      </c>
      <c r="EH69" s="230">
        <v>6199384</v>
      </c>
      <c r="EI69" s="229">
        <v>0.3322</v>
      </c>
      <c r="EJ69" s="229">
        <v>0.61160000000000003</v>
      </c>
      <c r="EK69" s="228">
        <v>216.78</v>
      </c>
      <c r="EL69" s="228">
        <v>166.62</v>
      </c>
      <c r="EM69" s="228">
        <v>177.4</v>
      </c>
      <c r="EN69" s="228">
        <v>38.51</v>
      </c>
      <c r="EO69" s="228">
        <v>560.79999999999995</v>
      </c>
      <c r="EP69" s="228">
        <v>686.3</v>
      </c>
      <c r="EQ69" s="228">
        <v>-125.5</v>
      </c>
      <c r="ER69" s="229">
        <v>-0.18290000000000001</v>
      </c>
      <c r="ES69" s="228">
        <v>425.48</v>
      </c>
      <c r="ET69" s="228">
        <v>485.76</v>
      </c>
      <c r="EU69" s="231">
        <v>1248.24</v>
      </c>
      <c r="EV69" s="231">
        <v>471255857</v>
      </c>
      <c r="EW69" s="231">
        <v>2159.48</v>
      </c>
      <c r="EX69" s="231">
        <v>2140.12</v>
      </c>
      <c r="EY69" s="228">
        <v>19.36</v>
      </c>
      <c r="EZ69" s="229">
        <v>8.9999999999999993E-3</v>
      </c>
      <c r="FA69" s="229">
        <v>0.29480000000000001</v>
      </c>
      <c r="FB69" s="227" t="s">
        <v>566</v>
      </c>
      <c r="FC69">
        <f t="shared" si="1"/>
        <v>126</v>
      </c>
    </row>
    <row r="70" spans="1:159" ht="17.25" thickBot="1" x14ac:dyDescent="0.3">
      <c r="A70" s="226">
        <v>46129</v>
      </c>
      <c r="B70" s="227" t="s">
        <v>170</v>
      </c>
      <c r="C70" s="227" t="s">
        <v>214</v>
      </c>
      <c r="D70" s="228">
        <v>375</v>
      </c>
      <c r="E70" s="228">
        <v>11</v>
      </c>
      <c r="F70" s="231">
        <v>2253.8000000000002</v>
      </c>
      <c r="G70" s="231">
        <v>2255.6</v>
      </c>
      <c r="H70" s="228">
        <v>-1.8</v>
      </c>
      <c r="I70" s="229">
        <v>-8.0000000000000004E-4</v>
      </c>
      <c r="J70" s="231">
        <v>2249.5</v>
      </c>
      <c r="K70" s="231">
        <v>2249.5</v>
      </c>
      <c r="L70" s="228">
        <v>0</v>
      </c>
      <c r="M70" s="229">
        <v>0</v>
      </c>
      <c r="N70" s="231">
        <v>2253.8000000000002</v>
      </c>
      <c r="O70" s="231">
        <v>2255.6</v>
      </c>
      <c r="P70" s="228">
        <v>-1.8</v>
      </c>
      <c r="Q70" s="229">
        <v>-8.0000000000000004E-4</v>
      </c>
      <c r="R70" s="231">
        <v>2264.6999999999998</v>
      </c>
      <c r="S70" s="231">
        <v>2266.1</v>
      </c>
      <c r="T70" s="228">
        <v>-1.4</v>
      </c>
      <c r="U70" s="229">
        <v>-5.9999999999999995E-4</v>
      </c>
      <c r="V70" s="231">
        <v>2278.9</v>
      </c>
      <c r="W70" s="231">
        <v>2280</v>
      </c>
      <c r="X70" s="228">
        <v>-1.1000000000000001</v>
      </c>
      <c r="Y70" s="229">
        <v>-5.0000000000000001E-4</v>
      </c>
      <c r="Z70" s="228">
        <v>4.3</v>
      </c>
      <c r="AA70" s="228">
        <v>6.1</v>
      </c>
      <c r="AB70" s="228">
        <v>-1.8</v>
      </c>
      <c r="AC70" s="229">
        <v>1.9E-3</v>
      </c>
      <c r="AD70" s="228">
        <v>4.3</v>
      </c>
      <c r="AE70" s="228">
        <v>6.1</v>
      </c>
      <c r="AF70" s="228">
        <v>-1.8</v>
      </c>
      <c r="AG70" s="229">
        <v>1.9E-3</v>
      </c>
      <c r="AH70" s="228">
        <v>15.2</v>
      </c>
      <c r="AI70" s="228">
        <v>16.600000000000001</v>
      </c>
      <c r="AJ70" s="228">
        <v>-1.4</v>
      </c>
      <c r="AK70" s="229">
        <v>6.7999999999999996E-3</v>
      </c>
      <c r="AL70" s="228">
        <v>29.4</v>
      </c>
      <c r="AM70" s="228">
        <v>30.5</v>
      </c>
      <c r="AN70" s="228">
        <v>-1.1000000000000001</v>
      </c>
      <c r="AO70" s="229">
        <v>1.3100000000000001E-2</v>
      </c>
      <c r="AP70" s="231">
        <v>2256.69</v>
      </c>
      <c r="AQ70" s="231">
        <v>2273.77</v>
      </c>
      <c r="AR70" s="228">
        <v>0</v>
      </c>
      <c r="AS70" s="228">
        <v>175</v>
      </c>
      <c r="AT70" s="228">
        <v>199</v>
      </c>
      <c r="AU70" s="228">
        <v>-24</v>
      </c>
      <c r="AV70" s="229">
        <v>-0.12230000000000001</v>
      </c>
      <c r="AW70" s="228">
        <v>160</v>
      </c>
      <c r="AX70" s="228">
        <v>186</v>
      </c>
      <c r="AY70" s="228">
        <v>-26</v>
      </c>
      <c r="AZ70" s="229">
        <v>-0.13919999999999999</v>
      </c>
      <c r="BA70" s="228">
        <v>14</v>
      </c>
      <c r="BB70" s="228">
        <v>12</v>
      </c>
      <c r="BC70" s="228">
        <v>1</v>
      </c>
      <c r="BD70" s="229">
        <v>9.5200000000000007E-2</v>
      </c>
      <c r="BE70" s="228">
        <v>1</v>
      </c>
      <c r="BF70" s="228">
        <v>0</v>
      </c>
      <c r="BG70" s="228">
        <v>0</v>
      </c>
      <c r="BH70" s="229">
        <v>2.5</v>
      </c>
      <c r="BI70" s="228">
        <v>990</v>
      </c>
      <c r="BJ70" s="228">
        <v>563</v>
      </c>
      <c r="BK70" s="228">
        <v>426</v>
      </c>
      <c r="BL70" s="229">
        <v>0.75739999999999996</v>
      </c>
      <c r="BM70" s="228">
        <v>317</v>
      </c>
      <c r="BN70" s="228">
        <v>348</v>
      </c>
      <c r="BO70" s="228">
        <v>-31</v>
      </c>
      <c r="BP70" s="229">
        <v>-8.9499999999999996E-2</v>
      </c>
      <c r="BQ70" s="230">
        <v>1481</v>
      </c>
      <c r="BR70" s="230">
        <v>1110</v>
      </c>
      <c r="BS70" s="228">
        <v>371</v>
      </c>
      <c r="BT70" s="229">
        <v>0.33410000000000001</v>
      </c>
      <c r="BU70" s="230">
        <v>383534</v>
      </c>
      <c r="BV70" s="230">
        <v>452601</v>
      </c>
      <c r="BW70" s="230">
        <v>-69067</v>
      </c>
      <c r="BX70" s="229">
        <v>-0.15260000000000001</v>
      </c>
      <c r="BY70" s="230">
        <v>2307</v>
      </c>
      <c r="BZ70" s="230">
        <v>2313</v>
      </c>
      <c r="CA70" s="228">
        <v>-6</v>
      </c>
      <c r="CB70" s="229">
        <v>-2.7000000000000001E-3</v>
      </c>
      <c r="CC70" s="230">
        <v>2278</v>
      </c>
      <c r="CD70" s="230">
        <v>2292</v>
      </c>
      <c r="CE70" s="228">
        <v>-13</v>
      </c>
      <c r="CF70" s="229">
        <v>-5.7999999999999996E-3</v>
      </c>
      <c r="CG70" s="228">
        <v>26</v>
      </c>
      <c r="CH70" s="228">
        <v>20</v>
      </c>
      <c r="CI70" s="228">
        <v>7</v>
      </c>
      <c r="CJ70" s="229">
        <v>0.34200000000000003</v>
      </c>
      <c r="CK70" s="228">
        <v>2</v>
      </c>
      <c r="CL70" s="228">
        <v>2</v>
      </c>
      <c r="CM70" s="228">
        <v>1</v>
      </c>
      <c r="CN70" s="229">
        <v>0.2727</v>
      </c>
      <c r="CO70" s="228">
        <v>539</v>
      </c>
      <c r="CP70" s="228">
        <v>409</v>
      </c>
      <c r="CQ70" s="228">
        <v>130</v>
      </c>
      <c r="CR70" s="229">
        <v>0.31690000000000002</v>
      </c>
      <c r="CS70" s="228">
        <v>273</v>
      </c>
      <c r="CT70" s="228">
        <v>252</v>
      </c>
      <c r="CU70" s="228">
        <v>21</v>
      </c>
      <c r="CV70" s="229">
        <v>8.2400000000000001E-2</v>
      </c>
      <c r="CW70" s="230">
        <v>3119</v>
      </c>
      <c r="CX70" s="230">
        <v>2975</v>
      </c>
      <c r="CY70" s="228">
        <v>144</v>
      </c>
      <c r="CZ70" s="229">
        <v>4.8500000000000001E-2</v>
      </c>
      <c r="DA70" s="228">
        <v>34.18</v>
      </c>
      <c r="DB70" s="228">
        <v>32.69</v>
      </c>
      <c r="DC70" s="228">
        <v>1.49</v>
      </c>
      <c r="DD70" s="228">
        <v>1.49</v>
      </c>
      <c r="DE70" s="228">
        <v>36.049999999999997</v>
      </c>
      <c r="DF70" s="228">
        <v>36.14</v>
      </c>
      <c r="DG70" s="228">
        <v>-1.87</v>
      </c>
      <c r="DH70" s="228">
        <v>-0.09</v>
      </c>
      <c r="DI70" s="228">
        <v>33.979999999999997</v>
      </c>
      <c r="DJ70" s="228">
        <v>31.15</v>
      </c>
      <c r="DK70" s="228">
        <v>2.83</v>
      </c>
      <c r="DL70" s="228">
        <v>2.83</v>
      </c>
      <c r="DM70" s="228">
        <v>34.79</v>
      </c>
      <c r="DN70" s="228">
        <v>35.18</v>
      </c>
      <c r="DO70" s="228">
        <v>-0.39</v>
      </c>
      <c r="DP70" s="228">
        <v>-0.39</v>
      </c>
      <c r="DQ70" s="228">
        <v>0.51</v>
      </c>
      <c r="DR70" s="228">
        <v>0.62</v>
      </c>
      <c r="DS70" s="228">
        <v>-0.11</v>
      </c>
      <c r="DT70" s="229">
        <v>-0.1774</v>
      </c>
      <c r="DU70" s="231">
        <v>2400</v>
      </c>
      <c r="DV70" s="231">
        <v>2100</v>
      </c>
      <c r="DW70" s="228">
        <v>0.32</v>
      </c>
      <c r="DX70" s="228">
        <v>0.62</v>
      </c>
      <c r="DY70" s="228">
        <v>-0.3</v>
      </c>
      <c r="DZ70" s="229">
        <v>-0.4839</v>
      </c>
      <c r="EA70" s="229">
        <v>1.24E-2</v>
      </c>
      <c r="EB70" s="230">
        <v>94875</v>
      </c>
      <c r="EC70" s="229">
        <v>4.7999999999999996E-3</v>
      </c>
      <c r="ED70" s="229">
        <v>1.24E-2</v>
      </c>
      <c r="EE70" s="228">
        <v>17.079999999999998</v>
      </c>
      <c r="EF70" s="229">
        <v>7.6E-3</v>
      </c>
      <c r="EG70" s="230">
        <v>191009</v>
      </c>
      <c r="EH70" s="230">
        <v>190420</v>
      </c>
      <c r="EI70" s="229">
        <v>3.0999999999999999E-3</v>
      </c>
      <c r="EJ70" s="229">
        <v>0.498</v>
      </c>
      <c r="EK70" s="231">
        <v>1042.25</v>
      </c>
      <c r="EL70" s="228">
        <v>308.14</v>
      </c>
      <c r="EM70" s="228">
        <v>174.95</v>
      </c>
      <c r="EN70" s="228">
        <v>26.7</v>
      </c>
      <c r="EO70" s="231">
        <v>1525.34</v>
      </c>
      <c r="EP70" s="231">
        <v>1116.75</v>
      </c>
      <c r="EQ70" s="228">
        <v>408.59</v>
      </c>
      <c r="ER70" s="229">
        <v>0.3659</v>
      </c>
      <c r="ES70" s="228">
        <v>547.66999999999996</v>
      </c>
      <c r="ET70" s="228">
        <v>253.29</v>
      </c>
      <c r="EU70" s="231">
        <v>2307.14</v>
      </c>
      <c r="EV70" s="231">
        <v>15844372</v>
      </c>
      <c r="EW70" s="231">
        <v>3108.11</v>
      </c>
      <c r="EX70" s="231">
        <v>2957.96</v>
      </c>
      <c r="EY70" s="228">
        <v>150.15</v>
      </c>
      <c r="EZ70" s="229">
        <v>5.0799999999999998E-2</v>
      </c>
      <c r="FA70" s="229">
        <v>0.87339999999999995</v>
      </c>
      <c r="FB70" s="227" t="s">
        <v>567</v>
      </c>
      <c r="FC70">
        <f t="shared" si="1"/>
        <v>29</v>
      </c>
    </row>
    <row r="71" spans="1:159" ht="17.25" thickBot="1" x14ac:dyDescent="0.3">
      <c r="A71" s="226">
        <v>46129</v>
      </c>
      <c r="B71" s="227" t="s">
        <v>215</v>
      </c>
      <c r="C71" s="227" t="s">
        <v>630</v>
      </c>
      <c r="D71" s="228">
        <v>6975</v>
      </c>
      <c r="E71" s="228">
        <v>11</v>
      </c>
      <c r="F71" s="228">
        <v>97.16</v>
      </c>
      <c r="G71" s="228">
        <v>97</v>
      </c>
      <c r="H71" s="228">
        <v>0.16</v>
      </c>
      <c r="I71" s="229">
        <v>1.6000000000000001E-3</v>
      </c>
      <c r="J71" s="228">
        <v>96.85</v>
      </c>
      <c r="K71" s="228">
        <v>96.75</v>
      </c>
      <c r="L71" s="228">
        <v>0.1</v>
      </c>
      <c r="M71" s="229">
        <v>1E-3</v>
      </c>
      <c r="N71" s="228">
        <v>97.16</v>
      </c>
      <c r="O71" s="228">
        <v>97</v>
      </c>
      <c r="P71" s="228">
        <v>0.16</v>
      </c>
      <c r="Q71" s="229">
        <v>1.6000000000000001E-3</v>
      </c>
      <c r="R71" s="228">
        <v>97.64</v>
      </c>
      <c r="S71" s="228">
        <v>97.53</v>
      </c>
      <c r="T71" s="228">
        <v>0.11</v>
      </c>
      <c r="U71" s="229">
        <v>1.1000000000000001E-3</v>
      </c>
      <c r="V71" s="228">
        <v>98.29</v>
      </c>
      <c r="W71" s="228">
        <v>98.32</v>
      </c>
      <c r="X71" s="228">
        <v>-0.03</v>
      </c>
      <c r="Y71" s="229">
        <v>-2.9999999999999997E-4</v>
      </c>
      <c r="Z71" s="228">
        <v>0.31</v>
      </c>
      <c r="AA71" s="228">
        <v>0.25</v>
      </c>
      <c r="AB71" s="228">
        <v>0.06</v>
      </c>
      <c r="AC71" s="229">
        <v>3.2000000000000002E-3</v>
      </c>
      <c r="AD71" s="228">
        <v>0.31</v>
      </c>
      <c r="AE71" s="228">
        <v>0.25</v>
      </c>
      <c r="AF71" s="228">
        <v>0.06</v>
      </c>
      <c r="AG71" s="229">
        <v>3.2000000000000002E-3</v>
      </c>
      <c r="AH71" s="228">
        <v>0.79</v>
      </c>
      <c r="AI71" s="228">
        <v>0.78</v>
      </c>
      <c r="AJ71" s="228">
        <v>0.01</v>
      </c>
      <c r="AK71" s="229">
        <v>8.2000000000000007E-3</v>
      </c>
      <c r="AL71" s="228">
        <v>1.44</v>
      </c>
      <c r="AM71" s="228">
        <v>1.57</v>
      </c>
      <c r="AN71" s="228">
        <v>-0.13</v>
      </c>
      <c r="AO71" s="229">
        <v>1.49E-2</v>
      </c>
      <c r="AP71" s="228">
        <v>97.33</v>
      </c>
      <c r="AQ71" s="228">
        <v>98</v>
      </c>
      <c r="AR71" s="228">
        <v>0</v>
      </c>
      <c r="AS71" s="228">
        <v>221</v>
      </c>
      <c r="AT71" s="228">
        <v>166</v>
      </c>
      <c r="AU71" s="228">
        <v>55</v>
      </c>
      <c r="AV71" s="229">
        <v>0.33310000000000001</v>
      </c>
      <c r="AW71" s="228">
        <v>150</v>
      </c>
      <c r="AX71" s="228">
        <v>140</v>
      </c>
      <c r="AY71" s="228">
        <v>9</v>
      </c>
      <c r="AZ71" s="229">
        <v>6.7199999999999996E-2</v>
      </c>
      <c r="BA71" s="228">
        <v>28</v>
      </c>
      <c r="BB71" s="228">
        <v>23</v>
      </c>
      <c r="BC71" s="228">
        <v>5</v>
      </c>
      <c r="BD71" s="229">
        <v>0.20119999999999999</v>
      </c>
      <c r="BE71" s="228">
        <v>43</v>
      </c>
      <c r="BF71" s="228">
        <v>2</v>
      </c>
      <c r="BG71" s="228">
        <v>41</v>
      </c>
      <c r="BH71" s="229">
        <v>18.9375</v>
      </c>
      <c r="BI71" s="228">
        <v>251</v>
      </c>
      <c r="BJ71" s="228">
        <v>389</v>
      </c>
      <c r="BK71" s="228">
        <v>-138</v>
      </c>
      <c r="BL71" s="229">
        <v>-0.35460000000000003</v>
      </c>
      <c r="BM71" s="228">
        <v>126</v>
      </c>
      <c r="BN71" s="228">
        <v>277</v>
      </c>
      <c r="BO71" s="228">
        <v>-150</v>
      </c>
      <c r="BP71" s="229">
        <v>-0.54339999999999999</v>
      </c>
      <c r="BQ71" s="228">
        <v>598</v>
      </c>
      <c r="BR71" s="228">
        <v>832</v>
      </c>
      <c r="BS71" s="228">
        <v>-233</v>
      </c>
      <c r="BT71" s="229">
        <v>-0.28039999999999998</v>
      </c>
      <c r="BU71" s="230">
        <v>11386763</v>
      </c>
      <c r="BV71" s="230">
        <v>11144653</v>
      </c>
      <c r="BW71" s="230">
        <v>242110</v>
      </c>
      <c r="BX71" s="229">
        <v>2.1700000000000001E-2</v>
      </c>
      <c r="BY71" s="230">
        <v>1307</v>
      </c>
      <c r="BZ71" s="230">
        <v>1284</v>
      </c>
      <c r="CA71" s="228">
        <v>23</v>
      </c>
      <c r="CB71" s="229">
        <v>1.8200000000000001E-2</v>
      </c>
      <c r="CC71" s="230">
        <v>1197</v>
      </c>
      <c r="CD71" s="230">
        <v>1226</v>
      </c>
      <c r="CE71" s="228">
        <v>-29</v>
      </c>
      <c r="CF71" s="229">
        <v>-2.3599999999999999E-2</v>
      </c>
      <c r="CG71" s="228">
        <v>61</v>
      </c>
      <c r="CH71" s="228">
        <v>50</v>
      </c>
      <c r="CI71" s="228">
        <v>11</v>
      </c>
      <c r="CJ71" s="229">
        <v>0.21609999999999999</v>
      </c>
      <c r="CK71" s="228">
        <v>49</v>
      </c>
      <c r="CL71" s="228">
        <v>7</v>
      </c>
      <c r="CM71" s="228">
        <v>41</v>
      </c>
      <c r="CN71" s="229">
        <v>5.5364000000000004</v>
      </c>
      <c r="CO71" s="228">
        <v>379</v>
      </c>
      <c r="CP71" s="228">
        <v>373</v>
      </c>
      <c r="CQ71" s="228">
        <v>6</v>
      </c>
      <c r="CR71" s="229">
        <v>1.6E-2</v>
      </c>
      <c r="CS71" s="228">
        <v>283</v>
      </c>
      <c r="CT71" s="228">
        <v>278</v>
      </c>
      <c r="CU71" s="228">
        <v>5</v>
      </c>
      <c r="CV71" s="229">
        <v>1.9E-2</v>
      </c>
      <c r="CW71" s="230">
        <v>1969</v>
      </c>
      <c r="CX71" s="230">
        <v>1935</v>
      </c>
      <c r="CY71" s="228">
        <v>35</v>
      </c>
      <c r="CZ71" s="229">
        <v>1.7899999999999999E-2</v>
      </c>
      <c r="DA71" s="228">
        <v>37.369999999999997</v>
      </c>
      <c r="DB71" s="228">
        <v>37.21</v>
      </c>
      <c r="DC71" s="228">
        <v>0.16</v>
      </c>
      <c r="DD71" s="228">
        <v>0.16</v>
      </c>
      <c r="DE71" s="228">
        <v>41.52</v>
      </c>
      <c r="DF71" s="228">
        <v>41.63</v>
      </c>
      <c r="DG71" s="228">
        <v>-4.1500000000000004</v>
      </c>
      <c r="DH71" s="228">
        <v>-0.11</v>
      </c>
      <c r="DI71" s="228">
        <v>36.799999999999997</v>
      </c>
      <c r="DJ71" s="228">
        <v>36.78</v>
      </c>
      <c r="DK71" s="228">
        <v>0.02</v>
      </c>
      <c r="DL71" s="228">
        <v>0.02</v>
      </c>
      <c r="DM71" s="228">
        <v>38.5</v>
      </c>
      <c r="DN71" s="228">
        <v>37.83</v>
      </c>
      <c r="DO71" s="228">
        <v>0.67</v>
      </c>
      <c r="DP71" s="228">
        <v>0.67</v>
      </c>
      <c r="DQ71" s="228">
        <v>0.75</v>
      </c>
      <c r="DR71" s="228">
        <v>0.75</v>
      </c>
      <c r="DS71" s="228">
        <v>0</v>
      </c>
      <c r="DT71" s="229">
        <v>0</v>
      </c>
      <c r="DU71" s="228">
        <v>100</v>
      </c>
      <c r="DV71" s="228">
        <v>95</v>
      </c>
      <c r="DW71" s="228">
        <v>0.5</v>
      </c>
      <c r="DX71" s="228">
        <v>0.71</v>
      </c>
      <c r="DY71" s="228">
        <v>-0.21</v>
      </c>
      <c r="DZ71" s="229">
        <v>-0.29580000000000001</v>
      </c>
      <c r="EA71" s="229">
        <v>8.43E-2</v>
      </c>
      <c r="EB71" s="230">
        <v>5963625</v>
      </c>
      <c r="EC71" s="229">
        <v>4.8999999999999998E-3</v>
      </c>
      <c r="ED71" s="229">
        <v>8.43E-2</v>
      </c>
      <c r="EE71" s="228">
        <v>0.67</v>
      </c>
      <c r="EF71" s="229">
        <v>6.8999999999999999E-3</v>
      </c>
      <c r="EG71" s="230">
        <v>6716307</v>
      </c>
      <c r="EH71" s="230">
        <v>4099992</v>
      </c>
      <c r="EI71" s="229">
        <v>0.6381</v>
      </c>
      <c r="EJ71" s="229">
        <v>0.58979999999999999</v>
      </c>
      <c r="EK71" s="228">
        <v>265.33999999999997</v>
      </c>
      <c r="EL71" s="228">
        <v>124.36</v>
      </c>
      <c r="EM71" s="228">
        <v>221.86</v>
      </c>
      <c r="EN71" s="228">
        <v>27.99</v>
      </c>
      <c r="EO71" s="228">
        <v>611.55999999999995</v>
      </c>
      <c r="EP71" s="228">
        <v>851.99</v>
      </c>
      <c r="EQ71" s="228">
        <v>-240.43</v>
      </c>
      <c r="ER71" s="229">
        <v>-0.28220000000000001</v>
      </c>
      <c r="ES71" s="228">
        <v>385.38</v>
      </c>
      <c r="ET71" s="228">
        <v>267.27999999999997</v>
      </c>
      <c r="EU71" s="231">
        <v>1307.93</v>
      </c>
      <c r="EV71" s="231">
        <v>534704421</v>
      </c>
      <c r="EW71" s="231">
        <v>1960.6</v>
      </c>
      <c r="EX71" s="231">
        <v>1921.12</v>
      </c>
      <c r="EY71" s="228">
        <v>39.479999999999997</v>
      </c>
      <c r="EZ71" s="229">
        <v>2.06E-2</v>
      </c>
      <c r="FA71" s="229">
        <v>0.37909999999999999</v>
      </c>
      <c r="FB71" s="227" t="s">
        <v>555</v>
      </c>
      <c r="FC71">
        <f t="shared" si="1"/>
        <v>110</v>
      </c>
    </row>
    <row r="72" spans="1:159" ht="17.25" thickBot="1" x14ac:dyDescent="0.3">
      <c r="A72" s="226">
        <v>46129</v>
      </c>
      <c r="B72" s="227" t="s">
        <v>168</v>
      </c>
      <c r="C72" s="227" t="s">
        <v>699</v>
      </c>
      <c r="D72" s="228">
        <v>275</v>
      </c>
      <c r="E72" s="228">
        <v>11</v>
      </c>
      <c r="F72" s="231">
        <v>2184.1999999999998</v>
      </c>
      <c r="G72" s="231">
        <v>2132.8000000000002</v>
      </c>
      <c r="H72" s="228">
        <v>51.4</v>
      </c>
      <c r="I72" s="229">
        <v>2.41E-2</v>
      </c>
      <c r="J72" s="231">
        <v>2207.6999999999998</v>
      </c>
      <c r="K72" s="231">
        <v>2124.9</v>
      </c>
      <c r="L72" s="228">
        <v>82.8</v>
      </c>
      <c r="M72" s="229">
        <v>3.9E-2</v>
      </c>
      <c r="N72" s="231">
        <v>2184.1999999999998</v>
      </c>
      <c r="O72" s="231">
        <v>2132.8000000000002</v>
      </c>
      <c r="P72" s="228">
        <v>51.4</v>
      </c>
      <c r="Q72" s="229">
        <v>2.41E-2</v>
      </c>
      <c r="R72" s="231">
        <v>2170.1999999999998</v>
      </c>
      <c r="S72" s="231">
        <v>2129.1999999999998</v>
      </c>
      <c r="T72" s="228">
        <v>41</v>
      </c>
      <c r="U72" s="229">
        <v>1.9300000000000001E-2</v>
      </c>
      <c r="V72" s="231">
        <v>2164.4</v>
      </c>
      <c r="W72" s="231">
        <v>2129.6</v>
      </c>
      <c r="X72" s="228">
        <v>34.799999999999997</v>
      </c>
      <c r="Y72" s="229">
        <v>1.6299999999999999E-2</v>
      </c>
      <c r="Z72" s="228">
        <v>-23.5</v>
      </c>
      <c r="AA72" s="228">
        <v>7.9</v>
      </c>
      <c r="AB72" s="228">
        <v>-31.4</v>
      </c>
      <c r="AC72" s="229">
        <v>-1.06E-2</v>
      </c>
      <c r="AD72" s="228">
        <v>-23.5</v>
      </c>
      <c r="AE72" s="228">
        <v>7.9</v>
      </c>
      <c r="AF72" s="228">
        <v>-31.4</v>
      </c>
      <c r="AG72" s="229">
        <v>-1.06E-2</v>
      </c>
      <c r="AH72" s="228">
        <v>-37.5</v>
      </c>
      <c r="AI72" s="228">
        <v>4.3</v>
      </c>
      <c r="AJ72" s="228">
        <v>-41.8</v>
      </c>
      <c r="AK72" s="229">
        <v>-1.7000000000000001E-2</v>
      </c>
      <c r="AL72" s="228">
        <v>-43.3</v>
      </c>
      <c r="AM72" s="228">
        <v>4.7</v>
      </c>
      <c r="AN72" s="228">
        <v>-48</v>
      </c>
      <c r="AO72" s="229">
        <v>-1.9599999999999999E-2</v>
      </c>
      <c r="AP72" s="231">
        <v>2203.75</v>
      </c>
      <c r="AQ72" s="231">
        <v>2183.25</v>
      </c>
      <c r="AR72" s="228">
        <v>0</v>
      </c>
      <c r="AS72" s="228">
        <v>358</v>
      </c>
      <c r="AT72" s="228">
        <v>146</v>
      </c>
      <c r="AU72" s="228">
        <v>212</v>
      </c>
      <c r="AV72" s="229">
        <v>1.4514</v>
      </c>
      <c r="AW72" s="228">
        <v>292</v>
      </c>
      <c r="AX72" s="228">
        <v>124</v>
      </c>
      <c r="AY72" s="228">
        <v>169</v>
      </c>
      <c r="AZ72" s="229">
        <v>1.3651</v>
      </c>
      <c r="BA72" s="228">
        <v>61</v>
      </c>
      <c r="BB72" s="228">
        <v>21</v>
      </c>
      <c r="BC72" s="228">
        <v>40</v>
      </c>
      <c r="BD72" s="229">
        <v>1.9390000000000001</v>
      </c>
      <c r="BE72" s="228">
        <v>5</v>
      </c>
      <c r="BF72" s="228">
        <v>2</v>
      </c>
      <c r="BG72" s="228">
        <v>3</v>
      </c>
      <c r="BH72" s="229">
        <v>1.7930999999999999</v>
      </c>
      <c r="BI72" s="230">
        <v>1344</v>
      </c>
      <c r="BJ72" s="228">
        <v>151</v>
      </c>
      <c r="BK72" s="230">
        <v>1193</v>
      </c>
      <c r="BL72" s="229">
        <v>7.8914999999999997</v>
      </c>
      <c r="BM72" s="228">
        <v>326</v>
      </c>
      <c r="BN72" s="228">
        <v>54</v>
      </c>
      <c r="BO72" s="228">
        <v>271</v>
      </c>
      <c r="BP72" s="229">
        <v>4.9767999999999999</v>
      </c>
      <c r="BQ72" s="230">
        <v>2027</v>
      </c>
      <c r="BR72" s="228">
        <v>352</v>
      </c>
      <c r="BS72" s="230">
        <v>1676</v>
      </c>
      <c r="BT72" s="229">
        <v>4.7660999999999998</v>
      </c>
      <c r="BU72" s="230">
        <v>3764966</v>
      </c>
      <c r="BV72" s="230">
        <v>1012902</v>
      </c>
      <c r="BW72" s="230">
        <v>2752064</v>
      </c>
      <c r="BX72" s="229">
        <v>2.7170000000000001</v>
      </c>
      <c r="BY72" s="228">
        <v>284</v>
      </c>
      <c r="BZ72" s="228">
        <v>185</v>
      </c>
      <c r="CA72" s="228">
        <v>98</v>
      </c>
      <c r="CB72" s="229">
        <v>0.53080000000000005</v>
      </c>
      <c r="CC72" s="228">
        <v>234</v>
      </c>
      <c r="CD72" s="228">
        <v>165</v>
      </c>
      <c r="CE72" s="228">
        <v>69</v>
      </c>
      <c r="CF72" s="229">
        <v>0.42159999999999997</v>
      </c>
      <c r="CG72" s="228">
        <v>44</v>
      </c>
      <c r="CH72" s="228">
        <v>17</v>
      </c>
      <c r="CI72" s="228">
        <v>27</v>
      </c>
      <c r="CJ72" s="229">
        <v>1.5979000000000001</v>
      </c>
      <c r="CK72" s="228">
        <v>6</v>
      </c>
      <c r="CL72" s="228">
        <v>4</v>
      </c>
      <c r="CM72" s="228">
        <v>2</v>
      </c>
      <c r="CN72" s="229">
        <v>0.52459999999999996</v>
      </c>
      <c r="CO72" s="228">
        <v>201</v>
      </c>
      <c r="CP72" s="228">
        <v>88</v>
      </c>
      <c r="CQ72" s="228">
        <v>113</v>
      </c>
      <c r="CR72" s="229">
        <v>1.2923</v>
      </c>
      <c r="CS72" s="228">
        <v>86</v>
      </c>
      <c r="CT72" s="228">
        <v>36</v>
      </c>
      <c r="CU72" s="228">
        <v>50</v>
      </c>
      <c r="CV72" s="229">
        <v>1.3854</v>
      </c>
      <c r="CW72" s="228">
        <v>571</v>
      </c>
      <c r="CX72" s="228">
        <v>309</v>
      </c>
      <c r="CY72" s="228">
        <v>262</v>
      </c>
      <c r="CZ72" s="229">
        <v>0.84689999999999999</v>
      </c>
      <c r="DA72" s="228">
        <v>58.05</v>
      </c>
      <c r="DB72" s="228">
        <v>55.74</v>
      </c>
      <c r="DC72" s="228">
        <v>2.31</v>
      </c>
      <c r="DD72" s="228">
        <v>2.31</v>
      </c>
      <c r="DE72" s="228">
        <v>71.28</v>
      </c>
      <c r="DF72" s="228">
        <v>71.28</v>
      </c>
      <c r="DG72" s="228">
        <v>-13.23</v>
      </c>
      <c r="DH72" s="228">
        <v>0</v>
      </c>
      <c r="DI72" s="228">
        <v>57.9</v>
      </c>
      <c r="DJ72" s="228">
        <v>53.4</v>
      </c>
      <c r="DK72" s="228">
        <v>4.5</v>
      </c>
      <c r="DL72" s="228">
        <v>4.5</v>
      </c>
      <c r="DM72" s="228">
        <v>58.66</v>
      </c>
      <c r="DN72" s="228">
        <v>62.23</v>
      </c>
      <c r="DO72" s="228">
        <v>-3.57</v>
      </c>
      <c r="DP72" s="228">
        <v>-3.57</v>
      </c>
      <c r="DQ72" s="228">
        <v>0.43</v>
      </c>
      <c r="DR72" s="228">
        <v>0.41</v>
      </c>
      <c r="DS72" s="228">
        <v>0.02</v>
      </c>
      <c r="DT72" s="229">
        <v>4.8800000000000003E-2</v>
      </c>
      <c r="DU72" s="231">
        <v>2300</v>
      </c>
      <c r="DV72" s="231">
        <v>2100</v>
      </c>
      <c r="DW72" s="228">
        <v>0.24</v>
      </c>
      <c r="DX72" s="228">
        <v>0.36</v>
      </c>
      <c r="DY72" s="228">
        <v>-0.12</v>
      </c>
      <c r="DZ72" s="229">
        <v>-0.33329999999999999</v>
      </c>
      <c r="EA72" s="229">
        <v>0.17430000000000001</v>
      </c>
      <c r="EB72" s="230">
        <v>94050</v>
      </c>
      <c r="EC72" s="229">
        <v>-6.4000000000000003E-3</v>
      </c>
      <c r="ED72" s="229">
        <v>0.17430000000000001</v>
      </c>
      <c r="EE72" s="228">
        <v>-20.5</v>
      </c>
      <c r="EF72" s="229">
        <v>-9.2999999999999992E-3</v>
      </c>
      <c r="EG72" s="230">
        <v>782089</v>
      </c>
      <c r="EH72" s="230">
        <v>255902</v>
      </c>
      <c r="EI72" s="229">
        <v>2.0562</v>
      </c>
      <c r="EJ72" s="229">
        <v>0.2077</v>
      </c>
      <c r="EK72" s="231">
        <v>1440.06</v>
      </c>
      <c r="EL72" s="228">
        <v>322.33</v>
      </c>
      <c r="EM72" s="228">
        <v>360.4</v>
      </c>
      <c r="EN72" s="228">
        <v>18.850000000000001</v>
      </c>
      <c r="EO72" s="231">
        <v>2122.79</v>
      </c>
      <c r="EP72" s="228">
        <v>345.15</v>
      </c>
      <c r="EQ72" s="231">
        <v>1777.65</v>
      </c>
      <c r="ER72" s="229">
        <v>5.1504000000000003</v>
      </c>
      <c r="ES72" s="228">
        <v>206.66</v>
      </c>
      <c r="ET72" s="228">
        <v>81.150000000000006</v>
      </c>
      <c r="EU72" s="228">
        <v>283.24</v>
      </c>
      <c r="EV72" s="231">
        <v>6329596</v>
      </c>
      <c r="EW72" s="228">
        <v>571.04999999999995</v>
      </c>
      <c r="EX72" s="228">
        <v>300.41000000000003</v>
      </c>
      <c r="EY72" s="228">
        <v>270.64</v>
      </c>
      <c r="EZ72" s="229">
        <v>0.90090000000000003</v>
      </c>
      <c r="FA72" s="229">
        <v>0.41299999999999998</v>
      </c>
      <c r="FB72" s="227" t="s">
        <v>555</v>
      </c>
      <c r="FC72">
        <f t="shared" si="1"/>
        <v>50</v>
      </c>
    </row>
    <row r="73" spans="1:159" ht="17.25" thickBot="1" x14ac:dyDescent="0.3">
      <c r="A73" s="226">
        <v>46129</v>
      </c>
      <c r="B73" s="227" t="s">
        <v>168</v>
      </c>
      <c r="C73" s="227" t="s">
        <v>217</v>
      </c>
      <c r="D73" s="228">
        <v>500</v>
      </c>
      <c r="E73" s="228">
        <v>11</v>
      </c>
      <c r="F73" s="231">
        <v>1112.6500000000001</v>
      </c>
      <c r="G73" s="231">
        <v>1084.75</v>
      </c>
      <c r="H73" s="228">
        <v>27.9</v>
      </c>
      <c r="I73" s="229">
        <v>2.5700000000000001E-2</v>
      </c>
      <c r="J73" s="231">
        <v>1109.4000000000001</v>
      </c>
      <c r="K73" s="231">
        <v>1081.1500000000001</v>
      </c>
      <c r="L73" s="228">
        <v>28.25</v>
      </c>
      <c r="M73" s="229">
        <v>2.6100000000000002E-2</v>
      </c>
      <c r="N73" s="231">
        <v>1112.6500000000001</v>
      </c>
      <c r="O73" s="231">
        <v>1084.75</v>
      </c>
      <c r="P73" s="228">
        <v>27.9</v>
      </c>
      <c r="Q73" s="229">
        <v>2.5700000000000001E-2</v>
      </c>
      <c r="R73" s="231">
        <v>1113.5999999999999</v>
      </c>
      <c r="S73" s="231">
        <v>1086.6500000000001</v>
      </c>
      <c r="T73" s="228">
        <v>26.95</v>
      </c>
      <c r="U73" s="229">
        <v>2.4799999999999999E-2</v>
      </c>
      <c r="V73" s="231">
        <v>1120.9000000000001</v>
      </c>
      <c r="W73" s="231">
        <v>1093.7</v>
      </c>
      <c r="X73" s="228">
        <v>27.2</v>
      </c>
      <c r="Y73" s="229">
        <v>2.4899999999999999E-2</v>
      </c>
      <c r="Z73" s="228">
        <v>3.25</v>
      </c>
      <c r="AA73" s="228">
        <v>3.6</v>
      </c>
      <c r="AB73" s="228">
        <v>-0.35</v>
      </c>
      <c r="AC73" s="229">
        <v>2.8999999999999998E-3</v>
      </c>
      <c r="AD73" s="228">
        <v>3.25</v>
      </c>
      <c r="AE73" s="228">
        <v>3.6</v>
      </c>
      <c r="AF73" s="228">
        <v>-0.35</v>
      </c>
      <c r="AG73" s="229">
        <v>2.8999999999999998E-3</v>
      </c>
      <c r="AH73" s="228">
        <v>4.2</v>
      </c>
      <c r="AI73" s="228">
        <v>5.5</v>
      </c>
      <c r="AJ73" s="228">
        <v>-1.3</v>
      </c>
      <c r="AK73" s="229">
        <v>3.8E-3</v>
      </c>
      <c r="AL73" s="228">
        <v>11.5</v>
      </c>
      <c r="AM73" s="228">
        <v>12.55</v>
      </c>
      <c r="AN73" s="228">
        <v>-1.05</v>
      </c>
      <c r="AO73" s="229">
        <v>1.04E-2</v>
      </c>
      <c r="AP73" s="231">
        <v>1108.1600000000001</v>
      </c>
      <c r="AQ73" s="231">
        <v>1109.22</v>
      </c>
      <c r="AR73" s="228">
        <v>0</v>
      </c>
      <c r="AS73" s="228">
        <v>429</v>
      </c>
      <c r="AT73" s="228">
        <v>79</v>
      </c>
      <c r="AU73" s="228">
        <v>350</v>
      </c>
      <c r="AV73" s="229">
        <v>4.4306000000000001</v>
      </c>
      <c r="AW73" s="228">
        <v>341</v>
      </c>
      <c r="AX73" s="228">
        <v>74</v>
      </c>
      <c r="AY73" s="228">
        <v>266</v>
      </c>
      <c r="AZ73" s="229">
        <v>3.5764999999999998</v>
      </c>
      <c r="BA73" s="228">
        <v>20</v>
      </c>
      <c r="BB73" s="228">
        <v>4</v>
      </c>
      <c r="BC73" s="228">
        <v>16</v>
      </c>
      <c r="BD73" s="229">
        <v>3.6282000000000001</v>
      </c>
      <c r="BE73" s="228">
        <v>68</v>
      </c>
      <c r="BF73" s="228">
        <v>0</v>
      </c>
      <c r="BG73" s="228">
        <v>68</v>
      </c>
      <c r="BH73" s="229">
        <v>607.5</v>
      </c>
      <c r="BI73" s="228">
        <v>498</v>
      </c>
      <c r="BJ73" s="228">
        <v>87</v>
      </c>
      <c r="BK73" s="228">
        <v>411</v>
      </c>
      <c r="BL73" s="229">
        <v>4.7542999999999997</v>
      </c>
      <c r="BM73" s="228">
        <v>180</v>
      </c>
      <c r="BN73" s="228">
        <v>48</v>
      </c>
      <c r="BO73" s="228">
        <v>132</v>
      </c>
      <c r="BP73" s="229">
        <v>2.7425000000000002</v>
      </c>
      <c r="BQ73" s="230">
        <v>1107</v>
      </c>
      <c r="BR73" s="228">
        <v>214</v>
      </c>
      <c r="BS73" s="228">
        <v>893</v>
      </c>
      <c r="BT73" s="229">
        <v>4.181</v>
      </c>
      <c r="BU73" s="230">
        <v>1788590</v>
      </c>
      <c r="BV73" s="230">
        <v>997673</v>
      </c>
      <c r="BW73" s="230">
        <v>790917</v>
      </c>
      <c r="BX73" s="229">
        <v>0.79279999999999995</v>
      </c>
      <c r="BY73" s="230">
        <v>1364</v>
      </c>
      <c r="BZ73" s="230">
        <v>1333</v>
      </c>
      <c r="CA73" s="228">
        <v>31</v>
      </c>
      <c r="CB73" s="229">
        <v>2.3199999999999998E-2</v>
      </c>
      <c r="CC73" s="230">
        <v>1275</v>
      </c>
      <c r="CD73" s="230">
        <v>1320</v>
      </c>
      <c r="CE73" s="228">
        <v>-46</v>
      </c>
      <c r="CF73" s="229">
        <v>-3.4500000000000003E-2</v>
      </c>
      <c r="CG73" s="228">
        <v>22</v>
      </c>
      <c r="CH73" s="228">
        <v>13</v>
      </c>
      <c r="CI73" s="228">
        <v>9</v>
      </c>
      <c r="CJ73" s="229">
        <v>0.71930000000000005</v>
      </c>
      <c r="CK73" s="228">
        <v>68</v>
      </c>
      <c r="CL73" s="228">
        <v>0</v>
      </c>
      <c r="CM73" s="228">
        <v>67</v>
      </c>
      <c r="CN73" s="229">
        <v>151.125</v>
      </c>
      <c r="CO73" s="228">
        <v>187</v>
      </c>
      <c r="CP73" s="228">
        <v>172</v>
      </c>
      <c r="CQ73" s="228">
        <v>16</v>
      </c>
      <c r="CR73" s="229">
        <v>9.2100000000000001E-2</v>
      </c>
      <c r="CS73" s="228">
        <v>143</v>
      </c>
      <c r="CT73" s="228">
        <v>137</v>
      </c>
      <c r="CU73" s="228">
        <v>6</v>
      </c>
      <c r="CV73" s="229">
        <v>4.5499999999999999E-2</v>
      </c>
      <c r="CW73" s="230">
        <v>1695</v>
      </c>
      <c r="CX73" s="230">
        <v>1642</v>
      </c>
      <c r="CY73" s="228">
        <v>53</v>
      </c>
      <c r="CZ73" s="229">
        <v>3.2199999999999999E-2</v>
      </c>
      <c r="DA73" s="228">
        <v>28.9</v>
      </c>
      <c r="DB73" s="228">
        <v>32.19</v>
      </c>
      <c r="DC73" s="228">
        <v>-3.29</v>
      </c>
      <c r="DD73" s="228">
        <v>-3.29</v>
      </c>
      <c r="DE73" s="228">
        <v>30.4</v>
      </c>
      <c r="DF73" s="228">
        <v>30.28</v>
      </c>
      <c r="DG73" s="228">
        <v>-1.5</v>
      </c>
      <c r="DH73" s="228">
        <v>0.12</v>
      </c>
      <c r="DI73" s="228">
        <v>27.63</v>
      </c>
      <c r="DJ73" s="228">
        <v>30.86</v>
      </c>
      <c r="DK73" s="228">
        <v>-3.23</v>
      </c>
      <c r="DL73" s="228">
        <v>-3.23</v>
      </c>
      <c r="DM73" s="228">
        <v>32.42</v>
      </c>
      <c r="DN73" s="228">
        <v>34.58</v>
      </c>
      <c r="DO73" s="228">
        <v>-2.16</v>
      </c>
      <c r="DP73" s="228">
        <v>-2.16</v>
      </c>
      <c r="DQ73" s="228">
        <v>0.76</v>
      </c>
      <c r="DR73" s="228">
        <v>0.8</v>
      </c>
      <c r="DS73" s="228">
        <v>-0.04</v>
      </c>
      <c r="DT73" s="229">
        <v>-0.05</v>
      </c>
      <c r="DU73" s="231">
        <v>1160</v>
      </c>
      <c r="DV73" s="231">
        <v>1080</v>
      </c>
      <c r="DW73" s="228">
        <v>0.36</v>
      </c>
      <c r="DX73" s="228">
        <v>0.56000000000000005</v>
      </c>
      <c r="DY73" s="228">
        <v>-0.2</v>
      </c>
      <c r="DZ73" s="229">
        <v>-0.35709999999999997</v>
      </c>
      <c r="EA73" s="229">
        <v>6.5600000000000006E-2</v>
      </c>
      <c r="EB73" s="230">
        <v>118000</v>
      </c>
      <c r="EC73" s="229">
        <v>8.9999999999999998E-4</v>
      </c>
      <c r="ED73" s="229">
        <v>6.5600000000000006E-2</v>
      </c>
      <c r="EE73" s="228">
        <v>1.06</v>
      </c>
      <c r="EF73" s="229">
        <v>1E-3</v>
      </c>
      <c r="EG73" s="230">
        <v>1164476</v>
      </c>
      <c r="EH73" s="230">
        <v>655903</v>
      </c>
      <c r="EI73" s="229">
        <v>0.77539999999999998</v>
      </c>
      <c r="EJ73" s="229">
        <v>0.65110000000000001</v>
      </c>
      <c r="EK73" s="228">
        <v>510.56</v>
      </c>
      <c r="EL73" s="228">
        <v>173.95</v>
      </c>
      <c r="EM73" s="228">
        <v>427.76</v>
      </c>
      <c r="EN73" s="228">
        <v>19.86</v>
      </c>
      <c r="EO73" s="231">
        <v>1112.27</v>
      </c>
      <c r="EP73" s="228">
        <v>211.17</v>
      </c>
      <c r="EQ73" s="228">
        <v>901.1</v>
      </c>
      <c r="ER73" s="229">
        <v>4.2671999999999999</v>
      </c>
      <c r="ES73" s="228">
        <v>186.85</v>
      </c>
      <c r="ET73" s="228">
        <v>132.09</v>
      </c>
      <c r="EU73" s="231">
        <v>1364.69</v>
      </c>
      <c r="EV73" s="231">
        <v>53250524</v>
      </c>
      <c r="EW73" s="231">
        <v>1683.63</v>
      </c>
      <c r="EX73" s="231">
        <v>1594.87</v>
      </c>
      <c r="EY73" s="228">
        <v>88.76</v>
      </c>
      <c r="EZ73" s="229">
        <v>5.57E-2</v>
      </c>
      <c r="FA73" s="229">
        <v>0.28599999999999998</v>
      </c>
      <c r="FB73" s="227" t="s">
        <v>555</v>
      </c>
      <c r="FC73">
        <f t="shared" si="1"/>
        <v>89</v>
      </c>
    </row>
    <row r="74" spans="1:159" ht="17.25" thickBot="1" x14ac:dyDescent="0.3">
      <c r="A74" s="226">
        <v>46129</v>
      </c>
      <c r="B74" s="227" t="s">
        <v>206</v>
      </c>
      <c r="C74" s="227" t="s">
        <v>218</v>
      </c>
      <c r="D74" s="228">
        <v>275</v>
      </c>
      <c r="E74" s="228">
        <v>11</v>
      </c>
      <c r="F74" s="231">
        <v>1764</v>
      </c>
      <c r="G74" s="231">
        <v>1748.6</v>
      </c>
      <c r="H74" s="228">
        <v>15.4</v>
      </c>
      <c r="I74" s="229">
        <v>8.8000000000000005E-3</v>
      </c>
      <c r="J74" s="231">
        <v>1758.8</v>
      </c>
      <c r="K74" s="231">
        <v>1747.4</v>
      </c>
      <c r="L74" s="228">
        <v>11.4</v>
      </c>
      <c r="M74" s="229">
        <v>6.4999999999999997E-3</v>
      </c>
      <c r="N74" s="231">
        <v>1764</v>
      </c>
      <c r="O74" s="231">
        <v>1748.6</v>
      </c>
      <c r="P74" s="228">
        <v>15.4</v>
      </c>
      <c r="Q74" s="229">
        <v>8.8000000000000005E-3</v>
      </c>
      <c r="R74" s="231">
        <v>1774.2</v>
      </c>
      <c r="S74" s="231">
        <v>1759.2</v>
      </c>
      <c r="T74" s="228">
        <v>15</v>
      </c>
      <c r="U74" s="229">
        <v>8.5000000000000006E-3</v>
      </c>
      <c r="V74" s="231">
        <v>1786</v>
      </c>
      <c r="W74" s="231">
        <v>1764.4</v>
      </c>
      <c r="X74" s="228">
        <v>21.6</v>
      </c>
      <c r="Y74" s="229">
        <v>1.2200000000000001E-2</v>
      </c>
      <c r="Z74" s="228">
        <v>5.2</v>
      </c>
      <c r="AA74" s="228">
        <v>1.2</v>
      </c>
      <c r="AB74" s="228">
        <v>4</v>
      </c>
      <c r="AC74" s="229">
        <v>3.0000000000000001E-3</v>
      </c>
      <c r="AD74" s="228">
        <v>5.2</v>
      </c>
      <c r="AE74" s="228">
        <v>1.2</v>
      </c>
      <c r="AF74" s="228">
        <v>4</v>
      </c>
      <c r="AG74" s="229">
        <v>3.0000000000000001E-3</v>
      </c>
      <c r="AH74" s="228">
        <v>15.4</v>
      </c>
      <c r="AI74" s="228">
        <v>11.8</v>
      </c>
      <c r="AJ74" s="228">
        <v>3.6</v>
      </c>
      <c r="AK74" s="229">
        <v>8.8000000000000005E-3</v>
      </c>
      <c r="AL74" s="228">
        <v>27.2</v>
      </c>
      <c r="AM74" s="228">
        <v>17</v>
      </c>
      <c r="AN74" s="228">
        <v>10.199999999999999</v>
      </c>
      <c r="AO74" s="229">
        <v>1.55E-2</v>
      </c>
      <c r="AP74" s="231">
        <v>1759.33</v>
      </c>
      <c r="AQ74" s="231">
        <v>1768.54</v>
      </c>
      <c r="AR74" s="228">
        <v>0</v>
      </c>
      <c r="AS74" s="228">
        <v>155</v>
      </c>
      <c r="AT74" s="228">
        <v>178</v>
      </c>
      <c r="AU74" s="228">
        <v>-24</v>
      </c>
      <c r="AV74" s="229">
        <v>-0.1343</v>
      </c>
      <c r="AW74" s="228">
        <v>138</v>
      </c>
      <c r="AX74" s="228">
        <v>164</v>
      </c>
      <c r="AY74" s="228">
        <v>-26</v>
      </c>
      <c r="AZ74" s="229">
        <v>-0.15720000000000001</v>
      </c>
      <c r="BA74" s="228">
        <v>15</v>
      </c>
      <c r="BB74" s="228">
        <v>13</v>
      </c>
      <c r="BC74" s="228">
        <v>2</v>
      </c>
      <c r="BD74" s="229">
        <v>0.1502</v>
      </c>
      <c r="BE74" s="228">
        <v>1</v>
      </c>
      <c r="BF74" s="228">
        <v>2</v>
      </c>
      <c r="BG74" s="228">
        <v>0</v>
      </c>
      <c r="BH74" s="229">
        <v>-0.14710000000000001</v>
      </c>
      <c r="BI74" s="228">
        <v>425</v>
      </c>
      <c r="BJ74" s="228">
        <v>425</v>
      </c>
      <c r="BK74" s="228">
        <v>-1</v>
      </c>
      <c r="BL74" s="229">
        <v>-1.5E-3</v>
      </c>
      <c r="BM74" s="228">
        <v>349</v>
      </c>
      <c r="BN74" s="228">
        <v>317</v>
      </c>
      <c r="BO74" s="228">
        <v>32</v>
      </c>
      <c r="BP74" s="229">
        <v>0.1002</v>
      </c>
      <c r="BQ74" s="228">
        <v>928</v>
      </c>
      <c r="BR74" s="228">
        <v>921</v>
      </c>
      <c r="BS74" s="228">
        <v>7</v>
      </c>
      <c r="BT74" s="229">
        <v>7.7999999999999996E-3</v>
      </c>
      <c r="BU74" s="230">
        <v>716707</v>
      </c>
      <c r="BV74" s="230">
        <v>1008355</v>
      </c>
      <c r="BW74" s="230">
        <v>-291648</v>
      </c>
      <c r="BX74" s="229">
        <v>-0.28920000000000001</v>
      </c>
      <c r="BY74" s="230">
        <v>1425</v>
      </c>
      <c r="BZ74" s="230">
        <v>1429</v>
      </c>
      <c r="CA74" s="228">
        <v>-5</v>
      </c>
      <c r="CB74" s="229">
        <v>-3.3E-3</v>
      </c>
      <c r="CC74" s="230">
        <v>1361</v>
      </c>
      <c r="CD74" s="230">
        <v>1371</v>
      </c>
      <c r="CE74" s="228">
        <v>-10</v>
      </c>
      <c r="CF74" s="229">
        <v>-7.3000000000000001E-3</v>
      </c>
      <c r="CG74" s="228">
        <v>57</v>
      </c>
      <c r="CH74" s="228">
        <v>52</v>
      </c>
      <c r="CI74" s="228">
        <v>5</v>
      </c>
      <c r="CJ74" s="229">
        <v>9.2399999999999996E-2</v>
      </c>
      <c r="CK74" s="228">
        <v>6</v>
      </c>
      <c r="CL74" s="228">
        <v>5</v>
      </c>
      <c r="CM74" s="228">
        <v>1</v>
      </c>
      <c r="CN74" s="229">
        <v>0.1</v>
      </c>
      <c r="CO74" s="228">
        <v>510</v>
      </c>
      <c r="CP74" s="228">
        <v>495</v>
      </c>
      <c r="CQ74" s="228">
        <v>15</v>
      </c>
      <c r="CR74" s="229">
        <v>3.0800000000000001E-2</v>
      </c>
      <c r="CS74" s="228">
        <v>478</v>
      </c>
      <c r="CT74" s="228">
        <v>472</v>
      </c>
      <c r="CU74" s="228">
        <v>7</v>
      </c>
      <c r="CV74" s="229">
        <v>1.38E-2</v>
      </c>
      <c r="CW74" s="230">
        <v>2413</v>
      </c>
      <c r="CX74" s="230">
        <v>2396</v>
      </c>
      <c r="CY74" s="228">
        <v>17</v>
      </c>
      <c r="CZ74" s="229">
        <v>7.1000000000000004E-3</v>
      </c>
      <c r="DA74" s="228">
        <v>39.5</v>
      </c>
      <c r="DB74" s="228">
        <v>40.61</v>
      </c>
      <c r="DC74" s="228">
        <v>-1.1100000000000001</v>
      </c>
      <c r="DD74" s="228">
        <v>-1.1100000000000001</v>
      </c>
      <c r="DE74" s="228">
        <v>45.79</v>
      </c>
      <c r="DF74" s="228">
        <v>45.89</v>
      </c>
      <c r="DG74" s="228">
        <v>-6.29</v>
      </c>
      <c r="DH74" s="228">
        <v>-0.1</v>
      </c>
      <c r="DI74" s="228">
        <v>35.31</v>
      </c>
      <c r="DJ74" s="228">
        <v>36.979999999999997</v>
      </c>
      <c r="DK74" s="228">
        <v>-1.67</v>
      </c>
      <c r="DL74" s="228">
        <v>-1.67</v>
      </c>
      <c r="DM74" s="228">
        <v>44.59</v>
      </c>
      <c r="DN74" s="228">
        <v>45.47</v>
      </c>
      <c r="DO74" s="228">
        <v>-0.88</v>
      </c>
      <c r="DP74" s="228">
        <v>-0.88</v>
      </c>
      <c r="DQ74" s="228">
        <v>0.94</v>
      </c>
      <c r="DR74" s="228">
        <v>0.95</v>
      </c>
      <c r="DS74" s="228">
        <v>-0.01</v>
      </c>
      <c r="DT74" s="229">
        <v>-1.0500000000000001E-2</v>
      </c>
      <c r="DU74" s="231">
        <v>1700</v>
      </c>
      <c r="DV74" s="231">
        <v>1700</v>
      </c>
      <c r="DW74" s="228">
        <v>0.82</v>
      </c>
      <c r="DX74" s="228">
        <v>0.75</v>
      </c>
      <c r="DY74" s="228">
        <v>7.0000000000000007E-2</v>
      </c>
      <c r="DZ74" s="229">
        <v>9.3299999999999994E-2</v>
      </c>
      <c r="EA74" s="229">
        <v>4.4400000000000002E-2</v>
      </c>
      <c r="EB74" s="230">
        <v>327800</v>
      </c>
      <c r="EC74" s="229">
        <v>5.7999999999999996E-3</v>
      </c>
      <c r="ED74" s="229">
        <v>4.4400000000000002E-2</v>
      </c>
      <c r="EE74" s="228">
        <v>9.2100000000000009</v>
      </c>
      <c r="EF74" s="229">
        <v>5.1999999999999998E-3</v>
      </c>
      <c r="EG74" s="230">
        <v>298079</v>
      </c>
      <c r="EH74" s="230">
        <v>485637</v>
      </c>
      <c r="EI74" s="229">
        <v>-0.38619999999999999</v>
      </c>
      <c r="EJ74" s="229">
        <v>0.41589999999999999</v>
      </c>
      <c r="EK74" s="228">
        <v>440.26</v>
      </c>
      <c r="EL74" s="228">
        <v>328.95</v>
      </c>
      <c r="EM74" s="228">
        <v>154.19</v>
      </c>
      <c r="EN74" s="228">
        <v>42.46</v>
      </c>
      <c r="EO74" s="228">
        <v>923.41</v>
      </c>
      <c r="EP74" s="228">
        <v>917.15</v>
      </c>
      <c r="EQ74" s="228">
        <v>6.26</v>
      </c>
      <c r="ER74" s="229">
        <v>6.7999999999999996E-3</v>
      </c>
      <c r="ES74" s="228">
        <v>501.2</v>
      </c>
      <c r="ET74" s="228">
        <v>431.41</v>
      </c>
      <c r="EU74" s="231">
        <v>1425</v>
      </c>
      <c r="EV74" s="231">
        <v>23870110</v>
      </c>
      <c r="EW74" s="231">
        <v>2357.61</v>
      </c>
      <c r="EX74" s="231">
        <v>2327.08</v>
      </c>
      <c r="EY74" s="228">
        <v>30.53</v>
      </c>
      <c r="EZ74" s="229">
        <v>1.3100000000000001E-2</v>
      </c>
      <c r="FA74" s="229">
        <v>0.57310000000000005</v>
      </c>
      <c r="FB74" s="227" t="s">
        <v>693</v>
      </c>
      <c r="FC74">
        <f t="shared" si="1"/>
        <v>64</v>
      </c>
    </row>
    <row r="75" spans="1:159" ht="17.25" thickBot="1" x14ac:dyDescent="0.3">
      <c r="A75" s="226">
        <v>46129</v>
      </c>
      <c r="B75" s="227" t="s">
        <v>157</v>
      </c>
      <c r="C75" s="227" t="s">
        <v>219</v>
      </c>
      <c r="D75" s="228">
        <v>250</v>
      </c>
      <c r="E75" s="228">
        <v>11</v>
      </c>
      <c r="F75" s="231">
        <v>2726.6</v>
      </c>
      <c r="G75" s="231">
        <v>2723.8</v>
      </c>
      <c r="H75" s="228">
        <v>2.8</v>
      </c>
      <c r="I75" s="229">
        <v>1E-3</v>
      </c>
      <c r="J75" s="231">
        <v>2720.5</v>
      </c>
      <c r="K75" s="231">
        <v>2717.3</v>
      </c>
      <c r="L75" s="228">
        <v>3.2</v>
      </c>
      <c r="M75" s="229">
        <v>1.1999999999999999E-3</v>
      </c>
      <c r="N75" s="231">
        <v>2726.6</v>
      </c>
      <c r="O75" s="231">
        <v>2723.8</v>
      </c>
      <c r="P75" s="228">
        <v>2.8</v>
      </c>
      <c r="Q75" s="229">
        <v>1E-3</v>
      </c>
      <c r="R75" s="231">
        <v>2739.8</v>
      </c>
      <c r="S75" s="231">
        <v>2739.2</v>
      </c>
      <c r="T75" s="228">
        <v>0.6</v>
      </c>
      <c r="U75" s="229">
        <v>2.0000000000000001E-4</v>
      </c>
      <c r="V75" s="231">
        <v>2753.7</v>
      </c>
      <c r="W75" s="231">
        <v>2755.6</v>
      </c>
      <c r="X75" s="228">
        <v>-1.9</v>
      </c>
      <c r="Y75" s="229">
        <v>-6.9999999999999999E-4</v>
      </c>
      <c r="Z75" s="228">
        <v>6.1</v>
      </c>
      <c r="AA75" s="228">
        <v>6.5</v>
      </c>
      <c r="AB75" s="228">
        <v>-0.4</v>
      </c>
      <c r="AC75" s="229">
        <v>2.2000000000000001E-3</v>
      </c>
      <c r="AD75" s="228">
        <v>6.1</v>
      </c>
      <c r="AE75" s="228">
        <v>6.5</v>
      </c>
      <c r="AF75" s="228">
        <v>-0.4</v>
      </c>
      <c r="AG75" s="229">
        <v>2.2000000000000001E-3</v>
      </c>
      <c r="AH75" s="228">
        <v>19.3</v>
      </c>
      <c r="AI75" s="228">
        <v>21.9</v>
      </c>
      <c r="AJ75" s="228">
        <v>-2.6</v>
      </c>
      <c r="AK75" s="229">
        <v>7.1000000000000004E-3</v>
      </c>
      <c r="AL75" s="228">
        <v>33.200000000000003</v>
      </c>
      <c r="AM75" s="228">
        <v>38.299999999999997</v>
      </c>
      <c r="AN75" s="228">
        <v>-5.0999999999999996</v>
      </c>
      <c r="AO75" s="229">
        <v>1.2200000000000001E-2</v>
      </c>
      <c r="AP75" s="231">
        <v>2726.43</v>
      </c>
      <c r="AQ75" s="231">
        <v>2742.2</v>
      </c>
      <c r="AR75" s="228">
        <v>0</v>
      </c>
      <c r="AS75" s="228">
        <v>136</v>
      </c>
      <c r="AT75" s="230">
        <v>1016</v>
      </c>
      <c r="AU75" s="228">
        <v>-880</v>
      </c>
      <c r="AV75" s="229">
        <v>-0.86650000000000005</v>
      </c>
      <c r="AW75" s="228">
        <v>115</v>
      </c>
      <c r="AX75" s="228">
        <v>586</v>
      </c>
      <c r="AY75" s="228">
        <v>-471</v>
      </c>
      <c r="AZ75" s="229">
        <v>-0.80430000000000001</v>
      </c>
      <c r="BA75" s="228">
        <v>18</v>
      </c>
      <c r="BB75" s="228">
        <v>362</v>
      </c>
      <c r="BC75" s="228">
        <v>-344</v>
      </c>
      <c r="BD75" s="229">
        <v>-0.95009999999999994</v>
      </c>
      <c r="BE75" s="228">
        <v>3</v>
      </c>
      <c r="BF75" s="228">
        <v>68</v>
      </c>
      <c r="BG75" s="228">
        <v>-65</v>
      </c>
      <c r="BH75" s="229">
        <v>-0.95709999999999995</v>
      </c>
      <c r="BI75" s="228">
        <v>341</v>
      </c>
      <c r="BJ75" s="228">
        <v>829</v>
      </c>
      <c r="BK75" s="228">
        <v>-488</v>
      </c>
      <c r="BL75" s="229">
        <v>-0.58909999999999996</v>
      </c>
      <c r="BM75" s="228">
        <v>142</v>
      </c>
      <c r="BN75" s="228">
        <v>464</v>
      </c>
      <c r="BO75" s="228">
        <v>-322</v>
      </c>
      <c r="BP75" s="229">
        <v>-0.6946</v>
      </c>
      <c r="BQ75" s="228">
        <v>618</v>
      </c>
      <c r="BR75" s="230">
        <v>2309</v>
      </c>
      <c r="BS75" s="230">
        <v>-1691</v>
      </c>
      <c r="BT75" s="229">
        <v>-0.73229999999999995</v>
      </c>
      <c r="BU75" s="230">
        <v>442157</v>
      </c>
      <c r="BV75" s="230">
        <v>816612</v>
      </c>
      <c r="BW75" s="230">
        <v>-374455</v>
      </c>
      <c r="BX75" s="229">
        <v>-0.45850000000000002</v>
      </c>
      <c r="BY75" s="230">
        <v>3858</v>
      </c>
      <c r="BZ75" s="230">
        <v>3837</v>
      </c>
      <c r="CA75" s="228">
        <v>20</v>
      </c>
      <c r="CB75" s="229">
        <v>5.3E-3</v>
      </c>
      <c r="CC75" s="230">
        <v>3332</v>
      </c>
      <c r="CD75" s="230">
        <v>3321</v>
      </c>
      <c r="CE75" s="228">
        <v>11</v>
      </c>
      <c r="CF75" s="229">
        <v>3.3999999999999998E-3</v>
      </c>
      <c r="CG75" s="228">
        <v>425</v>
      </c>
      <c r="CH75" s="228">
        <v>417</v>
      </c>
      <c r="CI75" s="228">
        <v>8</v>
      </c>
      <c r="CJ75" s="229">
        <v>1.9300000000000001E-2</v>
      </c>
      <c r="CK75" s="228">
        <v>100</v>
      </c>
      <c r="CL75" s="228">
        <v>100</v>
      </c>
      <c r="CM75" s="228">
        <v>1</v>
      </c>
      <c r="CN75" s="229">
        <v>8.2000000000000007E-3</v>
      </c>
      <c r="CO75" s="228">
        <v>464</v>
      </c>
      <c r="CP75" s="228">
        <v>477</v>
      </c>
      <c r="CQ75" s="228">
        <v>-13</v>
      </c>
      <c r="CR75" s="229">
        <v>-2.69E-2</v>
      </c>
      <c r="CS75" s="228">
        <v>337</v>
      </c>
      <c r="CT75" s="228">
        <v>349</v>
      </c>
      <c r="CU75" s="228">
        <v>-13</v>
      </c>
      <c r="CV75" s="229">
        <v>-3.6299999999999999E-2</v>
      </c>
      <c r="CW75" s="230">
        <v>4658</v>
      </c>
      <c r="CX75" s="230">
        <v>4663</v>
      </c>
      <c r="CY75" s="228">
        <v>-5</v>
      </c>
      <c r="CZ75" s="229">
        <v>-1.1000000000000001E-3</v>
      </c>
      <c r="DA75" s="228">
        <v>26.85</v>
      </c>
      <c r="DB75" s="228">
        <v>28.24</v>
      </c>
      <c r="DC75" s="228">
        <v>-1.39</v>
      </c>
      <c r="DD75" s="228">
        <v>-1.39</v>
      </c>
      <c r="DE75" s="228">
        <v>28.37</v>
      </c>
      <c r="DF75" s="228">
        <v>28.44</v>
      </c>
      <c r="DG75" s="228">
        <v>-1.52</v>
      </c>
      <c r="DH75" s="228">
        <v>-7.0000000000000007E-2</v>
      </c>
      <c r="DI75" s="228">
        <v>26.37</v>
      </c>
      <c r="DJ75" s="228">
        <v>27.85</v>
      </c>
      <c r="DK75" s="228">
        <v>-1.48</v>
      </c>
      <c r="DL75" s="228">
        <v>-1.48</v>
      </c>
      <c r="DM75" s="228">
        <v>28</v>
      </c>
      <c r="DN75" s="228">
        <v>28.94</v>
      </c>
      <c r="DO75" s="228">
        <v>-0.94</v>
      </c>
      <c r="DP75" s="228">
        <v>-0.94</v>
      </c>
      <c r="DQ75" s="228">
        <v>0.73</v>
      </c>
      <c r="DR75" s="228">
        <v>0.73</v>
      </c>
      <c r="DS75" s="228">
        <v>0</v>
      </c>
      <c r="DT75" s="229">
        <v>0</v>
      </c>
      <c r="DU75" s="231">
        <v>2800</v>
      </c>
      <c r="DV75" s="231">
        <v>2600</v>
      </c>
      <c r="DW75" s="228">
        <v>0.42</v>
      </c>
      <c r="DX75" s="228">
        <v>0.56000000000000005</v>
      </c>
      <c r="DY75" s="228">
        <v>-0.14000000000000001</v>
      </c>
      <c r="DZ75" s="229">
        <v>-0.25</v>
      </c>
      <c r="EA75" s="229">
        <v>0.13619999999999999</v>
      </c>
      <c r="EB75" s="230">
        <v>1894250</v>
      </c>
      <c r="EC75" s="229">
        <v>4.7999999999999996E-3</v>
      </c>
      <c r="ED75" s="229">
        <v>0.13619999999999999</v>
      </c>
      <c r="EE75" s="228">
        <v>15.77</v>
      </c>
      <c r="EF75" s="229">
        <v>5.7999999999999996E-3</v>
      </c>
      <c r="EG75" s="230">
        <v>248174</v>
      </c>
      <c r="EH75" s="230">
        <v>489939</v>
      </c>
      <c r="EI75" s="229">
        <v>-0.49349999999999999</v>
      </c>
      <c r="EJ75" s="229">
        <v>0.56130000000000002</v>
      </c>
      <c r="EK75" s="228">
        <v>350.81</v>
      </c>
      <c r="EL75" s="228">
        <v>140.94999999999999</v>
      </c>
      <c r="EM75" s="228">
        <v>135.77000000000001</v>
      </c>
      <c r="EN75" s="228">
        <v>57.53</v>
      </c>
      <c r="EO75" s="228">
        <v>627.54</v>
      </c>
      <c r="EP75" s="231">
        <v>2347.87</v>
      </c>
      <c r="EQ75" s="231">
        <v>-1720.33</v>
      </c>
      <c r="ER75" s="229">
        <v>-0.73270000000000002</v>
      </c>
      <c r="ES75" s="228">
        <v>475.49</v>
      </c>
      <c r="ET75" s="228">
        <v>318.85000000000002</v>
      </c>
      <c r="EU75" s="231">
        <v>3860.79</v>
      </c>
      <c r="EV75" s="231">
        <v>38401443</v>
      </c>
      <c r="EW75" s="231">
        <v>4655.12</v>
      </c>
      <c r="EX75" s="231">
        <v>4654.59</v>
      </c>
      <c r="EY75" s="228">
        <v>0.53</v>
      </c>
      <c r="EZ75" s="229">
        <v>1E-4</v>
      </c>
      <c r="FA75" s="229">
        <v>0.44490000000000002</v>
      </c>
      <c r="FB75" s="227" t="s">
        <v>555</v>
      </c>
      <c r="FC75">
        <f t="shared" si="1"/>
        <v>526</v>
      </c>
    </row>
    <row r="76" spans="1:159" ht="17.25" thickBot="1" x14ac:dyDescent="0.3">
      <c r="A76" s="226">
        <v>46129</v>
      </c>
      <c r="B76" s="227" t="s">
        <v>184</v>
      </c>
      <c r="C76" s="227" t="s">
        <v>513</v>
      </c>
      <c r="D76" s="228">
        <v>150</v>
      </c>
      <c r="E76" s="228">
        <v>11</v>
      </c>
      <c r="F76" s="231">
        <v>4393.3</v>
      </c>
      <c r="G76" s="231">
        <v>4376.3999999999996</v>
      </c>
      <c r="H76" s="228">
        <v>16.899999999999999</v>
      </c>
      <c r="I76" s="229">
        <v>3.8999999999999998E-3</v>
      </c>
      <c r="J76" s="231">
        <v>4388.1000000000004</v>
      </c>
      <c r="K76" s="231">
        <v>4363.3999999999996</v>
      </c>
      <c r="L76" s="228">
        <v>24.7</v>
      </c>
      <c r="M76" s="229">
        <v>5.7000000000000002E-3</v>
      </c>
      <c r="N76" s="231">
        <v>4393.3</v>
      </c>
      <c r="O76" s="231">
        <v>4376.3999999999996</v>
      </c>
      <c r="P76" s="228">
        <v>16.899999999999999</v>
      </c>
      <c r="Q76" s="229">
        <v>3.8999999999999998E-3</v>
      </c>
      <c r="R76" s="231">
        <v>4418.6000000000004</v>
      </c>
      <c r="S76" s="231">
        <v>4402.1000000000004</v>
      </c>
      <c r="T76" s="228">
        <v>16.5</v>
      </c>
      <c r="U76" s="229">
        <v>3.7000000000000002E-3</v>
      </c>
      <c r="V76" s="231">
        <v>4445</v>
      </c>
      <c r="W76" s="231">
        <v>4426.3999999999996</v>
      </c>
      <c r="X76" s="228">
        <v>18.600000000000001</v>
      </c>
      <c r="Y76" s="229">
        <v>4.1999999999999997E-3</v>
      </c>
      <c r="Z76" s="228">
        <v>5.2</v>
      </c>
      <c r="AA76" s="228">
        <v>13</v>
      </c>
      <c r="AB76" s="228">
        <v>-7.8</v>
      </c>
      <c r="AC76" s="229">
        <v>1.1999999999999999E-3</v>
      </c>
      <c r="AD76" s="228">
        <v>5.2</v>
      </c>
      <c r="AE76" s="228">
        <v>13</v>
      </c>
      <c r="AF76" s="228">
        <v>-7.8</v>
      </c>
      <c r="AG76" s="229">
        <v>1.1999999999999999E-3</v>
      </c>
      <c r="AH76" s="228">
        <v>30.5</v>
      </c>
      <c r="AI76" s="228">
        <v>38.700000000000003</v>
      </c>
      <c r="AJ76" s="228">
        <v>-8.1999999999999993</v>
      </c>
      <c r="AK76" s="229">
        <v>7.0000000000000001E-3</v>
      </c>
      <c r="AL76" s="228">
        <v>56.9</v>
      </c>
      <c r="AM76" s="228">
        <v>63</v>
      </c>
      <c r="AN76" s="228">
        <v>-6.1</v>
      </c>
      <c r="AO76" s="229">
        <v>1.2999999999999999E-2</v>
      </c>
      <c r="AP76" s="231">
        <v>4382.28</v>
      </c>
      <c r="AQ76" s="231">
        <v>4408.37</v>
      </c>
      <c r="AR76" s="228">
        <v>0</v>
      </c>
      <c r="AS76" s="228">
        <v>411</v>
      </c>
      <c r="AT76" s="230">
        <v>1129</v>
      </c>
      <c r="AU76" s="228">
        <v>-718</v>
      </c>
      <c r="AV76" s="229">
        <v>-0.63600000000000001</v>
      </c>
      <c r="AW76" s="228">
        <v>319</v>
      </c>
      <c r="AX76" s="228">
        <v>913</v>
      </c>
      <c r="AY76" s="228">
        <v>-593</v>
      </c>
      <c r="AZ76" s="229">
        <v>-0.65</v>
      </c>
      <c r="BA76" s="228">
        <v>82</v>
      </c>
      <c r="BB76" s="228">
        <v>129</v>
      </c>
      <c r="BC76" s="228">
        <v>-47</v>
      </c>
      <c r="BD76" s="229">
        <v>-0.36299999999999999</v>
      </c>
      <c r="BE76" s="228">
        <v>9</v>
      </c>
      <c r="BF76" s="228">
        <v>88</v>
      </c>
      <c r="BG76" s="228">
        <v>-78</v>
      </c>
      <c r="BH76" s="229">
        <v>-0.89190000000000003</v>
      </c>
      <c r="BI76" s="230">
        <v>2083</v>
      </c>
      <c r="BJ76" s="230">
        <v>6646</v>
      </c>
      <c r="BK76" s="230">
        <v>-4563</v>
      </c>
      <c r="BL76" s="229">
        <v>-0.68659999999999999</v>
      </c>
      <c r="BM76" s="230">
        <v>1351</v>
      </c>
      <c r="BN76" s="230">
        <v>2908</v>
      </c>
      <c r="BO76" s="230">
        <v>-1557</v>
      </c>
      <c r="BP76" s="229">
        <v>-0.53549999999999998</v>
      </c>
      <c r="BQ76" s="230">
        <v>3844</v>
      </c>
      <c r="BR76" s="230">
        <v>10683</v>
      </c>
      <c r="BS76" s="230">
        <v>-6839</v>
      </c>
      <c r="BT76" s="229">
        <v>-0.6401</v>
      </c>
      <c r="BU76" s="230">
        <v>1136732</v>
      </c>
      <c r="BV76" s="230">
        <v>2514113</v>
      </c>
      <c r="BW76" s="230">
        <v>-1377381</v>
      </c>
      <c r="BX76" s="229">
        <v>-0.54790000000000005</v>
      </c>
      <c r="BY76" s="230">
        <v>3318</v>
      </c>
      <c r="BZ76" s="230">
        <v>3343</v>
      </c>
      <c r="CA76" s="228">
        <v>-26</v>
      </c>
      <c r="CB76" s="229">
        <v>-7.7000000000000002E-3</v>
      </c>
      <c r="CC76" s="230">
        <v>2940</v>
      </c>
      <c r="CD76" s="230">
        <v>2997</v>
      </c>
      <c r="CE76" s="228">
        <v>-57</v>
      </c>
      <c r="CF76" s="229">
        <v>-1.89E-2</v>
      </c>
      <c r="CG76" s="228">
        <v>281</v>
      </c>
      <c r="CH76" s="228">
        <v>252</v>
      </c>
      <c r="CI76" s="228">
        <v>28</v>
      </c>
      <c r="CJ76" s="229">
        <v>0.112</v>
      </c>
      <c r="CK76" s="228">
        <v>97</v>
      </c>
      <c r="CL76" s="228">
        <v>94</v>
      </c>
      <c r="CM76" s="228">
        <v>3</v>
      </c>
      <c r="CN76" s="229">
        <v>2.9499999999999998E-2</v>
      </c>
      <c r="CO76" s="230">
        <v>1540</v>
      </c>
      <c r="CP76" s="230">
        <v>1551</v>
      </c>
      <c r="CQ76" s="228">
        <v>-11</v>
      </c>
      <c r="CR76" s="229">
        <v>-6.7999999999999996E-3</v>
      </c>
      <c r="CS76" s="230">
        <v>1462</v>
      </c>
      <c r="CT76" s="230">
        <v>1483</v>
      </c>
      <c r="CU76" s="228">
        <v>-21</v>
      </c>
      <c r="CV76" s="229">
        <v>-1.43E-2</v>
      </c>
      <c r="CW76" s="230">
        <v>6319</v>
      </c>
      <c r="CX76" s="230">
        <v>6377</v>
      </c>
      <c r="CY76" s="228">
        <v>-57</v>
      </c>
      <c r="CZ76" s="229">
        <v>-8.9999999999999993E-3</v>
      </c>
      <c r="DA76" s="228">
        <v>32.08</v>
      </c>
      <c r="DB76" s="228">
        <v>32.35</v>
      </c>
      <c r="DC76" s="228">
        <v>-0.27</v>
      </c>
      <c r="DD76" s="228">
        <v>-0.27</v>
      </c>
      <c r="DE76" s="228">
        <v>39.18</v>
      </c>
      <c r="DF76" s="228">
        <v>39.28</v>
      </c>
      <c r="DG76" s="228">
        <v>-7.1</v>
      </c>
      <c r="DH76" s="228">
        <v>-0.1</v>
      </c>
      <c r="DI76" s="228">
        <v>30.13</v>
      </c>
      <c r="DJ76" s="228">
        <v>31.4</v>
      </c>
      <c r="DK76" s="228">
        <v>-1.27</v>
      </c>
      <c r="DL76" s="228">
        <v>-1.27</v>
      </c>
      <c r="DM76" s="228">
        <v>35.07</v>
      </c>
      <c r="DN76" s="228">
        <v>34.54</v>
      </c>
      <c r="DO76" s="228">
        <v>0.53</v>
      </c>
      <c r="DP76" s="228">
        <v>0.53</v>
      </c>
      <c r="DQ76" s="228">
        <v>0.95</v>
      </c>
      <c r="DR76" s="228">
        <v>0.96</v>
      </c>
      <c r="DS76" s="228">
        <v>-0.01</v>
      </c>
      <c r="DT76" s="229">
        <v>-1.04E-2</v>
      </c>
      <c r="DU76" s="231">
        <v>4400</v>
      </c>
      <c r="DV76" s="231">
        <v>3600</v>
      </c>
      <c r="DW76" s="228">
        <v>0.65</v>
      </c>
      <c r="DX76" s="228">
        <v>0.44</v>
      </c>
      <c r="DY76" s="228">
        <v>0.21</v>
      </c>
      <c r="DZ76" s="229">
        <v>0.4773</v>
      </c>
      <c r="EA76" s="229">
        <v>0.1137</v>
      </c>
      <c r="EB76" s="230">
        <v>788100</v>
      </c>
      <c r="EC76" s="229">
        <v>5.7999999999999996E-3</v>
      </c>
      <c r="ED76" s="229">
        <v>0.1137</v>
      </c>
      <c r="EE76" s="228">
        <v>26.09</v>
      </c>
      <c r="EF76" s="229">
        <v>6.0000000000000001E-3</v>
      </c>
      <c r="EG76" s="230">
        <v>493403</v>
      </c>
      <c r="EH76" s="230">
        <v>864217</v>
      </c>
      <c r="EI76" s="229">
        <v>-0.42909999999999998</v>
      </c>
      <c r="EJ76" s="229">
        <v>0.43409999999999999</v>
      </c>
      <c r="EK76" s="231">
        <v>2152.37</v>
      </c>
      <c r="EL76" s="231">
        <v>1296.21</v>
      </c>
      <c r="EM76" s="228">
        <v>410.65</v>
      </c>
      <c r="EN76" s="228">
        <v>100.75</v>
      </c>
      <c r="EO76" s="231">
        <v>3859.23</v>
      </c>
      <c r="EP76" s="231">
        <v>10756.5</v>
      </c>
      <c r="EQ76" s="231">
        <v>-6897.27</v>
      </c>
      <c r="ER76" s="229">
        <v>-0.64119999999999999</v>
      </c>
      <c r="ES76" s="231">
        <v>1474.62</v>
      </c>
      <c r="ET76" s="231">
        <v>1312.99</v>
      </c>
      <c r="EU76" s="231">
        <v>3320.33</v>
      </c>
      <c r="EV76" s="231">
        <v>28450886</v>
      </c>
      <c r="EW76" s="231">
        <v>6107.95</v>
      </c>
      <c r="EX76" s="231">
        <v>6137.37</v>
      </c>
      <c r="EY76" s="228">
        <v>-29.42</v>
      </c>
      <c r="EZ76" s="229">
        <v>-4.7999999999999996E-3</v>
      </c>
      <c r="FA76" s="229">
        <v>0.50560000000000005</v>
      </c>
      <c r="FB76" s="227" t="s">
        <v>693</v>
      </c>
      <c r="FC76">
        <f t="shared" si="1"/>
        <v>378</v>
      </c>
    </row>
    <row r="77" spans="1:159" ht="17.25" thickBot="1" x14ac:dyDescent="0.3">
      <c r="A77" s="226">
        <v>46129</v>
      </c>
      <c r="B77" s="227" t="s">
        <v>184</v>
      </c>
      <c r="C77" s="227" t="s">
        <v>220</v>
      </c>
      <c r="D77" s="228">
        <v>500</v>
      </c>
      <c r="E77" s="228">
        <v>11</v>
      </c>
      <c r="F77" s="231">
        <v>1309.8</v>
      </c>
      <c r="G77" s="231">
        <v>1294</v>
      </c>
      <c r="H77" s="228">
        <v>15.8</v>
      </c>
      <c r="I77" s="229">
        <v>1.2200000000000001E-2</v>
      </c>
      <c r="J77" s="231">
        <v>1306.4000000000001</v>
      </c>
      <c r="K77" s="231">
        <v>1291.0999999999999</v>
      </c>
      <c r="L77" s="228">
        <v>15.3</v>
      </c>
      <c r="M77" s="229">
        <v>1.1900000000000001E-2</v>
      </c>
      <c r="N77" s="231">
        <v>1309.8</v>
      </c>
      <c r="O77" s="231">
        <v>1294</v>
      </c>
      <c r="P77" s="228">
        <v>15.8</v>
      </c>
      <c r="Q77" s="229">
        <v>1.2200000000000001E-2</v>
      </c>
      <c r="R77" s="231">
        <v>1311.9</v>
      </c>
      <c r="S77" s="231">
        <v>1296</v>
      </c>
      <c r="T77" s="228">
        <v>15.9</v>
      </c>
      <c r="U77" s="229">
        <v>1.23E-2</v>
      </c>
      <c r="V77" s="231">
        <v>1318.1</v>
      </c>
      <c r="W77" s="231">
        <v>1301</v>
      </c>
      <c r="X77" s="228">
        <v>17.100000000000001</v>
      </c>
      <c r="Y77" s="229">
        <v>1.3100000000000001E-2</v>
      </c>
      <c r="Z77" s="228">
        <v>3.4</v>
      </c>
      <c r="AA77" s="228">
        <v>2.9</v>
      </c>
      <c r="AB77" s="228">
        <v>0.5</v>
      </c>
      <c r="AC77" s="229">
        <v>2.5999999999999999E-3</v>
      </c>
      <c r="AD77" s="228">
        <v>3.4</v>
      </c>
      <c r="AE77" s="228">
        <v>2.9</v>
      </c>
      <c r="AF77" s="228">
        <v>0.5</v>
      </c>
      <c r="AG77" s="229">
        <v>2.5999999999999999E-3</v>
      </c>
      <c r="AH77" s="228">
        <v>5.5</v>
      </c>
      <c r="AI77" s="228">
        <v>4.9000000000000004</v>
      </c>
      <c r="AJ77" s="228">
        <v>0.6</v>
      </c>
      <c r="AK77" s="229">
        <v>4.1999999999999997E-3</v>
      </c>
      <c r="AL77" s="228">
        <v>11.7</v>
      </c>
      <c r="AM77" s="228">
        <v>9.9</v>
      </c>
      <c r="AN77" s="228">
        <v>1.8</v>
      </c>
      <c r="AO77" s="229">
        <v>8.9999999999999993E-3</v>
      </c>
      <c r="AP77" s="231">
        <v>1307.57</v>
      </c>
      <c r="AQ77" s="231">
        <v>1309.3699999999999</v>
      </c>
      <c r="AR77" s="228">
        <v>0</v>
      </c>
      <c r="AS77" s="228">
        <v>209</v>
      </c>
      <c r="AT77" s="228">
        <v>340</v>
      </c>
      <c r="AU77" s="228">
        <v>-131</v>
      </c>
      <c r="AV77" s="229">
        <v>-0.38429999999999997</v>
      </c>
      <c r="AW77" s="228">
        <v>174</v>
      </c>
      <c r="AX77" s="228">
        <v>264</v>
      </c>
      <c r="AY77" s="228">
        <v>-90</v>
      </c>
      <c r="AZ77" s="229">
        <v>-0.3417</v>
      </c>
      <c r="BA77" s="228">
        <v>33</v>
      </c>
      <c r="BB77" s="228">
        <v>72</v>
      </c>
      <c r="BC77" s="228">
        <v>-39</v>
      </c>
      <c r="BD77" s="229">
        <v>-0.53969999999999996</v>
      </c>
      <c r="BE77" s="228">
        <v>3</v>
      </c>
      <c r="BF77" s="228">
        <v>4</v>
      </c>
      <c r="BG77" s="228">
        <v>-2</v>
      </c>
      <c r="BH77" s="229">
        <v>-0.4</v>
      </c>
      <c r="BI77" s="228">
        <v>588</v>
      </c>
      <c r="BJ77" s="228">
        <v>432</v>
      </c>
      <c r="BK77" s="228">
        <v>156</v>
      </c>
      <c r="BL77" s="229">
        <v>0.36020000000000002</v>
      </c>
      <c r="BM77" s="228">
        <v>196</v>
      </c>
      <c r="BN77" s="228">
        <v>191</v>
      </c>
      <c r="BO77" s="228">
        <v>5</v>
      </c>
      <c r="BP77" s="229">
        <v>2.5999999999999999E-2</v>
      </c>
      <c r="BQ77" s="228">
        <v>994</v>
      </c>
      <c r="BR77" s="228">
        <v>963</v>
      </c>
      <c r="BS77" s="228">
        <v>30</v>
      </c>
      <c r="BT77" s="229">
        <v>3.1300000000000001E-2</v>
      </c>
      <c r="BU77" s="230">
        <v>793275</v>
      </c>
      <c r="BV77" s="230">
        <v>1019664</v>
      </c>
      <c r="BW77" s="230">
        <v>-226389</v>
      </c>
      <c r="BX77" s="229">
        <v>-0.222</v>
      </c>
      <c r="BY77" s="230">
        <v>1169</v>
      </c>
      <c r="BZ77" s="230">
        <v>1156</v>
      </c>
      <c r="CA77" s="228">
        <v>13</v>
      </c>
      <c r="CB77" s="229">
        <v>1.09E-2</v>
      </c>
      <c r="CC77" s="230">
        <v>1095</v>
      </c>
      <c r="CD77" s="230">
        <v>1087</v>
      </c>
      <c r="CE77" s="228">
        <v>8</v>
      </c>
      <c r="CF77" s="229">
        <v>7.4999999999999997E-3</v>
      </c>
      <c r="CG77" s="228">
        <v>68</v>
      </c>
      <c r="CH77" s="228">
        <v>64</v>
      </c>
      <c r="CI77" s="228">
        <v>4</v>
      </c>
      <c r="CJ77" s="229">
        <v>6.4600000000000005E-2</v>
      </c>
      <c r="CK77" s="228">
        <v>6</v>
      </c>
      <c r="CL77" s="228">
        <v>5</v>
      </c>
      <c r="CM77" s="228">
        <v>0</v>
      </c>
      <c r="CN77" s="229">
        <v>6.25E-2</v>
      </c>
      <c r="CO77" s="228">
        <v>416</v>
      </c>
      <c r="CP77" s="228">
        <v>394</v>
      </c>
      <c r="CQ77" s="228">
        <v>22</v>
      </c>
      <c r="CR77" s="229">
        <v>5.62E-2</v>
      </c>
      <c r="CS77" s="228">
        <v>308</v>
      </c>
      <c r="CT77" s="228">
        <v>291</v>
      </c>
      <c r="CU77" s="228">
        <v>16</v>
      </c>
      <c r="CV77" s="229">
        <v>5.6000000000000001E-2</v>
      </c>
      <c r="CW77" s="230">
        <v>1892</v>
      </c>
      <c r="CX77" s="230">
        <v>1841</v>
      </c>
      <c r="CY77" s="228">
        <v>51</v>
      </c>
      <c r="CZ77" s="229">
        <v>2.7699999999999999E-2</v>
      </c>
      <c r="DA77" s="228">
        <v>37.03</v>
      </c>
      <c r="DB77" s="228">
        <v>37.17</v>
      </c>
      <c r="DC77" s="228">
        <v>-0.14000000000000001</v>
      </c>
      <c r="DD77" s="228">
        <v>-0.14000000000000001</v>
      </c>
      <c r="DE77" s="228">
        <v>29.58</v>
      </c>
      <c r="DF77" s="228">
        <v>29.61</v>
      </c>
      <c r="DG77" s="228">
        <v>7.45</v>
      </c>
      <c r="DH77" s="228">
        <v>-0.03</v>
      </c>
      <c r="DI77" s="228">
        <v>36.479999999999997</v>
      </c>
      <c r="DJ77" s="228">
        <v>36.380000000000003</v>
      </c>
      <c r="DK77" s="228">
        <v>0.1</v>
      </c>
      <c r="DL77" s="228">
        <v>0.1</v>
      </c>
      <c r="DM77" s="228">
        <v>38.69</v>
      </c>
      <c r="DN77" s="228">
        <v>38.97</v>
      </c>
      <c r="DO77" s="228">
        <v>-0.28000000000000003</v>
      </c>
      <c r="DP77" s="228">
        <v>-0.28000000000000003</v>
      </c>
      <c r="DQ77" s="228">
        <v>0.74</v>
      </c>
      <c r="DR77" s="228">
        <v>0.74</v>
      </c>
      <c r="DS77" s="228">
        <v>0</v>
      </c>
      <c r="DT77" s="229">
        <v>0</v>
      </c>
      <c r="DU77" s="231">
        <v>1300</v>
      </c>
      <c r="DV77" s="231">
        <v>1200</v>
      </c>
      <c r="DW77" s="228">
        <v>0.33</v>
      </c>
      <c r="DX77" s="228">
        <v>0.44</v>
      </c>
      <c r="DY77" s="228">
        <v>-0.11</v>
      </c>
      <c r="DZ77" s="229">
        <v>-0.25</v>
      </c>
      <c r="EA77" s="229">
        <v>6.2899999999999998E-2</v>
      </c>
      <c r="EB77" s="230">
        <v>527500</v>
      </c>
      <c r="EC77" s="229">
        <v>1.6000000000000001E-3</v>
      </c>
      <c r="ED77" s="229">
        <v>6.2899999999999998E-2</v>
      </c>
      <c r="EE77" s="228">
        <v>1.8</v>
      </c>
      <c r="EF77" s="229">
        <v>1.4E-3</v>
      </c>
      <c r="EG77" s="230">
        <v>391368</v>
      </c>
      <c r="EH77" s="230">
        <v>494343</v>
      </c>
      <c r="EI77" s="229">
        <v>-0.20830000000000001</v>
      </c>
      <c r="EJ77" s="229">
        <v>0.49340000000000001</v>
      </c>
      <c r="EK77" s="228">
        <v>613.22</v>
      </c>
      <c r="EL77" s="228">
        <v>192.11</v>
      </c>
      <c r="EM77" s="228">
        <v>208.94</v>
      </c>
      <c r="EN77" s="228">
        <v>44.8</v>
      </c>
      <c r="EO77" s="231">
        <v>1014.27</v>
      </c>
      <c r="EP77" s="228">
        <v>964.15</v>
      </c>
      <c r="EQ77" s="228">
        <v>50.12</v>
      </c>
      <c r="ER77" s="229">
        <v>5.1999999999999998E-2</v>
      </c>
      <c r="ES77" s="228">
        <v>421.48</v>
      </c>
      <c r="ET77" s="228">
        <v>289.83</v>
      </c>
      <c r="EU77" s="231">
        <v>1168.68</v>
      </c>
      <c r="EV77" s="231">
        <v>29751886</v>
      </c>
      <c r="EW77" s="231">
        <v>1880</v>
      </c>
      <c r="EX77" s="231">
        <v>1814.55</v>
      </c>
      <c r="EY77" s="228">
        <v>65.45</v>
      </c>
      <c r="EZ77" s="229">
        <v>3.61E-2</v>
      </c>
      <c r="FA77" s="229">
        <v>0.48559999999999998</v>
      </c>
      <c r="FB77" s="227" t="s">
        <v>555</v>
      </c>
      <c r="FC77">
        <f t="shared" si="1"/>
        <v>74</v>
      </c>
    </row>
    <row r="78" spans="1:159" ht="17.25" thickBot="1" x14ac:dyDescent="0.3">
      <c r="A78" s="226">
        <v>46129</v>
      </c>
      <c r="B78" s="227" t="s">
        <v>221</v>
      </c>
      <c r="C78" s="227" t="s">
        <v>222</v>
      </c>
      <c r="D78" s="228">
        <v>350</v>
      </c>
      <c r="E78" s="228">
        <v>11</v>
      </c>
      <c r="F78" s="231">
        <v>1415.3</v>
      </c>
      <c r="G78" s="231">
        <v>1420</v>
      </c>
      <c r="H78" s="228">
        <v>-4.7</v>
      </c>
      <c r="I78" s="229">
        <v>-3.3E-3</v>
      </c>
      <c r="J78" s="231">
        <v>1442.3</v>
      </c>
      <c r="K78" s="231">
        <v>1450.2</v>
      </c>
      <c r="L78" s="228">
        <v>-7.9</v>
      </c>
      <c r="M78" s="229">
        <v>-5.4000000000000003E-3</v>
      </c>
      <c r="N78" s="231">
        <v>1415.3</v>
      </c>
      <c r="O78" s="231">
        <v>1420</v>
      </c>
      <c r="P78" s="228">
        <v>-4.7</v>
      </c>
      <c r="Q78" s="229">
        <v>-3.3E-3</v>
      </c>
      <c r="R78" s="231">
        <v>1402.4</v>
      </c>
      <c r="S78" s="231">
        <v>1406.4</v>
      </c>
      <c r="T78" s="228">
        <v>-4</v>
      </c>
      <c r="U78" s="229">
        <v>-2.8E-3</v>
      </c>
      <c r="V78" s="231">
        <v>1398.2</v>
      </c>
      <c r="W78" s="231">
        <v>1397.7</v>
      </c>
      <c r="X78" s="228">
        <v>0.5</v>
      </c>
      <c r="Y78" s="229">
        <v>4.0000000000000002E-4</v>
      </c>
      <c r="Z78" s="228">
        <v>-27</v>
      </c>
      <c r="AA78" s="228">
        <v>-30.2</v>
      </c>
      <c r="AB78" s="228">
        <v>3.2</v>
      </c>
      <c r="AC78" s="229">
        <v>-1.8700000000000001E-2</v>
      </c>
      <c r="AD78" s="228">
        <v>-27</v>
      </c>
      <c r="AE78" s="228">
        <v>-30.2</v>
      </c>
      <c r="AF78" s="228">
        <v>3.2</v>
      </c>
      <c r="AG78" s="229">
        <v>-1.8700000000000001E-2</v>
      </c>
      <c r="AH78" s="228">
        <v>-39.9</v>
      </c>
      <c r="AI78" s="228">
        <v>-43.8</v>
      </c>
      <c r="AJ78" s="228">
        <v>3.9</v>
      </c>
      <c r="AK78" s="229">
        <v>-2.7699999999999999E-2</v>
      </c>
      <c r="AL78" s="228">
        <v>-44.1</v>
      </c>
      <c r="AM78" s="228">
        <v>-52.5</v>
      </c>
      <c r="AN78" s="228">
        <v>8.4</v>
      </c>
      <c r="AO78" s="229">
        <v>-3.0599999999999999E-2</v>
      </c>
      <c r="AP78" s="231">
        <v>1412.66</v>
      </c>
      <c r="AQ78" s="231">
        <v>1398.23</v>
      </c>
      <c r="AR78" s="228">
        <v>0</v>
      </c>
      <c r="AS78" s="228">
        <v>999</v>
      </c>
      <c r="AT78" s="230">
        <v>1543</v>
      </c>
      <c r="AU78" s="228">
        <v>-544</v>
      </c>
      <c r="AV78" s="229">
        <v>-0.35249999999999998</v>
      </c>
      <c r="AW78" s="228">
        <v>783</v>
      </c>
      <c r="AX78" s="230">
        <v>1259</v>
      </c>
      <c r="AY78" s="228">
        <v>-476</v>
      </c>
      <c r="AZ78" s="229">
        <v>-0.378</v>
      </c>
      <c r="BA78" s="228">
        <v>211</v>
      </c>
      <c r="BB78" s="228">
        <v>273</v>
      </c>
      <c r="BC78" s="228">
        <v>-61</v>
      </c>
      <c r="BD78" s="229">
        <v>-0.22470000000000001</v>
      </c>
      <c r="BE78" s="228">
        <v>4</v>
      </c>
      <c r="BF78" s="228">
        <v>11</v>
      </c>
      <c r="BG78" s="228">
        <v>-7</v>
      </c>
      <c r="BH78" s="229">
        <v>-0.60829999999999995</v>
      </c>
      <c r="BI78" s="230">
        <v>1454</v>
      </c>
      <c r="BJ78" s="230">
        <v>2123</v>
      </c>
      <c r="BK78" s="228">
        <v>-669</v>
      </c>
      <c r="BL78" s="229">
        <v>-0.315</v>
      </c>
      <c r="BM78" s="228">
        <v>815</v>
      </c>
      <c r="BN78" s="230">
        <v>1187</v>
      </c>
      <c r="BO78" s="228">
        <v>-372</v>
      </c>
      <c r="BP78" s="229">
        <v>-0.31330000000000002</v>
      </c>
      <c r="BQ78" s="230">
        <v>3268</v>
      </c>
      <c r="BR78" s="230">
        <v>4852</v>
      </c>
      <c r="BS78" s="230">
        <v>-1584</v>
      </c>
      <c r="BT78" s="229">
        <v>-0.32650000000000001</v>
      </c>
      <c r="BU78" s="230">
        <v>3608781</v>
      </c>
      <c r="BV78" s="230">
        <v>5371927</v>
      </c>
      <c r="BW78" s="230">
        <v>-1763146</v>
      </c>
      <c r="BX78" s="229">
        <v>-0.32819999999999999</v>
      </c>
      <c r="BY78" s="230">
        <v>6067</v>
      </c>
      <c r="BZ78" s="230">
        <v>5875</v>
      </c>
      <c r="CA78" s="228">
        <v>192</v>
      </c>
      <c r="CB78" s="229">
        <v>3.27E-2</v>
      </c>
      <c r="CC78" s="230">
        <v>5195</v>
      </c>
      <c r="CD78" s="230">
        <v>5116</v>
      </c>
      <c r="CE78" s="228">
        <v>79</v>
      </c>
      <c r="CF78" s="229">
        <v>1.55E-2</v>
      </c>
      <c r="CG78" s="228">
        <v>840</v>
      </c>
      <c r="CH78" s="228">
        <v>729</v>
      </c>
      <c r="CI78" s="228">
        <v>111</v>
      </c>
      <c r="CJ78" s="229">
        <v>0.1527</v>
      </c>
      <c r="CK78" s="228">
        <v>32</v>
      </c>
      <c r="CL78" s="228">
        <v>30</v>
      </c>
      <c r="CM78" s="228">
        <v>2</v>
      </c>
      <c r="CN78" s="229">
        <v>6.1600000000000002E-2</v>
      </c>
      <c r="CO78" s="230">
        <v>1008</v>
      </c>
      <c r="CP78" s="228">
        <v>945</v>
      </c>
      <c r="CQ78" s="228">
        <v>63</v>
      </c>
      <c r="CR78" s="229">
        <v>6.7199999999999996E-2</v>
      </c>
      <c r="CS78" s="228">
        <v>838</v>
      </c>
      <c r="CT78" s="228">
        <v>809</v>
      </c>
      <c r="CU78" s="228">
        <v>30</v>
      </c>
      <c r="CV78" s="229">
        <v>3.6600000000000001E-2</v>
      </c>
      <c r="CW78" s="230">
        <v>7914</v>
      </c>
      <c r="CX78" s="230">
        <v>7628</v>
      </c>
      <c r="CY78" s="228">
        <v>285</v>
      </c>
      <c r="CZ78" s="229">
        <v>3.7400000000000003E-2</v>
      </c>
      <c r="DA78" s="228">
        <v>35.65</v>
      </c>
      <c r="DB78" s="228">
        <v>35.14</v>
      </c>
      <c r="DC78" s="228">
        <v>0.51</v>
      </c>
      <c r="DD78" s="228">
        <v>0.51</v>
      </c>
      <c r="DE78" s="228">
        <v>29.34</v>
      </c>
      <c r="DF78" s="228">
        <v>29.4</v>
      </c>
      <c r="DG78" s="228">
        <v>6.31</v>
      </c>
      <c r="DH78" s="228">
        <v>-0.06</v>
      </c>
      <c r="DI78" s="228">
        <v>35.47</v>
      </c>
      <c r="DJ78" s="228">
        <v>34.56</v>
      </c>
      <c r="DK78" s="228">
        <v>0.91</v>
      </c>
      <c r="DL78" s="228">
        <v>0.91</v>
      </c>
      <c r="DM78" s="228">
        <v>35.979999999999997</v>
      </c>
      <c r="DN78" s="228">
        <v>36.18</v>
      </c>
      <c r="DO78" s="228">
        <v>-0.2</v>
      </c>
      <c r="DP78" s="228">
        <v>-0.2</v>
      </c>
      <c r="DQ78" s="228">
        <v>0.83</v>
      </c>
      <c r="DR78" s="228">
        <v>0.86</v>
      </c>
      <c r="DS78" s="228">
        <v>-0.03</v>
      </c>
      <c r="DT78" s="229">
        <v>-3.49E-2</v>
      </c>
      <c r="DU78" s="231">
        <v>1440</v>
      </c>
      <c r="DV78" s="231">
        <v>1400</v>
      </c>
      <c r="DW78" s="228">
        <v>0.56000000000000005</v>
      </c>
      <c r="DX78" s="228">
        <v>0.56000000000000005</v>
      </c>
      <c r="DY78" s="228">
        <v>0</v>
      </c>
      <c r="DZ78" s="229">
        <v>0</v>
      </c>
      <c r="EA78" s="229">
        <v>0.14369999999999999</v>
      </c>
      <c r="EB78" s="230">
        <v>5361300</v>
      </c>
      <c r="EC78" s="229">
        <v>-9.1000000000000004E-3</v>
      </c>
      <c r="ED78" s="229">
        <v>0.14369999999999999</v>
      </c>
      <c r="EE78" s="228">
        <v>-14.43</v>
      </c>
      <c r="EF78" s="229">
        <v>-1.0200000000000001E-2</v>
      </c>
      <c r="EG78" s="230">
        <v>2104908</v>
      </c>
      <c r="EH78" s="230">
        <v>3004978</v>
      </c>
      <c r="EI78" s="229">
        <v>-0.29949999999999999</v>
      </c>
      <c r="EJ78" s="229">
        <v>0.58330000000000004</v>
      </c>
      <c r="EK78" s="231">
        <v>1523.07</v>
      </c>
      <c r="EL78" s="228">
        <v>818.4</v>
      </c>
      <c r="EM78" s="228">
        <v>994.76</v>
      </c>
      <c r="EN78" s="228">
        <v>200.55</v>
      </c>
      <c r="EO78" s="231">
        <v>3336.23</v>
      </c>
      <c r="EP78" s="231">
        <v>4962.9399999999996</v>
      </c>
      <c r="EQ78" s="231">
        <v>-1626.71</v>
      </c>
      <c r="ER78" s="229">
        <v>-0.32779999999999998</v>
      </c>
      <c r="ES78" s="231">
        <v>1042.21</v>
      </c>
      <c r="ET78" s="228">
        <v>806.5</v>
      </c>
      <c r="EU78" s="231">
        <v>6058.97</v>
      </c>
      <c r="EV78" s="231">
        <v>145140505</v>
      </c>
      <c r="EW78" s="231">
        <v>7907.68</v>
      </c>
      <c r="EX78" s="231">
        <v>7640.42</v>
      </c>
      <c r="EY78" s="228">
        <v>267.26</v>
      </c>
      <c r="EZ78" s="229">
        <v>3.5000000000000003E-2</v>
      </c>
      <c r="FA78" s="229">
        <v>0.38519999999999999</v>
      </c>
      <c r="FB78" s="227" t="s">
        <v>566</v>
      </c>
      <c r="FC78">
        <f t="shared" si="1"/>
        <v>872</v>
      </c>
    </row>
    <row r="79" spans="1:159" ht="17.25" thickBot="1" x14ac:dyDescent="0.3">
      <c r="A79" s="226">
        <v>46129</v>
      </c>
      <c r="B79" s="227" t="s">
        <v>175</v>
      </c>
      <c r="C79" s="227" t="s">
        <v>475</v>
      </c>
      <c r="D79" s="228">
        <v>300</v>
      </c>
      <c r="E79" s="228">
        <v>11</v>
      </c>
      <c r="F79" s="231">
        <v>2791.6</v>
      </c>
      <c r="G79" s="231">
        <v>2662.2</v>
      </c>
      <c r="H79" s="228">
        <v>129.4</v>
      </c>
      <c r="I79" s="229">
        <v>4.8599999999999997E-2</v>
      </c>
      <c r="J79" s="231">
        <v>2792.4</v>
      </c>
      <c r="K79" s="231">
        <v>2662.2</v>
      </c>
      <c r="L79" s="228">
        <v>130.19999999999999</v>
      </c>
      <c r="M79" s="229">
        <v>4.8899999999999999E-2</v>
      </c>
      <c r="N79" s="231">
        <v>2791.6</v>
      </c>
      <c r="O79" s="231">
        <v>2662.2</v>
      </c>
      <c r="P79" s="228">
        <v>129.4</v>
      </c>
      <c r="Q79" s="229">
        <v>4.8599999999999997E-2</v>
      </c>
      <c r="R79" s="231">
        <v>2803.1</v>
      </c>
      <c r="S79" s="231">
        <v>2673</v>
      </c>
      <c r="T79" s="228">
        <v>130.1</v>
      </c>
      <c r="U79" s="229">
        <v>4.87E-2</v>
      </c>
      <c r="V79" s="231">
        <v>2810.8</v>
      </c>
      <c r="W79" s="231">
        <v>2684.5</v>
      </c>
      <c r="X79" s="228">
        <v>126.3</v>
      </c>
      <c r="Y79" s="229">
        <v>4.7E-2</v>
      </c>
      <c r="Z79" s="228">
        <v>-0.8</v>
      </c>
      <c r="AA79" s="228">
        <v>0</v>
      </c>
      <c r="AB79" s="228">
        <v>-0.8</v>
      </c>
      <c r="AC79" s="229">
        <v>-2.9999999999999997E-4</v>
      </c>
      <c r="AD79" s="228">
        <v>-0.8</v>
      </c>
      <c r="AE79" s="228">
        <v>0</v>
      </c>
      <c r="AF79" s="228">
        <v>-0.8</v>
      </c>
      <c r="AG79" s="229">
        <v>-2.9999999999999997E-4</v>
      </c>
      <c r="AH79" s="228">
        <v>10.7</v>
      </c>
      <c r="AI79" s="228">
        <v>10.8</v>
      </c>
      <c r="AJ79" s="228">
        <v>-0.1</v>
      </c>
      <c r="AK79" s="229">
        <v>3.8E-3</v>
      </c>
      <c r="AL79" s="228">
        <v>18.399999999999999</v>
      </c>
      <c r="AM79" s="228">
        <v>22.3</v>
      </c>
      <c r="AN79" s="228">
        <v>-3.9</v>
      </c>
      <c r="AO79" s="229">
        <v>6.6E-3</v>
      </c>
      <c r="AP79" s="231">
        <v>2762.05</v>
      </c>
      <c r="AQ79" s="231">
        <v>2776.6</v>
      </c>
      <c r="AR79" s="228">
        <v>0</v>
      </c>
      <c r="AS79" s="228">
        <v>674</v>
      </c>
      <c r="AT79" s="230">
        <v>1035</v>
      </c>
      <c r="AU79" s="228">
        <v>-361</v>
      </c>
      <c r="AV79" s="229">
        <v>-0.34889999999999999</v>
      </c>
      <c r="AW79" s="228">
        <v>614</v>
      </c>
      <c r="AX79" s="228">
        <v>923</v>
      </c>
      <c r="AY79" s="228">
        <v>-309</v>
      </c>
      <c r="AZ79" s="229">
        <v>-0.33460000000000001</v>
      </c>
      <c r="BA79" s="228">
        <v>54</v>
      </c>
      <c r="BB79" s="228">
        <v>81</v>
      </c>
      <c r="BC79" s="228">
        <v>-27</v>
      </c>
      <c r="BD79" s="229">
        <v>-0.33439999999999998</v>
      </c>
      <c r="BE79" s="228">
        <v>6</v>
      </c>
      <c r="BF79" s="228">
        <v>31</v>
      </c>
      <c r="BG79" s="228">
        <v>-25</v>
      </c>
      <c r="BH79" s="229">
        <v>-0.81130000000000002</v>
      </c>
      <c r="BI79" s="230">
        <v>5751</v>
      </c>
      <c r="BJ79" s="230">
        <v>4342</v>
      </c>
      <c r="BK79" s="230">
        <v>1409</v>
      </c>
      <c r="BL79" s="229">
        <v>0.3246</v>
      </c>
      <c r="BM79" s="230">
        <v>2544</v>
      </c>
      <c r="BN79" s="230">
        <v>2924</v>
      </c>
      <c r="BO79" s="228">
        <v>-380</v>
      </c>
      <c r="BP79" s="229">
        <v>-0.13</v>
      </c>
      <c r="BQ79" s="230">
        <v>8969</v>
      </c>
      <c r="BR79" s="230">
        <v>8301</v>
      </c>
      <c r="BS79" s="228">
        <v>668</v>
      </c>
      <c r="BT79" s="229">
        <v>8.0500000000000002E-2</v>
      </c>
      <c r="BU79" s="230">
        <v>2369564</v>
      </c>
      <c r="BV79" s="230">
        <v>3073493</v>
      </c>
      <c r="BW79" s="230">
        <v>-703929</v>
      </c>
      <c r="BX79" s="229">
        <v>-0.22900000000000001</v>
      </c>
      <c r="BY79" s="230">
        <v>1599</v>
      </c>
      <c r="BZ79" s="230">
        <v>1583</v>
      </c>
      <c r="CA79" s="228">
        <v>16</v>
      </c>
      <c r="CB79" s="229">
        <v>9.7999999999999997E-3</v>
      </c>
      <c r="CC79" s="230">
        <v>1526</v>
      </c>
      <c r="CD79" s="230">
        <v>1521</v>
      </c>
      <c r="CE79" s="228">
        <v>5</v>
      </c>
      <c r="CF79" s="229">
        <v>3.0000000000000001E-3</v>
      </c>
      <c r="CG79" s="228">
        <v>56</v>
      </c>
      <c r="CH79" s="228">
        <v>45</v>
      </c>
      <c r="CI79" s="228">
        <v>11</v>
      </c>
      <c r="CJ79" s="229">
        <v>0.2407</v>
      </c>
      <c r="CK79" s="228">
        <v>17</v>
      </c>
      <c r="CL79" s="228">
        <v>17</v>
      </c>
      <c r="CM79" s="228">
        <v>0</v>
      </c>
      <c r="CN79" s="229">
        <v>4.8999999999999998E-3</v>
      </c>
      <c r="CO79" s="228">
        <v>708</v>
      </c>
      <c r="CP79" s="228">
        <v>687</v>
      </c>
      <c r="CQ79" s="228">
        <v>20</v>
      </c>
      <c r="CR79" s="229">
        <v>2.9499999999999998E-2</v>
      </c>
      <c r="CS79" s="228">
        <v>685</v>
      </c>
      <c r="CT79" s="228">
        <v>479</v>
      </c>
      <c r="CU79" s="228">
        <v>207</v>
      </c>
      <c r="CV79" s="229">
        <v>0.43140000000000001</v>
      </c>
      <c r="CW79" s="230">
        <v>2992</v>
      </c>
      <c r="CX79" s="230">
        <v>2749</v>
      </c>
      <c r="CY79" s="228">
        <v>242</v>
      </c>
      <c r="CZ79" s="229">
        <v>8.8200000000000001E-2</v>
      </c>
      <c r="DA79" s="228">
        <v>33.130000000000003</v>
      </c>
      <c r="DB79" s="228">
        <v>36.47</v>
      </c>
      <c r="DC79" s="228">
        <v>-3.34</v>
      </c>
      <c r="DD79" s="228">
        <v>-3.34</v>
      </c>
      <c r="DE79" s="228">
        <v>39.42</v>
      </c>
      <c r="DF79" s="228">
        <v>38.979999999999997</v>
      </c>
      <c r="DG79" s="228">
        <v>-6.29</v>
      </c>
      <c r="DH79" s="228">
        <v>0.44</v>
      </c>
      <c r="DI79" s="228">
        <v>31.17</v>
      </c>
      <c r="DJ79" s="228">
        <v>35.43</v>
      </c>
      <c r="DK79" s="228">
        <v>-4.26</v>
      </c>
      <c r="DL79" s="228">
        <v>-4.26</v>
      </c>
      <c r="DM79" s="228">
        <v>37.58</v>
      </c>
      <c r="DN79" s="228">
        <v>38.020000000000003</v>
      </c>
      <c r="DO79" s="228">
        <v>-0.44</v>
      </c>
      <c r="DP79" s="228">
        <v>-0.44</v>
      </c>
      <c r="DQ79" s="228">
        <v>0.97</v>
      </c>
      <c r="DR79" s="228">
        <v>0.7</v>
      </c>
      <c r="DS79" s="228">
        <v>0.27</v>
      </c>
      <c r="DT79" s="229">
        <v>0.38569999999999999</v>
      </c>
      <c r="DU79" s="231">
        <v>3000</v>
      </c>
      <c r="DV79" s="231">
        <v>2700</v>
      </c>
      <c r="DW79" s="228">
        <v>0.44</v>
      </c>
      <c r="DX79" s="228">
        <v>0.67</v>
      </c>
      <c r="DY79" s="228">
        <v>-0.23</v>
      </c>
      <c r="DZ79" s="229">
        <v>-0.34329999999999999</v>
      </c>
      <c r="EA79" s="229">
        <v>4.58E-2</v>
      </c>
      <c r="EB79" s="230">
        <v>223200</v>
      </c>
      <c r="EC79" s="229">
        <v>4.1000000000000003E-3</v>
      </c>
      <c r="ED79" s="229">
        <v>4.58E-2</v>
      </c>
      <c r="EE79" s="228">
        <v>14.55</v>
      </c>
      <c r="EF79" s="229">
        <v>5.3E-3</v>
      </c>
      <c r="EG79" s="230">
        <v>1170540</v>
      </c>
      <c r="EH79" s="230">
        <v>1474337</v>
      </c>
      <c r="EI79" s="229">
        <v>-0.20610000000000001</v>
      </c>
      <c r="EJ79" s="229">
        <v>0.49399999999999999</v>
      </c>
      <c r="EK79" s="231">
        <v>5893.5</v>
      </c>
      <c r="EL79" s="231">
        <v>2437.52</v>
      </c>
      <c r="EM79" s="228">
        <v>667.11</v>
      </c>
      <c r="EN79" s="228">
        <v>71.209999999999994</v>
      </c>
      <c r="EO79" s="231">
        <v>8998.1299999999992</v>
      </c>
      <c r="EP79" s="231">
        <v>8107.94</v>
      </c>
      <c r="EQ79" s="228">
        <v>890.19</v>
      </c>
      <c r="ER79" s="229">
        <v>0.10979999999999999</v>
      </c>
      <c r="ES79" s="228">
        <v>701.67</v>
      </c>
      <c r="ET79" s="228">
        <v>628.08000000000004</v>
      </c>
      <c r="EU79" s="231">
        <v>1599.27</v>
      </c>
      <c r="EV79" s="231">
        <v>30592324</v>
      </c>
      <c r="EW79" s="231">
        <v>2929.02</v>
      </c>
      <c r="EX79" s="231">
        <v>2603.67</v>
      </c>
      <c r="EY79" s="228">
        <v>325.35000000000002</v>
      </c>
      <c r="EZ79" s="229">
        <v>0.125</v>
      </c>
      <c r="FA79" s="229">
        <v>0.3503</v>
      </c>
      <c r="FB79" s="227" t="s">
        <v>555</v>
      </c>
      <c r="FC79">
        <f t="shared" si="1"/>
        <v>73</v>
      </c>
    </row>
    <row r="80" spans="1:159" ht="17.25" thickBot="1" x14ac:dyDescent="0.3">
      <c r="A80" s="226">
        <v>46129</v>
      </c>
      <c r="B80" s="227" t="s">
        <v>172</v>
      </c>
      <c r="C80" s="227" t="s">
        <v>224</v>
      </c>
      <c r="D80" s="228">
        <v>550</v>
      </c>
      <c r="E80" s="228">
        <v>11</v>
      </c>
      <c r="F80" s="228">
        <v>801.6</v>
      </c>
      <c r="G80" s="228">
        <v>795.85</v>
      </c>
      <c r="H80" s="228">
        <v>5.75</v>
      </c>
      <c r="I80" s="229">
        <v>7.1999999999999998E-3</v>
      </c>
      <c r="J80" s="228">
        <v>799.9</v>
      </c>
      <c r="K80" s="228">
        <v>795.45</v>
      </c>
      <c r="L80" s="228">
        <v>4.45</v>
      </c>
      <c r="M80" s="229">
        <v>5.5999999999999999E-3</v>
      </c>
      <c r="N80" s="228">
        <v>801.6</v>
      </c>
      <c r="O80" s="228">
        <v>795.85</v>
      </c>
      <c r="P80" s="228">
        <v>5.75</v>
      </c>
      <c r="Q80" s="229">
        <v>7.1999999999999998E-3</v>
      </c>
      <c r="R80" s="228">
        <v>803.2</v>
      </c>
      <c r="S80" s="228">
        <v>798.2</v>
      </c>
      <c r="T80" s="228">
        <v>5</v>
      </c>
      <c r="U80" s="229">
        <v>6.3E-3</v>
      </c>
      <c r="V80" s="228">
        <v>799.05</v>
      </c>
      <c r="W80" s="228">
        <v>793.4</v>
      </c>
      <c r="X80" s="228">
        <v>5.65</v>
      </c>
      <c r="Y80" s="229">
        <v>7.1000000000000004E-3</v>
      </c>
      <c r="Z80" s="228">
        <v>1.7</v>
      </c>
      <c r="AA80" s="228">
        <v>0.4</v>
      </c>
      <c r="AB80" s="228">
        <v>1.3</v>
      </c>
      <c r="AC80" s="229">
        <v>2.0999999999999999E-3</v>
      </c>
      <c r="AD80" s="228">
        <v>1.7</v>
      </c>
      <c r="AE80" s="228">
        <v>0.4</v>
      </c>
      <c r="AF80" s="228">
        <v>1.3</v>
      </c>
      <c r="AG80" s="229">
        <v>2.0999999999999999E-3</v>
      </c>
      <c r="AH80" s="228">
        <v>3.3</v>
      </c>
      <c r="AI80" s="228">
        <v>2.75</v>
      </c>
      <c r="AJ80" s="228">
        <v>0.55000000000000004</v>
      </c>
      <c r="AK80" s="229">
        <v>4.1000000000000003E-3</v>
      </c>
      <c r="AL80" s="228">
        <v>-0.85</v>
      </c>
      <c r="AM80" s="228">
        <v>-2.0499999999999998</v>
      </c>
      <c r="AN80" s="228">
        <v>1.2</v>
      </c>
      <c r="AO80" s="229">
        <v>-1.1000000000000001E-3</v>
      </c>
      <c r="AP80" s="228">
        <v>800.21</v>
      </c>
      <c r="AQ80" s="228">
        <v>802.07</v>
      </c>
      <c r="AR80" s="228">
        <v>0</v>
      </c>
      <c r="AS80" s="230">
        <v>2654</v>
      </c>
      <c r="AT80" s="230">
        <v>3877</v>
      </c>
      <c r="AU80" s="230">
        <v>-1223</v>
      </c>
      <c r="AV80" s="229">
        <v>-0.3155</v>
      </c>
      <c r="AW80" s="230">
        <v>2113</v>
      </c>
      <c r="AX80" s="230">
        <v>3126</v>
      </c>
      <c r="AY80" s="230">
        <v>-1013</v>
      </c>
      <c r="AZ80" s="229">
        <v>-0.3241</v>
      </c>
      <c r="BA80" s="228">
        <v>441</v>
      </c>
      <c r="BB80" s="228">
        <v>568</v>
      </c>
      <c r="BC80" s="228">
        <v>-126</v>
      </c>
      <c r="BD80" s="229">
        <v>-0.22239999999999999</v>
      </c>
      <c r="BE80" s="228">
        <v>99</v>
      </c>
      <c r="BF80" s="228">
        <v>183</v>
      </c>
      <c r="BG80" s="228">
        <v>-84</v>
      </c>
      <c r="BH80" s="229">
        <v>-0.45689999999999997</v>
      </c>
      <c r="BI80" s="230">
        <v>8482</v>
      </c>
      <c r="BJ80" s="230">
        <v>6015</v>
      </c>
      <c r="BK80" s="230">
        <v>2466</v>
      </c>
      <c r="BL80" s="229">
        <v>0.41</v>
      </c>
      <c r="BM80" s="230">
        <v>4645</v>
      </c>
      <c r="BN80" s="230">
        <v>3961</v>
      </c>
      <c r="BO80" s="228">
        <v>683</v>
      </c>
      <c r="BP80" s="229">
        <v>0.17249999999999999</v>
      </c>
      <c r="BQ80" s="230">
        <v>15780</v>
      </c>
      <c r="BR80" s="230">
        <v>13854</v>
      </c>
      <c r="BS80" s="230">
        <v>1926</v>
      </c>
      <c r="BT80" s="229">
        <v>0.13900000000000001</v>
      </c>
      <c r="BU80" s="230">
        <v>38872616</v>
      </c>
      <c r="BV80" s="230">
        <v>68258590</v>
      </c>
      <c r="BW80" s="230">
        <v>-29385974</v>
      </c>
      <c r="BX80" s="229">
        <v>-0.43049999999999999</v>
      </c>
      <c r="BY80" s="230">
        <v>26496</v>
      </c>
      <c r="BZ80" s="230">
        <v>26247</v>
      </c>
      <c r="CA80" s="228">
        <v>249</v>
      </c>
      <c r="CB80" s="229">
        <v>9.4999999999999998E-3</v>
      </c>
      <c r="CC80" s="230">
        <v>23087</v>
      </c>
      <c r="CD80" s="230">
        <v>23170</v>
      </c>
      <c r="CE80" s="228">
        <v>-84</v>
      </c>
      <c r="CF80" s="229">
        <v>-3.5999999999999999E-3</v>
      </c>
      <c r="CG80" s="230">
        <v>1948</v>
      </c>
      <c r="CH80" s="230">
        <v>1679</v>
      </c>
      <c r="CI80" s="228">
        <v>269</v>
      </c>
      <c r="CJ80" s="229">
        <v>0.16020000000000001</v>
      </c>
      <c r="CK80" s="230">
        <v>1462</v>
      </c>
      <c r="CL80" s="230">
        <v>1398</v>
      </c>
      <c r="CM80" s="228">
        <v>64</v>
      </c>
      <c r="CN80" s="229">
        <v>4.5600000000000002E-2</v>
      </c>
      <c r="CO80" s="230">
        <v>7855</v>
      </c>
      <c r="CP80" s="230">
        <v>6678</v>
      </c>
      <c r="CQ80" s="230">
        <v>1177</v>
      </c>
      <c r="CR80" s="229">
        <v>0.1762</v>
      </c>
      <c r="CS80" s="230">
        <v>4460</v>
      </c>
      <c r="CT80" s="230">
        <v>3757</v>
      </c>
      <c r="CU80" s="228">
        <v>703</v>
      </c>
      <c r="CV80" s="229">
        <v>0.18709999999999999</v>
      </c>
      <c r="CW80" s="230">
        <v>38810</v>
      </c>
      <c r="CX80" s="230">
        <v>36682</v>
      </c>
      <c r="CY80" s="230">
        <v>2129</v>
      </c>
      <c r="CZ80" s="229">
        <v>5.8000000000000003E-2</v>
      </c>
      <c r="DA80" s="228">
        <v>34.020000000000003</v>
      </c>
      <c r="DB80" s="228">
        <v>34.409999999999997</v>
      </c>
      <c r="DC80" s="228">
        <v>-0.39</v>
      </c>
      <c r="DD80" s="228">
        <v>-0.39</v>
      </c>
      <c r="DE80" s="228">
        <v>25.35</v>
      </c>
      <c r="DF80" s="228">
        <v>25.4</v>
      </c>
      <c r="DG80" s="228">
        <v>8.67</v>
      </c>
      <c r="DH80" s="228">
        <v>-0.05</v>
      </c>
      <c r="DI80" s="228">
        <v>34.22</v>
      </c>
      <c r="DJ80" s="228">
        <v>34.56</v>
      </c>
      <c r="DK80" s="228">
        <v>-0.34</v>
      </c>
      <c r="DL80" s="228">
        <v>-0.34</v>
      </c>
      <c r="DM80" s="228">
        <v>33.64</v>
      </c>
      <c r="DN80" s="228">
        <v>34.18</v>
      </c>
      <c r="DO80" s="228">
        <v>-0.54</v>
      </c>
      <c r="DP80" s="228">
        <v>-0.54</v>
      </c>
      <c r="DQ80" s="228">
        <v>0.56999999999999995</v>
      </c>
      <c r="DR80" s="228">
        <v>0.56000000000000005</v>
      </c>
      <c r="DS80" s="228">
        <v>0.01</v>
      </c>
      <c r="DT80" s="229">
        <v>1.7899999999999999E-2</v>
      </c>
      <c r="DU80" s="228">
        <v>800</v>
      </c>
      <c r="DV80" s="228">
        <v>800</v>
      </c>
      <c r="DW80" s="228">
        <v>0.55000000000000004</v>
      </c>
      <c r="DX80" s="228">
        <v>0.66</v>
      </c>
      <c r="DY80" s="228">
        <v>-0.11</v>
      </c>
      <c r="DZ80" s="229">
        <v>-0.16669999999999999</v>
      </c>
      <c r="EA80" s="229">
        <v>0.12870000000000001</v>
      </c>
      <c r="EB80" s="230">
        <v>38380650</v>
      </c>
      <c r="EC80" s="229">
        <v>2E-3</v>
      </c>
      <c r="ED80" s="229">
        <v>0.12870000000000001</v>
      </c>
      <c r="EE80" s="228">
        <v>1.86</v>
      </c>
      <c r="EF80" s="229">
        <v>2.3E-3</v>
      </c>
      <c r="EG80" s="230">
        <v>24425141</v>
      </c>
      <c r="EH80" s="230">
        <v>28038753</v>
      </c>
      <c r="EI80" s="229">
        <v>-0.12889999999999999</v>
      </c>
      <c r="EJ80" s="229">
        <v>0.62829999999999997</v>
      </c>
      <c r="EK80" s="231">
        <v>8934.94</v>
      </c>
      <c r="EL80" s="231">
        <v>4523.82</v>
      </c>
      <c r="EM80" s="231">
        <v>2650.08</v>
      </c>
      <c r="EN80" s="228">
        <v>564.16</v>
      </c>
      <c r="EO80" s="231">
        <v>16108.84</v>
      </c>
      <c r="EP80" s="231">
        <v>14104.81</v>
      </c>
      <c r="EQ80" s="231">
        <v>2004.03</v>
      </c>
      <c r="ER80" s="229">
        <v>0.1421</v>
      </c>
      <c r="ES80" s="231">
        <v>8211.11</v>
      </c>
      <c r="ET80" s="231">
        <v>4303.8500000000004</v>
      </c>
      <c r="EU80" s="231">
        <v>26495.33</v>
      </c>
      <c r="EV80" s="231">
        <v>1496665645</v>
      </c>
      <c r="EW80" s="231">
        <v>39010.300000000003</v>
      </c>
      <c r="EX80" s="231">
        <v>36664.51</v>
      </c>
      <c r="EY80" s="231">
        <v>2345.79</v>
      </c>
      <c r="EZ80" s="229">
        <v>6.4000000000000001E-2</v>
      </c>
      <c r="FA80" s="229">
        <v>0.32350000000000001</v>
      </c>
      <c r="FB80" s="227" t="s">
        <v>555</v>
      </c>
      <c r="FC80">
        <f t="shared" si="1"/>
        <v>3409</v>
      </c>
    </row>
    <row r="81" spans="1:159" ht="17.25" thickBot="1" x14ac:dyDescent="0.3">
      <c r="A81" s="226">
        <v>46129</v>
      </c>
      <c r="B81" s="227" t="s">
        <v>175</v>
      </c>
      <c r="C81" s="227" t="s">
        <v>225</v>
      </c>
      <c r="D81" s="228">
        <v>1100</v>
      </c>
      <c r="E81" s="228">
        <v>11</v>
      </c>
      <c r="F81" s="228">
        <v>616.29999999999995</v>
      </c>
      <c r="G81" s="228">
        <v>633.1</v>
      </c>
      <c r="H81" s="228">
        <v>-16.8</v>
      </c>
      <c r="I81" s="229">
        <v>-2.6499999999999999E-2</v>
      </c>
      <c r="J81" s="228">
        <v>616.45000000000005</v>
      </c>
      <c r="K81" s="228">
        <v>631.5</v>
      </c>
      <c r="L81" s="228">
        <v>-15.05</v>
      </c>
      <c r="M81" s="229">
        <v>-2.3800000000000002E-2</v>
      </c>
      <c r="N81" s="228">
        <v>616.29999999999995</v>
      </c>
      <c r="O81" s="228">
        <v>633.1</v>
      </c>
      <c r="P81" s="228">
        <v>-16.8</v>
      </c>
      <c r="Q81" s="229">
        <v>-2.6499999999999999E-2</v>
      </c>
      <c r="R81" s="228">
        <v>619.6</v>
      </c>
      <c r="S81" s="228">
        <v>636.6</v>
      </c>
      <c r="T81" s="228">
        <v>-17</v>
      </c>
      <c r="U81" s="229">
        <v>-2.6700000000000002E-2</v>
      </c>
      <c r="V81" s="228">
        <v>621.1</v>
      </c>
      <c r="W81" s="228">
        <v>638.4</v>
      </c>
      <c r="X81" s="228">
        <v>-17.3</v>
      </c>
      <c r="Y81" s="229">
        <v>-2.7099999999999999E-2</v>
      </c>
      <c r="Z81" s="228">
        <v>-0.15</v>
      </c>
      <c r="AA81" s="228">
        <v>1.6</v>
      </c>
      <c r="AB81" s="228">
        <v>-1.75</v>
      </c>
      <c r="AC81" s="229">
        <v>-2.0000000000000001E-4</v>
      </c>
      <c r="AD81" s="228">
        <v>-0.15</v>
      </c>
      <c r="AE81" s="228">
        <v>1.6</v>
      </c>
      <c r="AF81" s="228">
        <v>-1.75</v>
      </c>
      <c r="AG81" s="229">
        <v>-2.0000000000000001E-4</v>
      </c>
      <c r="AH81" s="228">
        <v>3.15</v>
      </c>
      <c r="AI81" s="228">
        <v>5.0999999999999996</v>
      </c>
      <c r="AJ81" s="228">
        <v>-1.95</v>
      </c>
      <c r="AK81" s="229">
        <v>5.1000000000000004E-3</v>
      </c>
      <c r="AL81" s="228">
        <v>4.6500000000000004</v>
      </c>
      <c r="AM81" s="228">
        <v>6.9</v>
      </c>
      <c r="AN81" s="228">
        <v>-2.25</v>
      </c>
      <c r="AO81" s="229">
        <v>7.4999999999999997E-3</v>
      </c>
      <c r="AP81" s="228">
        <v>614.38</v>
      </c>
      <c r="AQ81" s="228">
        <v>616.80999999999995</v>
      </c>
      <c r="AR81" s="228">
        <v>0</v>
      </c>
      <c r="AS81" s="228">
        <v>733</v>
      </c>
      <c r="AT81" s="228">
        <v>393</v>
      </c>
      <c r="AU81" s="228">
        <v>340</v>
      </c>
      <c r="AV81" s="229">
        <v>0.86439999999999995</v>
      </c>
      <c r="AW81" s="228">
        <v>638</v>
      </c>
      <c r="AX81" s="228">
        <v>360</v>
      </c>
      <c r="AY81" s="228">
        <v>279</v>
      </c>
      <c r="AZ81" s="229">
        <v>0.77539999999999998</v>
      </c>
      <c r="BA81" s="228">
        <v>82</v>
      </c>
      <c r="BB81" s="228">
        <v>32</v>
      </c>
      <c r="BC81" s="228">
        <v>51</v>
      </c>
      <c r="BD81" s="229">
        <v>1.6093999999999999</v>
      </c>
      <c r="BE81" s="228">
        <v>13</v>
      </c>
      <c r="BF81" s="228">
        <v>2</v>
      </c>
      <c r="BG81" s="228">
        <v>10</v>
      </c>
      <c r="BH81" s="229">
        <v>4.5293999999999999</v>
      </c>
      <c r="BI81" s="230">
        <v>3677</v>
      </c>
      <c r="BJ81" s="230">
        <v>1853</v>
      </c>
      <c r="BK81" s="230">
        <v>1824</v>
      </c>
      <c r="BL81" s="229">
        <v>0.98440000000000005</v>
      </c>
      <c r="BM81" s="230">
        <v>2547</v>
      </c>
      <c r="BN81" s="230">
        <v>1284</v>
      </c>
      <c r="BO81" s="230">
        <v>1263</v>
      </c>
      <c r="BP81" s="229">
        <v>0.9839</v>
      </c>
      <c r="BQ81" s="230">
        <v>6957</v>
      </c>
      <c r="BR81" s="230">
        <v>3530</v>
      </c>
      <c r="BS81" s="230">
        <v>3427</v>
      </c>
      <c r="BT81" s="229">
        <v>0.97089999999999999</v>
      </c>
      <c r="BU81" s="230">
        <v>9166222</v>
      </c>
      <c r="BV81" s="230">
        <v>3164703</v>
      </c>
      <c r="BW81" s="230">
        <v>6001519</v>
      </c>
      <c r="BX81" s="229">
        <v>1.8964000000000001</v>
      </c>
      <c r="BY81" s="230">
        <v>2695</v>
      </c>
      <c r="BZ81" s="230">
        <v>2560</v>
      </c>
      <c r="CA81" s="228">
        <v>135</v>
      </c>
      <c r="CB81" s="229">
        <v>5.2900000000000003E-2</v>
      </c>
      <c r="CC81" s="230">
        <v>2531</v>
      </c>
      <c r="CD81" s="230">
        <v>2439</v>
      </c>
      <c r="CE81" s="228">
        <v>91</v>
      </c>
      <c r="CF81" s="229">
        <v>3.7400000000000003E-2</v>
      </c>
      <c r="CG81" s="228">
        <v>147</v>
      </c>
      <c r="CH81" s="228">
        <v>109</v>
      </c>
      <c r="CI81" s="228">
        <v>37</v>
      </c>
      <c r="CJ81" s="229">
        <v>0.34239999999999998</v>
      </c>
      <c r="CK81" s="228">
        <v>18</v>
      </c>
      <c r="CL81" s="228">
        <v>11</v>
      </c>
      <c r="CM81" s="228">
        <v>7</v>
      </c>
      <c r="CN81" s="229">
        <v>0.61960000000000004</v>
      </c>
      <c r="CO81" s="230">
        <v>1226</v>
      </c>
      <c r="CP81" s="228">
        <v>966</v>
      </c>
      <c r="CQ81" s="228">
        <v>259</v>
      </c>
      <c r="CR81" s="229">
        <v>0.26829999999999998</v>
      </c>
      <c r="CS81" s="228">
        <v>814</v>
      </c>
      <c r="CT81" s="228">
        <v>736</v>
      </c>
      <c r="CU81" s="228">
        <v>79</v>
      </c>
      <c r="CV81" s="229">
        <v>0.1067</v>
      </c>
      <c r="CW81" s="230">
        <v>4735</v>
      </c>
      <c r="CX81" s="230">
        <v>4262</v>
      </c>
      <c r="CY81" s="228">
        <v>473</v>
      </c>
      <c r="CZ81" s="229">
        <v>0.111</v>
      </c>
      <c r="DA81" s="228">
        <v>27.44</v>
      </c>
      <c r="DB81" s="228">
        <v>31.86</v>
      </c>
      <c r="DC81" s="228">
        <v>-4.42</v>
      </c>
      <c r="DD81" s="228">
        <v>-4.42</v>
      </c>
      <c r="DE81" s="228">
        <v>27.78</v>
      </c>
      <c r="DF81" s="228">
        <v>27.66</v>
      </c>
      <c r="DG81" s="228">
        <v>-0.34</v>
      </c>
      <c r="DH81" s="228">
        <v>0.12</v>
      </c>
      <c r="DI81" s="228">
        <v>27.56</v>
      </c>
      <c r="DJ81" s="228">
        <v>31.75</v>
      </c>
      <c r="DK81" s="228">
        <v>-4.1900000000000004</v>
      </c>
      <c r="DL81" s="228">
        <v>-4.1900000000000004</v>
      </c>
      <c r="DM81" s="228">
        <v>27.27</v>
      </c>
      <c r="DN81" s="228">
        <v>32.01</v>
      </c>
      <c r="DO81" s="228">
        <v>-4.74</v>
      </c>
      <c r="DP81" s="228">
        <v>-4.74</v>
      </c>
      <c r="DQ81" s="228">
        <v>0.66</v>
      </c>
      <c r="DR81" s="228">
        <v>0.76</v>
      </c>
      <c r="DS81" s="228">
        <v>-0.1</v>
      </c>
      <c r="DT81" s="229">
        <v>-0.13159999999999999</v>
      </c>
      <c r="DU81" s="228">
        <v>600</v>
      </c>
      <c r="DV81" s="228">
        <v>600</v>
      </c>
      <c r="DW81" s="228">
        <v>0.69</v>
      </c>
      <c r="DX81" s="228">
        <v>0.69</v>
      </c>
      <c r="DY81" s="228">
        <v>0</v>
      </c>
      <c r="DZ81" s="229">
        <v>0</v>
      </c>
      <c r="EA81" s="229">
        <v>6.1199999999999997E-2</v>
      </c>
      <c r="EB81" s="230">
        <v>1955800</v>
      </c>
      <c r="EC81" s="229">
        <v>5.4000000000000003E-3</v>
      </c>
      <c r="ED81" s="229">
        <v>6.1199999999999997E-2</v>
      </c>
      <c r="EE81" s="228">
        <v>2.4300000000000002</v>
      </c>
      <c r="EF81" s="229">
        <v>4.0000000000000001E-3</v>
      </c>
      <c r="EG81" s="230">
        <v>4018782</v>
      </c>
      <c r="EH81" s="230">
        <v>1416524</v>
      </c>
      <c r="EI81" s="229">
        <v>1.8371</v>
      </c>
      <c r="EJ81" s="229">
        <v>0.43840000000000001</v>
      </c>
      <c r="EK81" s="231">
        <v>3842.57</v>
      </c>
      <c r="EL81" s="231">
        <v>2535.54</v>
      </c>
      <c r="EM81" s="228">
        <v>731.6</v>
      </c>
      <c r="EN81" s="228">
        <v>61.66</v>
      </c>
      <c r="EO81" s="231">
        <v>7109.7</v>
      </c>
      <c r="EP81" s="231">
        <v>3728.67</v>
      </c>
      <c r="EQ81" s="231">
        <v>3381.04</v>
      </c>
      <c r="ER81" s="229">
        <v>0.90680000000000005</v>
      </c>
      <c r="ES81" s="231">
        <v>1276</v>
      </c>
      <c r="ET81" s="228">
        <v>781.26</v>
      </c>
      <c r="EU81" s="231">
        <v>2696.31</v>
      </c>
      <c r="EV81" s="231">
        <v>156090005</v>
      </c>
      <c r="EW81" s="231">
        <v>4753.57</v>
      </c>
      <c r="EX81" s="231">
        <v>4348.68</v>
      </c>
      <c r="EY81" s="228">
        <v>404.89</v>
      </c>
      <c r="EZ81" s="229">
        <v>9.3100000000000002E-2</v>
      </c>
      <c r="FA81" s="229">
        <v>0.49220000000000003</v>
      </c>
      <c r="FB81" s="227" t="s">
        <v>566</v>
      </c>
      <c r="FC81">
        <f t="shared" si="1"/>
        <v>164</v>
      </c>
    </row>
    <row r="82" spans="1:159" ht="17.25" thickBot="1" x14ac:dyDescent="0.3">
      <c r="A82" s="226">
        <v>46129</v>
      </c>
      <c r="B82" s="227" t="s">
        <v>162</v>
      </c>
      <c r="C82" s="227" t="s">
        <v>226</v>
      </c>
      <c r="D82" s="228">
        <v>150</v>
      </c>
      <c r="E82" s="228">
        <v>11</v>
      </c>
      <c r="F82" s="231">
        <v>5244.5</v>
      </c>
      <c r="G82" s="231">
        <v>5162.5</v>
      </c>
      <c r="H82" s="228">
        <v>82</v>
      </c>
      <c r="I82" s="229">
        <v>1.5900000000000001E-2</v>
      </c>
      <c r="J82" s="231">
        <v>5230.5</v>
      </c>
      <c r="K82" s="231">
        <v>5159.5</v>
      </c>
      <c r="L82" s="228">
        <v>71</v>
      </c>
      <c r="M82" s="229">
        <v>1.38E-2</v>
      </c>
      <c r="N82" s="231">
        <v>5244.5</v>
      </c>
      <c r="O82" s="231">
        <v>5162.5</v>
      </c>
      <c r="P82" s="228">
        <v>82</v>
      </c>
      <c r="Q82" s="229">
        <v>1.5900000000000001E-2</v>
      </c>
      <c r="R82" s="231">
        <v>5269.5</v>
      </c>
      <c r="S82" s="231">
        <v>5189</v>
      </c>
      <c r="T82" s="228">
        <v>80.5</v>
      </c>
      <c r="U82" s="229">
        <v>1.55E-2</v>
      </c>
      <c r="V82" s="231">
        <v>5300.5</v>
      </c>
      <c r="W82" s="231">
        <v>5226</v>
      </c>
      <c r="X82" s="228">
        <v>74.5</v>
      </c>
      <c r="Y82" s="229">
        <v>1.43E-2</v>
      </c>
      <c r="Z82" s="228">
        <v>14</v>
      </c>
      <c r="AA82" s="228">
        <v>3</v>
      </c>
      <c r="AB82" s="228">
        <v>11</v>
      </c>
      <c r="AC82" s="229">
        <v>2.7000000000000001E-3</v>
      </c>
      <c r="AD82" s="228">
        <v>14</v>
      </c>
      <c r="AE82" s="228">
        <v>3</v>
      </c>
      <c r="AF82" s="228">
        <v>11</v>
      </c>
      <c r="AG82" s="229">
        <v>2.7000000000000001E-3</v>
      </c>
      <c r="AH82" s="228">
        <v>39</v>
      </c>
      <c r="AI82" s="228">
        <v>29.5</v>
      </c>
      <c r="AJ82" s="228">
        <v>9.5</v>
      </c>
      <c r="AK82" s="229">
        <v>7.4999999999999997E-3</v>
      </c>
      <c r="AL82" s="228">
        <v>70</v>
      </c>
      <c r="AM82" s="228">
        <v>66.5</v>
      </c>
      <c r="AN82" s="228">
        <v>3.5</v>
      </c>
      <c r="AO82" s="229">
        <v>1.34E-2</v>
      </c>
      <c r="AP82" s="231">
        <v>5229.55</v>
      </c>
      <c r="AQ82" s="231">
        <v>5255.22</v>
      </c>
      <c r="AR82" s="228">
        <v>0</v>
      </c>
      <c r="AS82" s="228">
        <v>521</v>
      </c>
      <c r="AT82" s="228">
        <v>472</v>
      </c>
      <c r="AU82" s="228">
        <v>49</v>
      </c>
      <c r="AV82" s="229">
        <v>0.10349999999999999</v>
      </c>
      <c r="AW82" s="228">
        <v>417</v>
      </c>
      <c r="AX82" s="228">
        <v>409</v>
      </c>
      <c r="AY82" s="228">
        <v>7</v>
      </c>
      <c r="AZ82" s="229">
        <v>1.8100000000000002E-2</v>
      </c>
      <c r="BA82" s="228">
        <v>52</v>
      </c>
      <c r="BB82" s="228">
        <v>57</v>
      </c>
      <c r="BC82" s="228">
        <v>-5</v>
      </c>
      <c r="BD82" s="229">
        <v>-8.7499999999999994E-2</v>
      </c>
      <c r="BE82" s="228">
        <v>53</v>
      </c>
      <c r="BF82" s="228">
        <v>6</v>
      </c>
      <c r="BG82" s="228">
        <v>46</v>
      </c>
      <c r="BH82" s="229">
        <v>7.375</v>
      </c>
      <c r="BI82" s="230">
        <v>2456</v>
      </c>
      <c r="BJ82" s="230">
        <v>2542</v>
      </c>
      <c r="BK82" s="228">
        <v>-87</v>
      </c>
      <c r="BL82" s="229">
        <v>-3.4000000000000002E-2</v>
      </c>
      <c r="BM82" s="228">
        <v>949</v>
      </c>
      <c r="BN82" s="230">
        <v>1905</v>
      </c>
      <c r="BO82" s="228">
        <v>-956</v>
      </c>
      <c r="BP82" s="229">
        <v>-0.50190000000000001</v>
      </c>
      <c r="BQ82" s="230">
        <v>3926</v>
      </c>
      <c r="BR82" s="230">
        <v>4920</v>
      </c>
      <c r="BS82" s="228">
        <v>-994</v>
      </c>
      <c r="BT82" s="229">
        <v>-0.20200000000000001</v>
      </c>
      <c r="BU82" s="230">
        <v>584323</v>
      </c>
      <c r="BV82" s="230">
        <v>951290</v>
      </c>
      <c r="BW82" s="230">
        <v>-366967</v>
      </c>
      <c r="BX82" s="229">
        <v>-0.38579999999999998</v>
      </c>
      <c r="BY82" s="230">
        <v>2295</v>
      </c>
      <c r="BZ82" s="230">
        <v>2313</v>
      </c>
      <c r="CA82" s="228">
        <v>-18</v>
      </c>
      <c r="CB82" s="229">
        <v>-7.7000000000000002E-3</v>
      </c>
      <c r="CC82" s="230">
        <v>2134</v>
      </c>
      <c r="CD82" s="230">
        <v>2204</v>
      </c>
      <c r="CE82" s="228">
        <v>-70</v>
      </c>
      <c r="CF82" s="229">
        <v>-3.1800000000000002E-2</v>
      </c>
      <c r="CG82" s="228">
        <v>106</v>
      </c>
      <c r="CH82" s="228">
        <v>100</v>
      </c>
      <c r="CI82" s="228">
        <v>6</v>
      </c>
      <c r="CJ82" s="229">
        <v>6.0900000000000003E-2</v>
      </c>
      <c r="CK82" s="228">
        <v>56</v>
      </c>
      <c r="CL82" s="228">
        <v>10</v>
      </c>
      <c r="CM82" s="228">
        <v>46</v>
      </c>
      <c r="CN82" s="229">
        <v>4.75</v>
      </c>
      <c r="CO82" s="230">
        <v>1285</v>
      </c>
      <c r="CP82" s="230">
        <v>1495</v>
      </c>
      <c r="CQ82" s="228">
        <v>-210</v>
      </c>
      <c r="CR82" s="229">
        <v>-0.14019999999999999</v>
      </c>
      <c r="CS82" s="228">
        <v>768</v>
      </c>
      <c r="CT82" s="228">
        <v>748</v>
      </c>
      <c r="CU82" s="228">
        <v>20</v>
      </c>
      <c r="CV82" s="229">
        <v>2.6200000000000001E-2</v>
      </c>
      <c r="CW82" s="230">
        <v>4348</v>
      </c>
      <c r="CX82" s="230">
        <v>4556</v>
      </c>
      <c r="CY82" s="228">
        <v>-208</v>
      </c>
      <c r="CZ82" s="229">
        <v>-4.5600000000000002E-2</v>
      </c>
      <c r="DA82" s="228">
        <v>31.96</v>
      </c>
      <c r="DB82" s="228">
        <v>35.89</v>
      </c>
      <c r="DC82" s="228">
        <v>-3.93</v>
      </c>
      <c r="DD82" s="228">
        <v>-3.93</v>
      </c>
      <c r="DE82" s="228">
        <v>33.6</v>
      </c>
      <c r="DF82" s="228">
        <v>33.619999999999997</v>
      </c>
      <c r="DG82" s="228">
        <v>-1.64</v>
      </c>
      <c r="DH82" s="228">
        <v>-0.02</v>
      </c>
      <c r="DI82" s="228">
        <v>31.35</v>
      </c>
      <c r="DJ82" s="228">
        <v>35.67</v>
      </c>
      <c r="DK82" s="228">
        <v>-4.32</v>
      </c>
      <c r="DL82" s="228">
        <v>-4.32</v>
      </c>
      <c r="DM82" s="228">
        <v>33.53</v>
      </c>
      <c r="DN82" s="228">
        <v>36.17</v>
      </c>
      <c r="DO82" s="228">
        <v>-2.64</v>
      </c>
      <c r="DP82" s="228">
        <v>-2.64</v>
      </c>
      <c r="DQ82" s="228">
        <v>0.6</v>
      </c>
      <c r="DR82" s="228">
        <v>0.5</v>
      </c>
      <c r="DS82" s="228">
        <v>0.1</v>
      </c>
      <c r="DT82" s="229">
        <v>0.2</v>
      </c>
      <c r="DU82" s="231">
        <v>5400</v>
      </c>
      <c r="DV82" s="231">
        <v>5200</v>
      </c>
      <c r="DW82" s="228">
        <v>0.39</v>
      </c>
      <c r="DX82" s="228">
        <v>0.75</v>
      </c>
      <c r="DY82" s="228">
        <v>-0.36</v>
      </c>
      <c r="DZ82" s="229">
        <v>-0.48</v>
      </c>
      <c r="EA82" s="229">
        <v>7.0400000000000004E-2</v>
      </c>
      <c r="EB82" s="230">
        <v>208350</v>
      </c>
      <c r="EC82" s="229">
        <v>4.7999999999999996E-3</v>
      </c>
      <c r="ED82" s="229">
        <v>7.0400000000000004E-2</v>
      </c>
      <c r="EE82" s="228">
        <v>25.67</v>
      </c>
      <c r="EF82" s="229">
        <v>4.8999999999999998E-3</v>
      </c>
      <c r="EG82" s="230">
        <v>282814</v>
      </c>
      <c r="EH82" s="230">
        <v>453467</v>
      </c>
      <c r="EI82" s="229">
        <v>-0.37630000000000002</v>
      </c>
      <c r="EJ82" s="229">
        <v>0.48399999999999999</v>
      </c>
      <c r="EK82" s="231">
        <v>2561.4699999999998</v>
      </c>
      <c r="EL82" s="228">
        <v>935.44</v>
      </c>
      <c r="EM82" s="228">
        <v>520.48</v>
      </c>
      <c r="EN82" s="228">
        <v>54.72</v>
      </c>
      <c r="EO82" s="231">
        <v>4017.39</v>
      </c>
      <c r="EP82" s="231">
        <v>5011.6400000000003</v>
      </c>
      <c r="EQ82" s="228">
        <v>-994.25</v>
      </c>
      <c r="ER82" s="229">
        <v>-0.19839999999999999</v>
      </c>
      <c r="ES82" s="231">
        <v>1339.98</v>
      </c>
      <c r="ET82" s="228">
        <v>745.16</v>
      </c>
      <c r="EU82" s="231">
        <v>2296.38</v>
      </c>
      <c r="EV82" s="231">
        <v>19589014</v>
      </c>
      <c r="EW82" s="231">
        <v>4381.5200000000004</v>
      </c>
      <c r="EX82" s="231">
        <v>4555.8100000000004</v>
      </c>
      <c r="EY82" s="228">
        <v>-174.29</v>
      </c>
      <c r="EZ82" s="229">
        <v>-3.8300000000000001E-2</v>
      </c>
      <c r="FA82" s="229">
        <v>0.42330000000000001</v>
      </c>
      <c r="FB82" s="227" t="s">
        <v>693</v>
      </c>
      <c r="FC82">
        <f t="shared" si="1"/>
        <v>161</v>
      </c>
    </row>
    <row r="83" spans="1:159" ht="17.25" thickBot="1" x14ac:dyDescent="0.3">
      <c r="A83" s="226">
        <v>46129</v>
      </c>
      <c r="B83" s="227" t="s">
        <v>227</v>
      </c>
      <c r="C83" s="227" t="s">
        <v>228</v>
      </c>
      <c r="D83" s="228">
        <v>700</v>
      </c>
      <c r="E83" s="228">
        <v>11</v>
      </c>
      <c r="F83" s="231">
        <v>1040.95</v>
      </c>
      <c r="G83" s="231">
        <v>1039.8</v>
      </c>
      <c r="H83" s="228">
        <v>1.1499999999999999</v>
      </c>
      <c r="I83" s="229">
        <v>1.1000000000000001E-3</v>
      </c>
      <c r="J83" s="231">
        <v>1039</v>
      </c>
      <c r="K83" s="231">
        <v>1039.9000000000001</v>
      </c>
      <c r="L83" s="228">
        <v>-0.9</v>
      </c>
      <c r="M83" s="229">
        <v>-8.9999999999999998E-4</v>
      </c>
      <c r="N83" s="231">
        <v>1040.95</v>
      </c>
      <c r="O83" s="231">
        <v>1039.8</v>
      </c>
      <c r="P83" s="228">
        <v>1.1499999999999999</v>
      </c>
      <c r="Q83" s="229">
        <v>1.1000000000000001E-3</v>
      </c>
      <c r="R83" s="231">
        <v>1046.95</v>
      </c>
      <c r="S83" s="231">
        <v>1046.05</v>
      </c>
      <c r="T83" s="228">
        <v>0.9</v>
      </c>
      <c r="U83" s="229">
        <v>8.9999999999999998E-4</v>
      </c>
      <c r="V83" s="231">
        <v>1052.7</v>
      </c>
      <c r="W83" s="231">
        <v>1053.3499999999999</v>
      </c>
      <c r="X83" s="228">
        <v>-0.65</v>
      </c>
      <c r="Y83" s="229">
        <v>-5.9999999999999995E-4</v>
      </c>
      <c r="Z83" s="228">
        <v>1.95</v>
      </c>
      <c r="AA83" s="228">
        <v>-0.1</v>
      </c>
      <c r="AB83" s="228">
        <v>2.0499999999999998</v>
      </c>
      <c r="AC83" s="229">
        <v>1.9E-3</v>
      </c>
      <c r="AD83" s="228">
        <v>1.95</v>
      </c>
      <c r="AE83" s="228">
        <v>-0.1</v>
      </c>
      <c r="AF83" s="228">
        <v>2.0499999999999998</v>
      </c>
      <c r="AG83" s="229">
        <v>1.9E-3</v>
      </c>
      <c r="AH83" s="228">
        <v>7.95</v>
      </c>
      <c r="AI83" s="228">
        <v>6.15</v>
      </c>
      <c r="AJ83" s="228">
        <v>1.8</v>
      </c>
      <c r="AK83" s="229">
        <v>7.7000000000000002E-3</v>
      </c>
      <c r="AL83" s="228">
        <v>13.7</v>
      </c>
      <c r="AM83" s="228">
        <v>13.45</v>
      </c>
      <c r="AN83" s="228">
        <v>0.25</v>
      </c>
      <c r="AO83" s="229">
        <v>1.32E-2</v>
      </c>
      <c r="AP83" s="231">
        <v>1035.49</v>
      </c>
      <c r="AQ83" s="231">
        <v>1040.2</v>
      </c>
      <c r="AR83" s="228">
        <v>0</v>
      </c>
      <c r="AS83" s="228">
        <v>468</v>
      </c>
      <c r="AT83" s="230">
        <v>1126</v>
      </c>
      <c r="AU83" s="228">
        <v>-658</v>
      </c>
      <c r="AV83" s="229">
        <v>-0.5847</v>
      </c>
      <c r="AW83" s="228">
        <v>407</v>
      </c>
      <c r="AX83" s="228">
        <v>946</v>
      </c>
      <c r="AY83" s="228">
        <v>-539</v>
      </c>
      <c r="AZ83" s="229">
        <v>-0.57010000000000005</v>
      </c>
      <c r="BA83" s="228">
        <v>56</v>
      </c>
      <c r="BB83" s="228">
        <v>96</v>
      </c>
      <c r="BC83" s="228">
        <v>-40</v>
      </c>
      <c r="BD83" s="229">
        <v>-0.4138</v>
      </c>
      <c r="BE83" s="228">
        <v>4</v>
      </c>
      <c r="BF83" s="228">
        <v>83</v>
      </c>
      <c r="BG83" s="228">
        <v>-79</v>
      </c>
      <c r="BH83" s="229">
        <v>-0.94850000000000001</v>
      </c>
      <c r="BI83" s="230">
        <v>2151</v>
      </c>
      <c r="BJ83" s="230">
        <v>5687</v>
      </c>
      <c r="BK83" s="230">
        <v>-3536</v>
      </c>
      <c r="BL83" s="229">
        <v>-0.62170000000000003</v>
      </c>
      <c r="BM83" s="230">
        <v>1688</v>
      </c>
      <c r="BN83" s="230">
        <v>2919</v>
      </c>
      <c r="BO83" s="230">
        <v>-1231</v>
      </c>
      <c r="BP83" s="229">
        <v>-0.42180000000000001</v>
      </c>
      <c r="BQ83" s="230">
        <v>4306</v>
      </c>
      <c r="BR83" s="230">
        <v>9732</v>
      </c>
      <c r="BS83" s="230">
        <v>-5425</v>
      </c>
      <c r="BT83" s="229">
        <v>-0.5575</v>
      </c>
      <c r="BU83" s="230">
        <v>4421270</v>
      </c>
      <c r="BV83" s="230">
        <v>11313313</v>
      </c>
      <c r="BW83" s="230">
        <v>-6892043</v>
      </c>
      <c r="BX83" s="229">
        <v>-0.60919999999999996</v>
      </c>
      <c r="BY83" s="230">
        <v>3825</v>
      </c>
      <c r="BZ83" s="230">
        <v>3794</v>
      </c>
      <c r="CA83" s="228">
        <v>31</v>
      </c>
      <c r="CB83" s="229">
        <v>8.0999999999999996E-3</v>
      </c>
      <c r="CC83" s="230">
        <v>3334</v>
      </c>
      <c r="CD83" s="230">
        <v>3319</v>
      </c>
      <c r="CE83" s="228">
        <v>15</v>
      </c>
      <c r="CF83" s="229">
        <v>4.4999999999999997E-3</v>
      </c>
      <c r="CG83" s="228">
        <v>315</v>
      </c>
      <c r="CH83" s="228">
        <v>299</v>
      </c>
      <c r="CI83" s="228">
        <v>16</v>
      </c>
      <c r="CJ83" s="229">
        <v>5.2900000000000003E-2</v>
      </c>
      <c r="CK83" s="228">
        <v>176</v>
      </c>
      <c r="CL83" s="228">
        <v>176</v>
      </c>
      <c r="CM83" s="228">
        <v>0</v>
      </c>
      <c r="CN83" s="229">
        <v>1.6999999999999999E-3</v>
      </c>
      <c r="CO83" s="230">
        <v>1574</v>
      </c>
      <c r="CP83" s="230">
        <v>1612</v>
      </c>
      <c r="CQ83" s="228">
        <v>-38</v>
      </c>
      <c r="CR83" s="229">
        <v>-2.3800000000000002E-2</v>
      </c>
      <c r="CS83" s="230">
        <v>1244</v>
      </c>
      <c r="CT83" s="230">
        <v>1392</v>
      </c>
      <c r="CU83" s="228">
        <v>-148</v>
      </c>
      <c r="CV83" s="229">
        <v>-0.10630000000000001</v>
      </c>
      <c r="CW83" s="230">
        <v>6643</v>
      </c>
      <c r="CX83" s="230">
        <v>6798</v>
      </c>
      <c r="CY83" s="228">
        <v>-155</v>
      </c>
      <c r="CZ83" s="229">
        <v>-2.29E-2</v>
      </c>
      <c r="DA83" s="228">
        <v>33.67</v>
      </c>
      <c r="DB83" s="228">
        <v>35.119999999999997</v>
      </c>
      <c r="DC83" s="228">
        <v>-1.45</v>
      </c>
      <c r="DD83" s="228">
        <v>-1.45</v>
      </c>
      <c r="DE83" s="228">
        <v>36.58</v>
      </c>
      <c r="DF83" s="228">
        <v>36.67</v>
      </c>
      <c r="DG83" s="228">
        <v>-2.91</v>
      </c>
      <c r="DH83" s="228">
        <v>-0.09</v>
      </c>
      <c r="DI83" s="228">
        <v>32.450000000000003</v>
      </c>
      <c r="DJ83" s="228">
        <v>34.57</v>
      </c>
      <c r="DK83" s="228">
        <v>-2.12</v>
      </c>
      <c r="DL83" s="228">
        <v>-2.12</v>
      </c>
      <c r="DM83" s="228">
        <v>35.229999999999997</v>
      </c>
      <c r="DN83" s="228">
        <v>36.200000000000003</v>
      </c>
      <c r="DO83" s="228">
        <v>-0.97</v>
      </c>
      <c r="DP83" s="228">
        <v>-0.97</v>
      </c>
      <c r="DQ83" s="228">
        <v>0.79</v>
      </c>
      <c r="DR83" s="228">
        <v>0.86</v>
      </c>
      <c r="DS83" s="228">
        <v>-7.0000000000000007E-2</v>
      </c>
      <c r="DT83" s="229">
        <v>-8.14E-2</v>
      </c>
      <c r="DU83" s="228">
        <v>900</v>
      </c>
      <c r="DV83" s="228">
        <v>900</v>
      </c>
      <c r="DW83" s="228">
        <v>0.78</v>
      </c>
      <c r="DX83" s="228">
        <v>0.51</v>
      </c>
      <c r="DY83" s="228">
        <v>0.27</v>
      </c>
      <c r="DZ83" s="229">
        <v>0.52939999999999998</v>
      </c>
      <c r="EA83" s="229">
        <v>0.12839999999999999</v>
      </c>
      <c r="EB83" s="230">
        <v>4561900</v>
      </c>
      <c r="EC83" s="229">
        <v>5.7999999999999996E-3</v>
      </c>
      <c r="ED83" s="229">
        <v>0.12839999999999999</v>
      </c>
      <c r="EE83" s="228">
        <v>4.71</v>
      </c>
      <c r="EF83" s="229">
        <v>4.4999999999999997E-3</v>
      </c>
      <c r="EG83" s="230">
        <v>2131443</v>
      </c>
      <c r="EH83" s="230">
        <v>6548758</v>
      </c>
      <c r="EI83" s="229">
        <v>-0.67449999999999999</v>
      </c>
      <c r="EJ83" s="229">
        <v>0.48209999999999997</v>
      </c>
      <c r="EK83" s="231">
        <v>2224.41</v>
      </c>
      <c r="EL83" s="231">
        <v>1650.45</v>
      </c>
      <c r="EM83" s="228">
        <v>465.43</v>
      </c>
      <c r="EN83" s="228">
        <v>127.46</v>
      </c>
      <c r="EO83" s="231">
        <v>4340.28</v>
      </c>
      <c r="EP83" s="231">
        <v>9887.7999999999993</v>
      </c>
      <c r="EQ83" s="231">
        <v>-5547.53</v>
      </c>
      <c r="ER83" s="229">
        <v>-0.56100000000000005</v>
      </c>
      <c r="ES83" s="231">
        <v>1515.01</v>
      </c>
      <c r="ET83" s="231">
        <v>1127.79</v>
      </c>
      <c r="EU83" s="231">
        <v>3828.42</v>
      </c>
      <c r="EV83" s="231">
        <v>218611634</v>
      </c>
      <c r="EW83" s="231">
        <v>6471.22</v>
      </c>
      <c r="EX83" s="231">
        <v>6609.71</v>
      </c>
      <c r="EY83" s="228">
        <v>-138.49</v>
      </c>
      <c r="EZ83" s="229">
        <v>-2.1000000000000001E-2</v>
      </c>
      <c r="FA83" s="229">
        <v>0.29189999999999999</v>
      </c>
      <c r="FB83" s="227" t="s">
        <v>555</v>
      </c>
      <c r="FC83">
        <f t="shared" si="1"/>
        <v>491</v>
      </c>
    </row>
    <row r="84" spans="1:159" ht="17.25" thickBot="1" x14ac:dyDescent="0.3">
      <c r="A84" s="226">
        <v>46129</v>
      </c>
      <c r="B84" s="227" t="s">
        <v>193</v>
      </c>
      <c r="C84" s="227" t="s">
        <v>229</v>
      </c>
      <c r="D84" s="228">
        <v>2025</v>
      </c>
      <c r="E84" s="228">
        <v>11</v>
      </c>
      <c r="F84" s="228">
        <v>372.35</v>
      </c>
      <c r="G84" s="228">
        <v>370.25</v>
      </c>
      <c r="H84" s="228">
        <v>2.1</v>
      </c>
      <c r="I84" s="229">
        <v>5.7000000000000002E-3</v>
      </c>
      <c r="J84" s="228">
        <v>370.85</v>
      </c>
      <c r="K84" s="228">
        <v>370.25</v>
      </c>
      <c r="L84" s="228">
        <v>0.6</v>
      </c>
      <c r="M84" s="229">
        <v>1.6000000000000001E-3</v>
      </c>
      <c r="N84" s="228">
        <v>372.35</v>
      </c>
      <c r="O84" s="228">
        <v>370.25</v>
      </c>
      <c r="P84" s="228">
        <v>2.1</v>
      </c>
      <c r="Q84" s="229">
        <v>5.7000000000000002E-3</v>
      </c>
      <c r="R84" s="228">
        <v>374.15</v>
      </c>
      <c r="S84" s="228">
        <v>372.2</v>
      </c>
      <c r="T84" s="228">
        <v>1.95</v>
      </c>
      <c r="U84" s="229">
        <v>5.1999999999999998E-3</v>
      </c>
      <c r="V84" s="228">
        <v>376.15</v>
      </c>
      <c r="W84" s="228">
        <v>373.95</v>
      </c>
      <c r="X84" s="228">
        <v>2.2000000000000002</v>
      </c>
      <c r="Y84" s="229">
        <v>5.8999999999999999E-3</v>
      </c>
      <c r="Z84" s="228">
        <v>1.5</v>
      </c>
      <c r="AA84" s="228">
        <v>0</v>
      </c>
      <c r="AB84" s="228">
        <v>1.5</v>
      </c>
      <c r="AC84" s="229">
        <v>4.0000000000000001E-3</v>
      </c>
      <c r="AD84" s="228">
        <v>1.5</v>
      </c>
      <c r="AE84" s="228">
        <v>0</v>
      </c>
      <c r="AF84" s="228">
        <v>1.5</v>
      </c>
      <c r="AG84" s="229">
        <v>4.0000000000000001E-3</v>
      </c>
      <c r="AH84" s="228">
        <v>3.3</v>
      </c>
      <c r="AI84" s="228">
        <v>1.95</v>
      </c>
      <c r="AJ84" s="228">
        <v>1.35</v>
      </c>
      <c r="AK84" s="229">
        <v>8.8999999999999999E-3</v>
      </c>
      <c r="AL84" s="228">
        <v>5.3</v>
      </c>
      <c r="AM84" s="228">
        <v>3.7</v>
      </c>
      <c r="AN84" s="228">
        <v>1.6</v>
      </c>
      <c r="AO84" s="229">
        <v>1.43E-2</v>
      </c>
      <c r="AP84" s="228">
        <v>370.5</v>
      </c>
      <c r="AQ84" s="228">
        <v>372.22</v>
      </c>
      <c r="AR84" s="228">
        <v>0</v>
      </c>
      <c r="AS84" s="228">
        <v>278</v>
      </c>
      <c r="AT84" s="228">
        <v>228</v>
      </c>
      <c r="AU84" s="228">
        <v>50</v>
      </c>
      <c r="AV84" s="229">
        <v>0.22</v>
      </c>
      <c r="AW84" s="228">
        <v>235</v>
      </c>
      <c r="AX84" s="228">
        <v>191</v>
      </c>
      <c r="AY84" s="228">
        <v>44</v>
      </c>
      <c r="AZ84" s="229">
        <v>0.23130000000000001</v>
      </c>
      <c r="BA84" s="228">
        <v>41</v>
      </c>
      <c r="BB84" s="228">
        <v>34</v>
      </c>
      <c r="BC84" s="228">
        <v>7</v>
      </c>
      <c r="BD84" s="229">
        <v>0.19600000000000001</v>
      </c>
      <c r="BE84" s="228">
        <v>1</v>
      </c>
      <c r="BF84" s="228">
        <v>2</v>
      </c>
      <c r="BG84" s="228">
        <v>-1</v>
      </c>
      <c r="BH84" s="229">
        <v>-0.36670000000000003</v>
      </c>
      <c r="BI84" s="228">
        <v>632</v>
      </c>
      <c r="BJ84" s="228">
        <v>581</v>
      </c>
      <c r="BK84" s="228">
        <v>51</v>
      </c>
      <c r="BL84" s="229">
        <v>8.72E-2</v>
      </c>
      <c r="BM84" s="228">
        <v>498</v>
      </c>
      <c r="BN84" s="228">
        <v>376</v>
      </c>
      <c r="BO84" s="228">
        <v>122</v>
      </c>
      <c r="BP84" s="229">
        <v>0.3256</v>
      </c>
      <c r="BQ84" s="230">
        <v>1408</v>
      </c>
      <c r="BR84" s="230">
        <v>1185</v>
      </c>
      <c r="BS84" s="228">
        <v>223</v>
      </c>
      <c r="BT84" s="229">
        <v>0.1883</v>
      </c>
      <c r="BU84" s="230">
        <v>6489310</v>
      </c>
      <c r="BV84" s="230">
        <v>6532518</v>
      </c>
      <c r="BW84" s="230">
        <v>-43208</v>
      </c>
      <c r="BX84" s="229">
        <v>-6.6E-3</v>
      </c>
      <c r="BY84" s="230">
        <v>1540</v>
      </c>
      <c r="BZ84" s="230">
        <v>1563</v>
      </c>
      <c r="CA84" s="228">
        <v>-23</v>
      </c>
      <c r="CB84" s="229">
        <v>-1.47E-2</v>
      </c>
      <c r="CC84" s="230">
        <v>1457</v>
      </c>
      <c r="CD84" s="230">
        <v>1489</v>
      </c>
      <c r="CE84" s="228">
        <v>-32</v>
      </c>
      <c r="CF84" s="229">
        <v>-2.18E-2</v>
      </c>
      <c r="CG84" s="228">
        <v>76</v>
      </c>
      <c r="CH84" s="228">
        <v>68</v>
      </c>
      <c r="CI84" s="228">
        <v>9</v>
      </c>
      <c r="CJ84" s="229">
        <v>0.13039999999999999</v>
      </c>
      <c r="CK84" s="228">
        <v>7</v>
      </c>
      <c r="CL84" s="228">
        <v>6</v>
      </c>
      <c r="CM84" s="228">
        <v>1</v>
      </c>
      <c r="CN84" s="229">
        <v>0.1205</v>
      </c>
      <c r="CO84" s="228">
        <v>738</v>
      </c>
      <c r="CP84" s="228">
        <v>696</v>
      </c>
      <c r="CQ84" s="228">
        <v>41</v>
      </c>
      <c r="CR84" s="229">
        <v>5.9299999999999999E-2</v>
      </c>
      <c r="CS84" s="228">
        <v>623</v>
      </c>
      <c r="CT84" s="228">
        <v>638</v>
      </c>
      <c r="CU84" s="228">
        <v>-15</v>
      </c>
      <c r="CV84" s="229">
        <v>-2.3599999999999999E-2</v>
      </c>
      <c r="CW84" s="230">
        <v>2901</v>
      </c>
      <c r="CX84" s="230">
        <v>2897</v>
      </c>
      <c r="CY84" s="228">
        <v>3</v>
      </c>
      <c r="CZ84" s="229">
        <v>1.1000000000000001E-3</v>
      </c>
      <c r="DA84" s="228">
        <v>42.16</v>
      </c>
      <c r="DB84" s="228">
        <v>43.14</v>
      </c>
      <c r="DC84" s="228">
        <v>-0.98</v>
      </c>
      <c r="DD84" s="228">
        <v>-0.98</v>
      </c>
      <c r="DE84" s="228">
        <v>44.29</v>
      </c>
      <c r="DF84" s="228">
        <v>44.4</v>
      </c>
      <c r="DG84" s="228">
        <v>-2.13</v>
      </c>
      <c r="DH84" s="228">
        <v>-0.11</v>
      </c>
      <c r="DI84" s="228">
        <v>39.82</v>
      </c>
      <c r="DJ84" s="228">
        <v>42.32</v>
      </c>
      <c r="DK84" s="228">
        <v>-2.5</v>
      </c>
      <c r="DL84" s="228">
        <v>-2.5</v>
      </c>
      <c r="DM84" s="228">
        <v>45.13</v>
      </c>
      <c r="DN84" s="228">
        <v>44.41</v>
      </c>
      <c r="DO84" s="228">
        <v>0.72</v>
      </c>
      <c r="DP84" s="228">
        <v>0.72</v>
      </c>
      <c r="DQ84" s="228">
        <v>0.84</v>
      </c>
      <c r="DR84" s="228">
        <v>0.92</v>
      </c>
      <c r="DS84" s="228">
        <v>-0.08</v>
      </c>
      <c r="DT84" s="229">
        <v>-8.6999999999999994E-2</v>
      </c>
      <c r="DU84" s="228">
        <v>400</v>
      </c>
      <c r="DV84" s="228">
        <v>350</v>
      </c>
      <c r="DW84" s="228">
        <v>0.79</v>
      </c>
      <c r="DX84" s="228">
        <v>0.65</v>
      </c>
      <c r="DY84" s="228">
        <v>0.14000000000000001</v>
      </c>
      <c r="DZ84" s="229">
        <v>0.21540000000000001</v>
      </c>
      <c r="EA84" s="229">
        <v>5.4199999999999998E-2</v>
      </c>
      <c r="EB84" s="230">
        <v>1984500</v>
      </c>
      <c r="EC84" s="229">
        <v>4.7999999999999996E-3</v>
      </c>
      <c r="ED84" s="229">
        <v>5.4199999999999998E-2</v>
      </c>
      <c r="EE84" s="228">
        <v>1.72</v>
      </c>
      <c r="EF84" s="229">
        <v>4.5999999999999999E-3</v>
      </c>
      <c r="EG84" s="230">
        <v>2850536</v>
      </c>
      <c r="EH84" s="230">
        <v>3472507</v>
      </c>
      <c r="EI84" s="229">
        <v>-0.17910000000000001</v>
      </c>
      <c r="EJ84" s="229">
        <v>0.43930000000000002</v>
      </c>
      <c r="EK84" s="228">
        <v>662.49</v>
      </c>
      <c r="EL84" s="228">
        <v>478.05</v>
      </c>
      <c r="EM84" s="228">
        <v>276.45</v>
      </c>
      <c r="EN84" s="228">
        <v>47.02</v>
      </c>
      <c r="EO84" s="231">
        <v>1416.99</v>
      </c>
      <c r="EP84" s="231">
        <v>1207.19</v>
      </c>
      <c r="EQ84" s="228">
        <v>209.8</v>
      </c>
      <c r="ER84" s="229">
        <v>0.17380000000000001</v>
      </c>
      <c r="ES84" s="228">
        <v>748.55</v>
      </c>
      <c r="ET84" s="228">
        <v>569.64</v>
      </c>
      <c r="EU84" s="231">
        <v>1540.58</v>
      </c>
      <c r="EV84" s="231">
        <v>143933168</v>
      </c>
      <c r="EW84" s="231">
        <v>2858.78</v>
      </c>
      <c r="EX84" s="231">
        <v>2841.88</v>
      </c>
      <c r="EY84" s="228">
        <v>16.899999999999999</v>
      </c>
      <c r="EZ84" s="229">
        <v>5.8999999999999999E-3</v>
      </c>
      <c r="FA84" s="229">
        <v>0.54120000000000001</v>
      </c>
      <c r="FB84" s="227" t="s">
        <v>693</v>
      </c>
      <c r="FC84">
        <f t="shared" si="1"/>
        <v>83</v>
      </c>
    </row>
    <row r="85" spans="1:159" ht="17.25" thickBot="1" x14ac:dyDescent="0.3">
      <c r="A85" s="226">
        <v>46129</v>
      </c>
      <c r="B85" s="227" t="s">
        <v>168</v>
      </c>
      <c r="C85" s="227" t="s">
        <v>230</v>
      </c>
      <c r="D85" s="228">
        <v>300</v>
      </c>
      <c r="E85" s="228">
        <v>11</v>
      </c>
      <c r="F85" s="231">
        <v>2240.6999999999998</v>
      </c>
      <c r="G85" s="231">
        <v>2145.1999999999998</v>
      </c>
      <c r="H85" s="228">
        <v>95.5</v>
      </c>
      <c r="I85" s="229">
        <v>4.4499999999999998E-2</v>
      </c>
      <c r="J85" s="231">
        <v>2240.8000000000002</v>
      </c>
      <c r="K85" s="231">
        <v>2139.1</v>
      </c>
      <c r="L85" s="228">
        <v>101.7</v>
      </c>
      <c r="M85" s="229">
        <v>4.7500000000000001E-2</v>
      </c>
      <c r="N85" s="231">
        <v>2240.6999999999998</v>
      </c>
      <c r="O85" s="231">
        <v>2145.1999999999998</v>
      </c>
      <c r="P85" s="228">
        <v>95.5</v>
      </c>
      <c r="Q85" s="229">
        <v>4.4499999999999998E-2</v>
      </c>
      <c r="R85" s="231">
        <v>2251.4</v>
      </c>
      <c r="S85" s="231">
        <v>2155.5</v>
      </c>
      <c r="T85" s="228">
        <v>95.9</v>
      </c>
      <c r="U85" s="229">
        <v>4.4499999999999998E-2</v>
      </c>
      <c r="V85" s="231">
        <v>2237.8000000000002</v>
      </c>
      <c r="W85" s="231">
        <v>2149.6</v>
      </c>
      <c r="X85" s="228">
        <v>88.2</v>
      </c>
      <c r="Y85" s="229">
        <v>4.1000000000000002E-2</v>
      </c>
      <c r="Z85" s="228">
        <v>-0.1</v>
      </c>
      <c r="AA85" s="228">
        <v>6.1</v>
      </c>
      <c r="AB85" s="228">
        <v>-6.2</v>
      </c>
      <c r="AC85" s="229">
        <v>0</v>
      </c>
      <c r="AD85" s="228">
        <v>-0.1</v>
      </c>
      <c r="AE85" s="228">
        <v>6.1</v>
      </c>
      <c r="AF85" s="228">
        <v>-6.2</v>
      </c>
      <c r="AG85" s="229">
        <v>0</v>
      </c>
      <c r="AH85" s="228">
        <v>10.6</v>
      </c>
      <c r="AI85" s="228">
        <v>16.399999999999999</v>
      </c>
      <c r="AJ85" s="228">
        <v>-5.8</v>
      </c>
      <c r="AK85" s="229">
        <v>4.7000000000000002E-3</v>
      </c>
      <c r="AL85" s="228">
        <v>-3</v>
      </c>
      <c r="AM85" s="228">
        <v>10.5</v>
      </c>
      <c r="AN85" s="228">
        <v>-13.5</v>
      </c>
      <c r="AO85" s="229">
        <v>-1.2999999999999999E-3</v>
      </c>
      <c r="AP85" s="231">
        <v>2223</v>
      </c>
      <c r="AQ85" s="231">
        <v>2229.92</v>
      </c>
      <c r="AR85" s="228">
        <v>0</v>
      </c>
      <c r="AS85" s="230">
        <v>1095</v>
      </c>
      <c r="AT85" s="228">
        <v>344</v>
      </c>
      <c r="AU85" s="228">
        <v>751</v>
      </c>
      <c r="AV85" s="229">
        <v>2.1844000000000001</v>
      </c>
      <c r="AW85" s="228">
        <v>972</v>
      </c>
      <c r="AX85" s="228">
        <v>301</v>
      </c>
      <c r="AY85" s="228">
        <v>672</v>
      </c>
      <c r="AZ85" s="229">
        <v>2.2332999999999998</v>
      </c>
      <c r="BA85" s="228">
        <v>101</v>
      </c>
      <c r="BB85" s="228">
        <v>29</v>
      </c>
      <c r="BC85" s="228">
        <v>71</v>
      </c>
      <c r="BD85" s="229">
        <v>2.4232999999999998</v>
      </c>
      <c r="BE85" s="228">
        <v>22</v>
      </c>
      <c r="BF85" s="228">
        <v>14</v>
      </c>
      <c r="BG85" s="228">
        <v>8</v>
      </c>
      <c r="BH85" s="229">
        <v>0.59799999999999998</v>
      </c>
      <c r="BI85" s="230">
        <v>8667</v>
      </c>
      <c r="BJ85" s="230">
        <v>1109</v>
      </c>
      <c r="BK85" s="230">
        <v>7558</v>
      </c>
      <c r="BL85" s="229">
        <v>6.8133999999999997</v>
      </c>
      <c r="BM85" s="230">
        <v>3659</v>
      </c>
      <c r="BN85" s="228">
        <v>577</v>
      </c>
      <c r="BO85" s="230">
        <v>3082</v>
      </c>
      <c r="BP85" s="229">
        <v>5.3451000000000004</v>
      </c>
      <c r="BQ85" s="230">
        <v>13421</v>
      </c>
      <c r="BR85" s="230">
        <v>2030</v>
      </c>
      <c r="BS85" s="230">
        <v>11391</v>
      </c>
      <c r="BT85" s="229">
        <v>5.6120999999999999</v>
      </c>
      <c r="BU85" s="230">
        <v>5144290</v>
      </c>
      <c r="BV85" s="230">
        <v>1985305</v>
      </c>
      <c r="BW85" s="230">
        <v>3158985</v>
      </c>
      <c r="BX85" s="229">
        <v>1.5911999999999999</v>
      </c>
      <c r="BY85" s="230">
        <v>4028</v>
      </c>
      <c r="BZ85" s="230">
        <v>4093</v>
      </c>
      <c r="CA85" s="228">
        <v>-65</v>
      </c>
      <c r="CB85" s="229">
        <v>-1.5900000000000001E-2</v>
      </c>
      <c r="CC85" s="230">
        <v>3798</v>
      </c>
      <c r="CD85" s="230">
        <v>3873</v>
      </c>
      <c r="CE85" s="228">
        <v>-75</v>
      </c>
      <c r="CF85" s="229">
        <v>-1.9300000000000001E-2</v>
      </c>
      <c r="CG85" s="228">
        <v>189</v>
      </c>
      <c r="CH85" s="228">
        <v>176</v>
      </c>
      <c r="CI85" s="228">
        <v>13</v>
      </c>
      <c r="CJ85" s="229">
        <v>7.3300000000000004E-2</v>
      </c>
      <c r="CK85" s="228">
        <v>40</v>
      </c>
      <c r="CL85" s="228">
        <v>44</v>
      </c>
      <c r="CM85" s="228">
        <v>-3</v>
      </c>
      <c r="CN85" s="229">
        <v>-7.9600000000000004E-2</v>
      </c>
      <c r="CO85" s="230">
        <v>1578</v>
      </c>
      <c r="CP85" s="230">
        <v>1140</v>
      </c>
      <c r="CQ85" s="228">
        <v>439</v>
      </c>
      <c r="CR85" s="229">
        <v>0.3851</v>
      </c>
      <c r="CS85" s="230">
        <v>1111</v>
      </c>
      <c r="CT85" s="228">
        <v>850</v>
      </c>
      <c r="CU85" s="228">
        <v>262</v>
      </c>
      <c r="CV85" s="229">
        <v>0.308</v>
      </c>
      <c r="CW85" s="230">
        <v>6717</v>
      </c>
      <c r="CX85" s="230">
        <v>6082</v>
      </c>
      <c r="CY85" s="228">
        <v>635</v>
      </c>
      <c r="CZ85" s="229">
        <v>0.10440000000000001</v>
      </c>
      <c r="DA85" s="228">
        <v>23.32</v>
      </c>
      <c r="DB85" s="228">
        <v>23.35</v>
      </c>
      <c r="DC85" s="228">
        <v>-0.03</v>
      </c>
      <c r="DD85" s="228">
        <v>-0.03</v>
      </c>
      <c r="DE85" s="228">
        <v>23.93</v>
      </c>
      <c r="DF85" s="228">
        <v>23.15</v>
      </c>
      <c r="DG85" s="228">
        <v>-0.61</v>
      </c>
      <c r="DH85" s="228">
        <v>0.78</v>
      </c>
      <c r="DI85" s="228">
        <v>22.79</v>
      </c>
      <c r="DJ85" s="228">
        <v>23.23</v>
      </c>
      <c r="DK85" s="228">
        <v>-0.44</v>
      </c>
      <c r="DL85" s="228">
        <v>-0.44</v>
      </c>
      <c r="DM85" s="228">
        <v>24.59</v>
      </c>
      <c r="DN85" s="228">
        <v>23.56</v>
      </c>
      <c r="DO85" s="228">
        <v>1.03</v>
      </c>
      <c r="DP85" s="228">
        <v>1.03</v>
      </c>
      <c r="DQ85" s="228">
        <v>0.7</v>
      </c>
      <c r="DR85" s="228">
        <v>0.75</v>
      </c>
      <c r="DS85" s="228">
        <v>-0.05</v>
      </c>
      <c r="DT85" s="229">
        <v>-6.6699999999999995E-2</v>
      </c>
      <c r="DU85" s="231">
        <v>2260</v>
      </c>
      <c r="DV85" s="231">
        <v>1900</v>
      </c>
      <c r="DW85" s="228">
        <v>0.42</v>
      </c>
      <c r="DX85" s="228">
        <v>0.52</v>
      </c>
      <c r="DY85" s="228">
        <v>-0.1</v>
      </c>
      <c r="DZ85" s="229">
        <v>-0.1923</v>
      </c>
      <c r="EA85" s="229">
        <v>5.6899999999999999E-2</v>
      </c>
      <c r="EB85" s="230">
        <v>981300</v>
      </c>
      <c r="EC85" s="229">
        <v>4.7999999999999996E-3</v>
      </c>
      <c r="ED85" s="229">
        <v>5.6899999999999999E-2</v>
      </c>
      <c r="EE85" s="228">
        <v>6.92</v>
      </c>
      <c r="EF85" s="229">
        <v>3.0999999999999999E-3</v>
      </c>
      <c r="EG85" s="230">
        <v>2985003</v>
      </c>
      <c r="EH85" s="230">
        <v>1083756</v>
      </c>
      <c r="EI85" s="229">
        <v>1.7543</v>
      </c>
      <c r="EJ85" s="229">
        <v>0.58030000000000004</v>
      </c>
      <c r="EK85" s="231">
        <v>8864.27</v>
      </c>
      <c r="EL85" s="231">
        <v>3585.18</v>
      </c>
      <c r="EM85" s="231">
        <v>1086.42</v>
      </c>
      <c r="EN85" s="228">
        <v>67.099999999999994</v>
      </c>
      <c r="EO85" s="231">
        <v>13535.87</v>
      </c>
      <c r="EP85" s="231">
        <v>1978.2</v>
      </c>
      <c r="EQ85" s="231">
        <v>11557.67</v>
      </c>
      <c r="ER85" s="229">
        <v>5.8425000000000002</v>
      </c>
      <c r="ES85" s="231">
        <v>1580.27</v>
      </c>
      <c r="ET85" s="231">
        <v>1043.67</v>
      </c>
      <c r="EU85" s="231">
        <v>4028.46</v>
      </c>
      <c r="EV85" s="231">
        <v>89517840</v>
      </c>
      <c r="EW85" s="231">
        <v>6652.4</v>
      </c>
      <c r="EX85" s="231">
        <v>5831.01</v>
      </c>
      <c r="EY85" s="228">
        <v>821.39</v>
      </c>
      <c r="EZ85" s="229">
        <v>0.1409</v>
      </c>
      <c r="FA85" s="229">
        <v>0.33489999999999998</v>
      </c>
      <c r="FB85" s="227" t="s">
        <v>693</v>
      </c>
      <c r="FC85">
        <f t="shared" si="1"/>
        <v>230</v>
      </c>
    </row>
    <row r="86" spans="1:159" ht="17.25" thickBot="1" x14ac:dyDescent="0.3">
      <c r="A86" s="226">
        <v>46129</v>
      </c>
      <c r="B86" s="227" t="s">
        <v>227</v>
      </c>
      <c r="C86" s="227" t="s">
        <v>666</v>
      </c>
      <c r="D86" s="228">
        <v>1225</v>
      </c>
      <c r="E86" s="228">
        <v>11</v>
      </c>
      <c r="F86" s="228">
        <v>593.20000000000005</v>
      </c>
      <c r="G86" s="228">
        <v>594.29999999999995</v>
      </c>
      <c r="H86" s="228">
        <v>-1.1000000000000001</v>
      </c>
      <c r="I86" s="229">
        <v>-1.9E-3</v>
      </c>
      <c r="J86" s="228">
        <v>592.29999999999995</v>
      </c>
      <c r="K86" s="228">
        <v>592.5</v>
      </c>
      <c r="L86" s="228">
        <v>-0.2</v>
      </c>
      <c r="M86" s="229">
        <v>-2.9999999999999997E-4</v>
      </c>
      <c r="N86" s="228">
        <v>593.20000000000005</v>
      </c>
      <c r="O86" s="228">
        <v>594.29999999999995</v>
      </c>
      <c r="P86" s="228">
        <v>-1.1000000000000001</v>
      </c>
      <c r="Q86" s="229">
        <v>-1.9E-3</v>
      </c>
      <c r="R86" s="228">
        <v>596.95000000000005</v>
      </c>
      <c r="S86" s="228">
        <v>597.65</v>
      </c>
      <c r="T86" s="228">
        <v>-0.7</v>
      </c>
      <c r="U86" s="229">
        <v>-1.1999999999999999E-3</v>
      </c>
      <c r="V86" s="228">
        <v>598.65</v>
      </c>
      <c r="W86" s="228">
        <v>600.35</v>
      </c>
      <c r="X86" s="228">
        <v>-1.7</v>
      </c>
      <c r="Y86" s="229">
        <v>-2.8E-3</v>
      </c>
      <c r="Z86" s="228">
        <v>0.9</v>
      </c>
      <c r="AA86" s="228">
        <v>1.8</v>
      </c>
      <c r="AB86" s="228">
        <v>-0.9</v>
      </c>
      <c r="AC86" s="229">
        <v>1.5E-3</v>
      </c>
      <c r="AD86" s="228">
        <v>0.9</v>
      </c>
      <c r="AE86" s="228">
        <v>1.8</v>
      </c>
      <c r="AF86" s="228">
        <v>-0.9</v>
      </c>
      <c r="AG86" s="229">
        <v>1.5E-3</v>
      </c>
      <c r="AH86" s="228">
        <v>4.6500000000000004</v>
      </c>
      <c r="AI86" s="228">
        <v>5.15</v>
      </c>
      <c r="AJ86" s="228">
        <v>-0.5</v>
      </c>
      <c r="AK86" s="229">
        <v>7.9000000000000008E-3</v>
      </c>
      <c r="AL86" s="228">
        <v>6.35</v>
      </c>
      <c r="AM86" s="228">
        <v>7.85</v>
      </c>
      <c r="AN86" s="228">
        <v>-1.5</v>
      </c>
      <c r="AO86" s="229">
        <v>1.0699999999999999E-2</v>
      </c>
      <c r="AP86" s="228">
        <v>589.55999999999995</v>
      </c>
      <c r="AQ86" s="228">
        <v>593.17999999999995</v>
      </c>
      <c r="AR86" s="228">
        <v>0</v>
      </c>
      <c r="AS86" s="228">
        <v>329</v>
      </c>
      <c r="AT86" s="228">
        <v>448</v>
      </c>
      <c r="AU86" s="228">
        <v>-119</v>
      </c>
      <c r="AV86" s="229">
        <v>-0.26619999999999999</v>
      </c>
      <c r="AW86" s="228">
        <v>253</v>
      </c>
      <c r="AX86" s="228">
        <v>334</v>
      </c>
      <c r="AY86" s="228">
        <v>-81</v>
      </c>
      <c r="AZ86" s="229">
        <v>-0.2424</v>
      </c>
      <c r="BA86" s="228">
        <v>72</v>
      </c>
      <c r="BB86" s="228">
        <v>102</v>
      </c>
      <c r="BC86" s="228">
        <v>-31</v>
      </c>
      <c r="BD86" s="229">
        <v>-0.30109999999999998</v>
      </c>
      <c r="BE86" s="228">
        <v>4</v>
      </c>
      <c r="BF86" s="228">
        <v>11</v>
      </c>
      <c r="BG86" s="228">
        <v>-7</v>
      </c>
      <c r="BH86" s="229">
        <v>-0.64970000000000006</v>
      </c>
      <c r="BI86" s="228">
        <v>959</v>
      </c>
      <c r="BJ86" s="230">
        <v>3047</v>
      </c>
      <c r="BK86" s="230">
        <v>-2089</v>
      </c>
      <c r="BL86" s="229">
        <v>-0.6855</v>
      </c>
      <c r="BM86" s="228">
        <v>572</v>
      </c>
      <c r="BN86" s="230">
        <v>1348</v>
      </c>
      <c r="BO86" s="228">
        <v>-776</v>
      </c>
      <c r="BP86" s="229">
        <v>-0.57569999999999999</v>
      </c>
      <c r="BQ86" s="230">
        <v>1859</v>
      </c>
      <c r="BR86" s="230">
        <v>4843</v>
      </c>
      <c r="BS86" s="230">
        <v>-2984</v>
      </c>
      <c r="BT86" s="229">
        <v>-0.61619999999999997</v>
      </c>
      <c r="BU86" s="230">
        <v>3168321</v>
      </c>
      <c r="BV86" s="230">
        <v>8213648</v>
      </c>
      <c r="BW86" s="230">
        <v>-5045327</v>
      </c>
      <c r="BX86" s="229">
        <v>-0.61429999999999996</v>
      </c>
      <c r="BY86" s="230">
        <v>2171</v>
      </c>
      <c r="BZ86" s="230">
        <v>2163</v>
      </c>
      <c r="CA86" s="228">
        <v>8</v>
      </c>
      <c r="CB86" s="229">
        <v>3.7000000000000002E-3</v>
      </c>
      <c r="CC86" s="230">
        <v>1931</v>
      </c>
      <c r="CD86" s="230">
        <v>1953</v>
      </c>
      <c r="CE86" s="228">
        <v>-22</v>
      </c>
      <c r="CF86" s="229">
        <v>-1.11E-2</v>
      </c>
      <c r="CG86" s="228">
        <v>212</v>
      </c>
      <c r="CH86" s="228">
        <v>184</v>
      </c>
      <c r="CI86" s="228">
        <v>28</v>
      </c>
      <c r="CJ86" s="229">
        <v>0.14929999999999999</v>
      </c>
      <c r="CK86" s="228">
        <v>28</v>
      </c>
      <c r="CL86" s="228">
        <v>26</v>
      </c>
      <c r="CM86" s="228">
        <v>2</v>
      </c>
      <c r="CN86" s="229">
        <v>8.1199999999999994E-2</v>
      </c>
      <c r="CO86" s="230">
        <v>1240</v>
      </c>
      <c r="CP86" s="230">
        <v>1168</v>
      </c>
      <c r="CQ86" s="228">
        <v>72</v>
      </c>
      <c r="CR86" s="229">
        <v>6.1699999999999998E-2</v>
      </c>
      <c r="CS86" s="228">
        <v>990</v>
      </c>
      <c r="CT86" s="228">
        <v>970</v>
      </c>
      <c r="CU86" s="228">
        <v>20</v>
      </c>
      <c r="CV86" s="229">
        <v>2.0799999999999999E-2</v>
      </c>
      <c r="CW86" s="230">
        <v>4402</v>
      </c>
      <c r="CX86" s="230">
        <v>4301</v>
      </c>
      <c r="CY86" s="228">
        <v>100</v>
      </c>
      <c r="CZ86" s="229">
        <v>2.3300000000000001E-2</v>
      </c>
      <c r="DA86" s="228">
        <v>43.38</v>
      </c>
      <c r="DB86" s="228">
        <v>45.69</v>
      </c>
      <c r="DC86" s="228">
        <v>-2.31</v>
      </c>
      <c r="DD86" s="228">
        <v>-2.31</v>
      </c>
      <c r="DE86" s="228">
        <v>50.55</v>
      </c>
      <c r="DF86" s="228">
        <v>50.68</v>
      </c>
      <c r="DG86" s="228">
        <v>-7.17</v>
      </c>
      <c r="DH86" s="228">
        <v>-0.13</v>
      </c>
      <c r="DI86" s="228">
        <v>42.34</v>
      </c>
      <c r="DJ86" s="228">
        <v>44.73</v>
      </c>
      <c r="DK86" s="228">
        <v>-2.39</v>
      </c>
      <c r="DL86" s="228">
        <v>-2.39</v>
      </c>
      <c r="DM86" s="228">
        <v>45.13</v>
      </c>
      <c r="DN86" s="228">
        <v>47.87</v>
      </c>
      <c r="DO86" s="228">
        <v>-2.74</v>
      </c>
      <c r="DP86" s="228">
        <v>-2.74</v>
      </c>
      <c r="DQ86" s="228">
        <v>0.8</v>
      </c>
      <c r="DR86" s="228">
        <v>0.83</v>
      </c>
      <c r="DS86" s="228">
        <v>-0.03</v>
      </c>
      <c r="DT86" s="229">
        <v>-3.61E-2</v>
      </c>
      <c r="DU86" s="228">
        <v>600</v>
      </c>
      <c r="DV86" s="228">
        <v>600</v>
      </c>
      <c r="DW86" s="228">
        <v>0.6</v>
      </c>
      <c r="DX86" s="228">
        <v>0.44</v>
      </c>
      <c r="DY86" s="228">
        <v>0.16</v>
      </c>
      <c r="DZ86" s="229">
        <v>0.36359999999999998</v>
      </c>
      <c r="EA86" s="229">
        <v>0.1105</v>
      </c>
      <c r="EB86" s="230">
        <v>3546375</v>
      </c>
      <c r="EC86" s="229">
        <v>6.3E-3</v>
      </c>
      <c r="ED86" s="229">
        <v>0.1105</v>
      </c>
      <c r="EE86" s="228">
        <v>3.62</v>
      </c>
      <c r="EF86" s="229">
        <v>6.1000000000000004E-3</v>
      </c>
      <c r="EG86" s="230">
        <v>944338</v>
      </c>
      <c r="EH86" s="230">
        <v>3041458</v>
      </c>
      <c r="EI86" s="229">
        <v>-0.6895</v>
      </c>
      <c r="EJ86" s="229">
        <v>0.29809999999999998</v>
      </c>
      <c r="EK86" s="231">
        <v>1006.82</v>
      </c>
      <c r="EL86" s="228">
        <v>555.14</v>
      </c>
      <c r="EM86" s="228">
        <v>326.99</v>
      </c>
      <c r="EN86" s="228">
        <v>46.54</v>
      </c>
      <c r="EO86" s="231">
        <v>1888.95</v>
      </c>
      <c r="EP86" s="231">
        <v>4971.43</v>
      </c>
      <c r="EQ86" s="231">
        <v>-3082.48</v>
      </c>
      <c r="ER86" s="229">
        <v>-0.62</v>
      </c>
      <c r="ES86" s="231">
        <v>1233.52</v>
      </c>
      <c r="ET86" s="228">
        <v>908.74</v>
      </c>
      <c r="EU86" s="231">
        <v>2173.0300000000002</v>
      </c>
      <c r="EV86" s="231">
        <v>241870587</v>
      </c>
      <c r="EW86" s="231">
        <v>4315.3</v>
      </c>
      <c r="EX86" s="231">
        <v>4211.1400000000003</v>
      </c>
      <c r="EY86" s="228">
        <v>104.16</v>
      </c>
      <c r="EZ86" s="229">
        <v>2.47E-2</v>
      </c>
      <c r="FA86" s="229">
        <v>0.30680000000000002</v>
      </c>
      <c r="FB86" s="227" t="s">
        <v>566</v>
      </c>
      <c r="FC86">
        <f t="shared" si="1"/>
        <v>240</v>
      </c>
    </row>
    <row r="87" spans="1:159" ht="17.25" thickBot="1" x14ac:dyDescent="0.3">
      <c r="A87" s="226">
        <v>46129</v>
      </c>
      <c r="B87" s="227" t="s">
        <v>206</v>
      </c>
      <c r="C87" s="227" t="s">
        <v>607</v>
      </c>
      <c r="D87" s="228">
        <v>2775</v>
      </c>
      <c r="E87" s="228">
        <v>11</v>
      </c>
      <c r="F87" s="228">
        <v>197.6</v>
      </c>
      <c r="G87" s="228">
        <v>194.54</v>
      </c>
      <c r="H87" s="228">
        <v>3.06</v>
      </c>
      <c r="I87" s="229">
        <v>1.5699999999999999E-2</v>
      </c>
      <c r="J87" s="228">
        <v>196.91</v>
      </c>
      <c r="K87" s="228">
        <v>193.67</v>
      </c>
      <c r="L87" s="228">
        <v>3.24</v>
      </c>
      <c r="M87" s="229">
        <v>1.67E-2</v>
      </c>
      <c r="N87" s="228">
        <v>197.6</v>
      </c>
      <c r="O87" s="228">
        <v>194.54</v>
      </c>
      <c r="P87" s="228">
        <v>3.06</v>
      </c>
      <c r="Q87" s="229">
        <v>1.5699999999999999E-2</v>
      </c>
      <c r="R87" s="228">
        <v>0</v>
      </c>
      <c r="S87" s="228">
        <v>0</v>
      </c>
      <c r="T87" s="228">
        <v>0</v>
      </c>
      <c r="U87" s="229">
        <v>0</v>
      </c>
      <c r="V87" s="228">
        <v>0</v>
      </c>
      <c r="W87" s="228">
        <v>0</v>
      </c>
      <c r="X87" s="228">
        <v>0</v>
      </c>
      <c r="Y87" s="229">
        <v>0</v>
      </c>
      <c r="Z87" s="228">
        <v>0.69</v>
      </c>
      <c r="AA87" s="228">
        <v>0.87</v>
      </c>
      <c r="AB87" s="228">
        <v>-0.18</v>
      </c>
      <c r="AC87" s="229">
        <v>3.5000000000000001E-3</v>
      </c>
      <c r="AD87" s="228">
        <v>0.69</v>
      </c>
      <c r="AE87" s="228">
        <v>0.87</v>
      </c>
      <c r="AF87" s="228">
        <v>-0.18</v>
      </c>
      <c r="AG87" s="229">
        <v>3.5000000000000001E-3</v>
      </c>
      <c r="AH87" s="228">
        <v>0</v>
      </c>
      <c r="AI87" s="228">
        <v>0</v>
      </c>
      <c r="AJ87" s="228">
        <v>0</v>
      </c>
      <c r="AK87" s="229">
        <v>0</v>
      </c>
      <c r="AL87" s="228">
        <v>0</v>
      </c>
      <c r="AM87" s="228">
        <v>0</v>
      </c>
      <c r="AN87" s="228">
        <v>0</v>
      </c>
      <c r="AO87" s="229">
        <v>0</v>
      </c>
      <c r="AP87" s="228">
        <v>195.68</v>
      </c>
      <c r="AQ87" s="228">
        <v>0</v>
      </c>
      <c r="AR87" s="228">
        <v>0</v>
      </c>
      <c r="AS87" s="228">
        <v>153</v>
      </c>
      <c r="AT87" s="228">
        <v>131</v>
      </c>
      <c r="AU87" s="228">
        <v>21</v>
      </c>
      <c r="AV87" s="229">
        <v>0.16189999999999999</v>
      </c>
      <c r="AW87" s="228">
        <v>153</v>
      </c>
      <c r="AX87" s="228">
        <v>131</v>
      </c>
      <c r="AY87" s="228">
        <v>21</v>
      </c>
      <c r="AZ87" s="229">
        <v>0.16189999999999999</v>
      </c>
      <c r="BA87" s="228">
        <v>0</v>
      </c>
      <c r="BB87" s="228">
        <v>0</v>
      </c>
      <c r="BC87" s="228">
        <v>0</v>
      </c>
      <c r="BD87" s="229">
        <v>0</v>
      </c>
      <c r="BE87" s="228">
        <v>0</v>
      </c>
      <c r="BF87" s="228">
        <v>0</v>
      </c>
      <c r="BG87" s="228">
        <v>0</v>
      </c>
      <c r="BH87" s="229">
        <v>0</v>
      </c>
      <c r="BI87" s="228">
        <v>477</v>
      </c>
      <c r="BJ87" s="228">
        <v>522</v>
      </c>
      <c r="BK87" s="228">
        <v>-46</v>
      </c>
      <c r="BL87" s="229">
        <v>-8.7300000000000003E-2</v>
      </c>
      <c r="BM87" s="228">
        <v>271</v>
      </c>
      <c r="BN87" s="228">
        <v>210</v>
      </c>
      <c r="BO87" s="228">
        <v>62</v>
      </c>
      <c r="BP87" s="229">
        <v>0.29339999999999999</v>
      </c>
      <c r="BQ87" s="228">
        <v>901</v>
      </c>
      <c r="BR87" s="228">
        <v>863</v>
      </c>
      <c r="BS87" s="228">
        <v>37</v>
      </c>
      <c r="BT87" s="229">
        <v>4.3200000000000002E-2</v>
      </c>
      <c r="BU87" s="230">
        <v>6783178</v>
      </c>
      <c r="BV87" s="230">
        <v>6136712</v>
      </c>
      <c r="BW87" s="230">
        <v>646466</v>
      </c>
      <c r="BX87" s="229">
        <v>0.1053</v>
      </c>
      <c r="BY87" s="228">
        <v>547</v>
      </c>
      <c r="BZ87" s="228">
        <v>552</v>
      </c>
      <c r="CA87" s="228">
        <v>-5</v>
      </c>
      <c r="CB87" s="229">
        <v>-8.8999999999999999E-3</v>
      </c>
      <c r="CC87" s="228">
        <v>547</v>
      </c>
      <c r="CD87" s="228">
        <v>552</v>
      </c>
      <c r="CE87" s="228">
        <v>-5</v>
      </c>
      <c r="CF87" s="229">
        <v>-8.8999999999999999E-3</v>
      </c>
      <c r="CG87" s="228">
        <v>0</v>
      </c>
      <c r="CH87" s="228">
        <v>0</v>
      </c>
      <c r="CI87" s="228">
        <v>0</v>
      </c>
      <c r="CJ87" s="229">
        <v>0</v>
      </c>
      <c r="CK87" s="228">
        <v>0</v>
      </c>
      <c r="CL87" s="228">
        <v>0</v>
      </c>
      <c r="CM87" s="228">
        <v>0</v>
      </c>
      <c r="CN87" s="229">
        <v>0</v>
      </c>
      <c r="CO87" s="228">
        <v>221</v>
      </c>
      <c r="CP87" s="228">
        <v>238</v>
      </c>
      <c r="CQ87" s="228">
        <v>-18</v>
      </c>
      <c r="CR87" s="229">
        <v>-7.4800000000000005E-2</v>
      </c>
      <c r="CS87" s="228">
        <v>195</v>
      </c>
      <c r="CT87" s="228">
        <v>190</v>
      </c>
      <c r="CU87" s="228">
        <v>5</v>
      </c>
      <c r="CV87" s="229">
        <v>2.6200000000000001E-2</v>
      </c>
      <c r="CW87" s="228">
        <v>963</v>
      </c>
      <c r="CX87" s="228">
        <v>981</v>
      </c>
      <c r="CY87" s="228">
        <v>-18</v>
      </c>
      <c r="CZ87" s="229">
        <v>-1.8100000000000002E-2</v>
      </c>
      <c r="DA87" s="228">
        <v>36.89</v>
      </c>
      <c r="DB87" s="228">
        <v>39.770000000000003</v>
      </c>
      <c r="DC87" s="228">
        <v>-2.88</v>
      </c>
      <c r="DD87" s="228">
        <v>-2.88</v>
      </c>
      <c r="DE87" s="228">
        <v>50.34</v>
      </c>
      <c r="DF87" s="228">
        <v>50.43</v>
      </c>
      <c r="DG87" s="228">
        <v>-13.45</v>
      </c>
      <c r="DH87" s="228">
        <v>-0.09</v>
      </c>
      <c r="DI87" s="228">
        <v>35.39</v>
      </c>
      <c r="DJ87" s="228">
        <v>38.47</v>
      </c>
      <c r="DK87" s="228">
        <v>-3.08</v>
      </c>
      <c r="DL87" s="228">
        <v>-3.08</v>
      </c>
      <c r="DM87" s="228">
        <v>39.520000000000003</v>
      </c>
      <c r="DN87" s="228">
        <v>42.98</v>
      </c>
      <c r="DO87" s="228">
        <v>-3.46</v>
      </c>
      <c r="DP87" s="228">
        <v>-3.46</v>
      </c>
      <c r="DQ87" s="228">
        <v>0.89</v>
      </c>
      <c r="DR87" s="228">
        <v>0.8</v>
      </c>
      <c r="DS87" s="228">
        <v>0.09</v>
      </c>
      <c r="DT87" s="229">
        <v>0.1125</v>
      </c>
      <c r="DU87" s="228">
        <v>205</v>
      </c>
      <c r="DV87" s="228">
        <v>180</v>
      </c>
      <c r="DW87" s="228">
        <v>0.56999999999999995</v>
      </c>
      <c r="DX87" s="228">
        <v>0.4</v>
      </c>
      <c r="DY87" s="228">
        <v>0.17</v>
      </c>
      <c r="DZ87" s="229">
        <v>0.42499999999999999</v>
      </c>
      <c r="EA87" s="229">
        <v>0</v>
      </c>
      <c r="EB87" s="228">
        <v>0</v>
      </c>
      <c r="EC87" s="229">
        <v>0</v>
      </c>
      <c r="ED87" s="229">
        <v>0</v>
      </c>
      <c r="EE87" s="228">
        <v>0</v>
      </c>
      <c r="EF87" s="229">
        <v>0</v>
      </c>
      <c r="EG87" s="230">
        <v>1325856</v>
      </c>
      <c r="EH87" s="230">
        <v>1445347</v>
      </c>
      <c r="EI87" s="229">
        <v>-8.2699999999999996E-2</v>
      </c>
      <c r="EJ87" s="229">
        <v>0.19550000000000001</v>
      </c>
      <c r="EK87" s="228">
        <v>488.29</v>
      </c>
      <c r="EL87" s="228">
        <v>264.66000000000003</v>
      </c>
      <c r="EM87" s="228">
        <v>151.22999999999999</v>
      </c>
      <c r="EN87" s="228">
        <v>17.690000000000001</v>
      </c>
      <c r="EO87" s="228">
        <v>904.18</v>
      </c>
      <c r="EP87" s="228">
        <v>865.46</v>
      </c>
      <c r="EQ87" s="228">
        <v>38.72</v>
      </c>
      <c r="ER87" s="229">
        <v>4.4699999999999997E-2</v>
      </c>
      <c r="ES87" s="228">
        <v>214.56</v>
      </c>
      <c r="ET87" s="228">
        <v>176.25</v>
      </c>
      <c r="EU87" s="228">
        <v>547.46</v>
      </c>
      <c r="EV87" s="231">
        <v>75071250</v>
      </c>
      <c r="EW87" s="228">
        <v>938.27</v>
      </c>
      <c r="EX87" s="228">
        <v>946.11</v>
      </c>
      <c r="EY87" s="228">
        <v>-7.84</v>
      </c>
      <c r="EZ87" s="229">
        <v>-8.3000000000000001E-3</v>
      </c>
      <c r="FA87" s="229">
        <v>0.64929999999999999</v>
      </c>
      <c r="FB87" s="227" t="s">
        <v>693</v>
      </c>
      <c r="FC87">
        <f t="shared" si="1"/>
        <v>0</v>
      </c>
    </row>
    <row r="88" spans="1:159" ht="17.25" thickBot="1" x14ac:dyDescent="0.3">
      <c r="A88" s="226">
        <v>46129</v>
      </c>
      <c r="B88" s="227" t="s">
        <v>162</v>
      </c>
      <c r="C88" s="227" t="s">
        <v>694</v>
      </c>
      <c r="D88" s="228">
        <v>275</v>
      </c>
      <c r="E88" s="228">
        <v>11</v>
      </c>
      <c r="F88" s="231">
        <v>1869.4</v>
      </c>
      <c r="G88" s="231">
        <v>1854.5</v>
      </c>
      <c r="H88" s="228">
        <v>14.9</v>
      </c>
      <c r="I88" s="229">
        <v>8.0000000000000002E-3</v>
      </c>
      <c r="J88" s="231">
        <v>1902.8</v>
      </c>
      <c r="K88" s="231">
        <v>1852.5</v>
      </c>
      <c r="L88" s="228">
        <v>50.3</v>
      </c>
      <c r="M88" s="229">
        <v>2.7199999999999998E-2</v>
      </c>
      <c r="N88" s="231">
        <v>1869.4</v>
      </c>
      <c r="O88" s="231">
        <v>1854.5</v>
      </c>
      <c r="P88" s="228">
        <v>14.9</v>
      </c>
      <c r="Q88" s="229">
        <v>8.0000000000000002E-3</v>
      </c>
      <c r="R88" s="231">
        <v>1838</v>
      </c>
      <c r="S88" s="231">
        <v>1825.6</v>
      </c>
      <c r="T88" s="228">
        <v>12.4</v>
      </c>
      <c r="U88" s="229">
        <v>6.7999999999999996E-3</v>
      </c>
      <c r="V88" s="231">
        <v>1816.5</v>
      </c>
      <c r="W88" s="231">
        <v>1807.4</v>
      </c>
      <c r="X88" s="228">
        <v>9.1</v>
      </c>
      <c r="Y88" s="229">
        <v>5.0000000000000001E-3</v>
      </c>
      <c r="Z88" s="228">
        <v>-33.4</v>
      </c>
      <c r="AA88" s="228">
        <v>2</v>
      </c>
      <c r="AB88" s="228">
        <v>-35.4</v>
      </c>
      <c r="AC88" s="229">
        <v>-1.7600000000000001E-2</v>
      </c>
      <c r="AD88" s="228">
        <v>-33.4</v>
      </c>
      <c r="AE88" s="228">
        <v>2</v>
      </c>
      <c r="AF88" s="228">
        <v>-35.4</v>
      </c>
      <c r="AG88" s="229">
        <v>-1.7600000000000001E-2</v>
      </c>
      <c r="AH88" s="228">
        <v>-64.8</v>
      </c>
      <c r="AI88" s="228">
        <v>-26.9</v>
      </c>
      <c r="AJ88" s="228">
        <v>-37.9</v>
      </c>
      <c r="AK88" s="229">
        <v>-3.4099999999999998E-2</v>
      </c>
      <c r="AL88" s="228">
        <v>-86.3</v>
      </c>
      <c r="AM88" s="228">
        <v>-45.1</v>
      </c>
      <c r="AN88" s="228">
        <v>-41.2</v>
      </c>
      <c r="AO88" s="229">
        <v>-4.5400000000000003E-2</v>
      </c>
      <c r="AP88" s="231">
        <v>1882.82</v>
      </c>
      <c r="AQ88" s="231">
        <v>1850.16</v>
      </c>
      <c r="AR88" s="228">
        <v>0</v>
      </c>
      <c r="AS88" s="228">
        <v>430</v>
      </c>
      <c r="AT88" s="228">
        <v>392</v>
      </c>
      <c r="AU88" s="228">
        <v>39</v>
      </c>
      <c r="AV88" s="229">
        <v>9.8299999999999998E-2</v>
      </c>
      <c r="AW88" s="228">
        <v>316</v>
      </c>
      <c r="AX88" s="228">
        <v>317</v>
      </c>
      <c r="AY88" s="228">
        <v>-1</v>
      </c>
      <c r="AZ88" s="229">
        <v>-1.6000000000000001E-3</v>
      </c>
      <c r="BA88" s="228">
        <v>105</v>
      </c>
      <c r="BB88" s="228">
        <v>69</v>
      </c>
      <c r="BC88" s="228">
        <v>36</v>
      </c>
      <c r="BD88" s="229">
        <v>0.51929999999999998</v>
      </c>
      <c r="BE88" s="228">
        <v>8</v>
      </c>
      <c r="BF88" s="228">
        <v>5</v>
      </c>
      <c r="BG88" s="228">
        <v>3</v>
      </c>
      <c r="BH88" s="229">
        <v>0.56730000000000003</v>
      </c>
      <c r="BI88" s="228">
        <v>729</v>
      </c>
      <c r="BJ88" s="230">
        <v>1079</v>
      </c>
      <c r="BK88" s="228">
        <v>-350</v>
      </c>
      <c r="BL88" s="229">
        <v>-0.3241</v>
      </c>
      <c r="BM88" s="228">
        <v>179</v>
      </c>
      <c r="BN88" s="228">
        <v>236</v>
      </c>
      <c r="BO88" s="228">
        <v>-57</v>
      </c>
      <c r="BP88" s="229">
        <v>-0.2424</v>
      </c>
      <c r="BQ88" s="230">
        <v>1338</v>
      </c>
      <c r="BR88" s="230">
        <v>1707</v>
      </c>
      <c r="BS88" s="228">
        <v>-368</v>
      </c>
      <c r="BT88" s="229">
        <v>-0.21590000000000001</v>
      </c>
      <c r="BU88" s="230">
        <v>1667502</v>
      </c>
      <c r="BV88" s="230">
        <v>1528435</v>
      </c>
      <c r="BW88" s="230">
        <v>139067</v>
      </c>
      <c r="BX88" s="229">
        <v>9.0999999999999998E-2</v>
      </c>
      <c r="BY88" s="230">
        <v>1527</v>
      </c>
      <c r="BZ88" s="230">
        <v>1443</v>
      </c>
      <c r="CA88" s="228">
        <v>84</v>
      </c>
      <c r="CB88" s="229">
        <v>5.8000000000000003E-2</v>
      </c>
      <c r="CC88" s="230">
        <v>1179</v>
      </c>
      <c r="CD88" s="230">
        <v>1155</v>
      </c>
      <c r="CE88" s="228">
        <v>24</v>
      </c>
      <c r="CF88" s="229">
        <v>2.0799999999999999E-2</v>
      </c>
      <c r="CG88" s="228">
        <v>337</v>
      </c>
      <c r="CH88" s="228">
        <v>280</v>
      </c>
      <c r="CI88" s="228">
        <v>57</v>
      </c>
      <c r="CJ88" s="229">
        <v>0.20330000000000001</v>
      </c>
      <c r="CK88" s="228">
        <v>11</v>
      </c>
      <c r="CL88" s="228">
        <v>8</v>
      </c>
      <c r="CM88" s="228">
        <v>3</v>
      </c>
      <c r="CN88" s="229">
        <v>0.33119999999999999</v>
      </c>
      <c r="CO88" s="228">
        <v>196</v>
      </c>
      <c r="CP88" s="228">
        <v>253</v>
      </c>
      <c r="CQ88" s="228">
        <v>-58</v>
      </c>
      <c r="CR88" s="229">
        <v>-0.2276</v>
      </c>
      <c r="CS88" s="228">
        <v>129</v>
      </c>
      <c r="CT88" s="228">
        <v>129</v>
      </c>
      <c r="CU88" s="228">
        <v>0</v>
      </c>
      <c r="CV88" s="229">
        <v>-4.0000000000000002E-4</v>
      </c>
      <c r="CW88" s="230">
        <v>1852</v>
      </c>
      <c r="CX88" s="230">
        <v>1826</v>
      </c>
      <c r="CY88" s="228">
        <v>26</v>
      </c>
      <c r="CZ88" s="229">
        <v>1.4200000000000001E-2</v>
      </c>
      <c r="DA88" s="228">
        <v>40.36</v>
      </c>
      <c r="DB88" s="228">
        <v>43.17</v>
      </c>
      <c r="DC88" s="228">
        <v>-2.81</v>
      </c>
      <c r="DD88" s="228">
        <v>-2.81</v>
      </c>
      <c r="DE88" s="228">
        <v>33.67</v>
      </c>
      <c r="DF88" s="228">
        <v>33.729999999999997</v>
      </c>
      <c r="DG88" s="228">
        <v>6.69</v>
      </c>
      <c r="DH88" s="228">
        <v>-0.06</v>
      </c>
      <c r="DI88" s="228">
        <v>40.340000000000003</v>
      </c>
      <c r="DJ88" s="228">
        <v>43.03</v>
      </c>
      <c r="DK88" s="228">
        <v>-2.69</v>
      </c>
      <c r="DL88" s="228">
        <v>-2.69</v>
      </c>
      <c r="DM88" s="228">
        <v>40.479999999999997</v>
      </c>
      <c r="DN88" s="228">
        <v>43.79</v>
      </c>
      <c r="DO88" s="228">
        <v>-3.31</v>
      </c>
      <c r="DP88" s="228">
        <v>-3.31</v>
      </c>
      <c r="DQ88" s="228">
        <v>0.66</v>
      </c>
      <c r="DR88" s="228">
        <v>0.51</v>
      </c>
      <c r="DS88" s="228">
        <v>0.15</v>
      </c>
      <c r="DT88" s="229">
        <v>0.29409999999999997</v>
      </c>
      <c r="DU88" s="231">
        <v>1900</v>
      </c>
      <c r="DV88" s="231">
        <v>1800</v>
      </c>
      <c r="DW88" s="228">
        <v>0.24</v>
      </c>
      <c r="DX88" s="228">
        <v>0.22</v>
      </c>
      <c r="DY88" s="228">
        <v>0.02</v>
      </c>
      <c r="DZ88" s="229">
        <v>9.0899999999999995E-2</v>
      </c>
      <c r="EA88" s="229">
        <v>0.22789999999999999</v>
      </c>
      <c r="EB88" s="230">
        <v>1542750</v>
      </c>
      <c r="EC88" s="229">
        <v>-1.6799999999999999E-2</v>
      </c>
      <c r="ED88" s="229">
        <v>0.22789999999999999</v>
      </c>
      <c r="EE88" s="228">
        <v>-32.659999999999997</v>
      </c>
      <c r="EF88" s="229">
        <v>-1.7299999999999999E-2</v>
      </c>
      <c r="EG88" s="230">
        <v>810116</v>
      </c>
      <c r="EH88" s="230">
        <v>538471</v>
      </c>
      <c r="EI88" s="229">
        <v>0.50449999999999995</v>
      </c>
      <c r="EJ88" s="229">
        <v>0.48580000000000001</v>
      </c>
      <c r="EK88" s="228">
        <v>767.32</v>
      </c>
      <c r="EL88" s="228">
        <v>173.44</v>
      </c>
      <c r="EM88" s="228">
        <v>431.1</v>
      </c>
      <c r="EN88" s="228">
        <v>67.53</v>
      </c>
      <c r="EO88" s="231">
        <v>1371.86</v>
      </c>
      <c r="EP88" s="231">
        <v>1721.96</v>
      </c>
      <c r="EQ88" s="228">
        <v>-350.1</v>
      </c>
      <c r="ER88" s="229">
        <v>-0.20330000000000001</v>
      </c>
      <c r="ES88" s="228">
        <v>197.28</v>
      </c>
      <c r="ET88" s="228">
        <v>120.89</v>
      </c>
      <c r="EU88" s="231">
        <v>1521.17</v>
      </c>
      <c r="EV88" s="231">
        <v>21329205</v>
      </c>
      <c r="EW88" s="231">
        <v>1839.34</v>
      </c>
      <c r="EX88" s="231">
        <v>1802.18</v>
      </c>
      <c r="EY88" s="228">
        <v>37.159999999999997</v>
      </c>
      <c r="EZ88" s="229">
        <v>2.06E-2</v>
      </c>
      <c r="FA88" s="229">
        <v>0.46439999999999998</v>
      </c>
      <c r="FB88" s="227" t="s">
        <v>555</v>
      </c>
      <c r="FC88">
        <f t="shared" si="1"/>
        <v>348</v>
      </c>
    </row>
    <row r="89" spans="1:159" ht="17.25" thickBot="1" x14ac:dyDescent="0.3">
      <c r="A89" s="226">
        <v>46129</v>
      </c>
      <c r="B89" s="227" t="s">
        <v>172</v>
      </c>
      <c r="C89" s="227" t="s">
        <v>232</v>
      </c>
      <c r="D89" s="228">
        <v>700</v>
      </c>
      <c r="E89" s="228">
        <v>11</v>
      </c>
      <c r="F89" s="231">
        <v>1351.6</v>
      </c>
      <c r="G89" s="231">
        <v>1348.1</v>
      </c>
      <c r="H89" s="228">
        <v>3.5</v>
      </c>
      <c r="I89" s="229">
        <v>2.5999999999999999E-3</v>
      </c>
      <c r="J89" s="231">
        <v>1346.8</v>
      </c>
      <c r="K89" s="231">
        <v>1345.5</v>
      </c>
      <c r="L89" s="228">
        <v>1.3</v>
      </c>
      <c r="M89" s="229">
        <v>1E-3</v>
      </c>
      <c r="N89" s="231">
        <v>1351.6</v>
      </c>
      <c r="O89" s="231">
        <v>1348.1</v>
      </c>
      <c r="P89" s="228">
        <v>3.5</v>
      </c>
      <c r="Q89" s="229">
        <v>2.5999999999999999E-3</v>
      </c>
      <c r="R89" s="231">
        <v>1358.6</v>
      </c>
      <c r="S89" s="231">
        <v>1355.4</v>
      </c>
      <c r="T89" s="228">
        <v>3.2</v>
      </c>
      <c r="U89" s="229">
        <v>2.3999999999999998E-3</v>
      </c>
      <c r="V89" s="231">
        <v>1367.1</v>
      </c>
      <c r="W89" s="231">
        <v>1363.1</v>
      </c>
      <c r="X89" s="228">
        <v>4</v>
      </c>
      <c r="Y89" s="229">
        <v>2.8999999999999998E-3</v>
      </c>
      <c r="Z89" s="228">
        <v>4.8</v>
      </c>
      <c r="AA89" s="228">
        <v>2.6</v>
      </c>
      <c r="AB89" s="228">
        <v>2.2000000000000002</v>
      </c>
      <c r="AC89" s="229">
        <v>3.5999999999999999E-3</v>
      </c>
      <c r="AD89" s="228">
        <v>4.8</v>
      </c>
      <c r="AE89" s="228">
        <v>2.6</v>
      </c>
      <c r="AF89" s="228">
        <v>2.2000000000000002</v>
      </c>
      <c r="AG89" s="229">
        <v>3.5999999999999999E-3</v>
      </c>
      <c r="AH89" s="228">
        <v>11.8</v>
      </c>
      <c r="AI89" s="228">
        <v>9.9</v>
      </c>
      <c r="AJ89" s="228">
        <v>1.9</v>
      </c>
      <c r="AK89" s="229">
        <v>8.8000000000000005E-3</v>
      </c>
      <c r="AL89" s="228">
        <v>20.3</v>
      </c>
      <c r="AM89" s="228">
        <v>17.600000000000001</v>
      </c>
      <c r="AN89" s="228">
        <v>2.7</v>
      </c>
      <c r="AO89" s="229">
        <v>1.5100000000000001E-2</v>
      </c>
      <c r="AP89" s="231">
        <v>1345.81</v>
      </c>
      <c r="AQ89" s="231">
        <v>1351.69</v>
      </c>
      <c r="AR89" s="228">
        <v>0</v>
      </c>
      <c r="AS89" s="230">
        <v>2457</v>
      </c>
      <c r="AT89" s="230">
        <v>2435</v>
      </c>
      <c r="AU89" s="228">
        <v>22</v>
      </c>
      <c r="AV89" s="229">
        <v>8.8999999999999999E-3</v>
      </c>
      <c r="AW89" s="230">
        <v>2097</v>
      </c>
      <c r="AX89" s="230">
        <v>2081</v>
      </c>
      <c r="AY89" s="228">
        <v>16</v>
      </c>
      <c r="AZ89" s="229">
        <v>7.6E-3</v>
      </c>
      <c r="BA89" s="228">
        <v>339</v>
      </c>
      <c r="BB89" s="228">
        <v>211</v>
      </c>
      <c r="BC89" s="228">
        <v>127</v>
      </c>
      <c r="BD89" s="229">
        <v>0.60219999999999996</v>
      </c>
      <c r="BE89" s="228">
        <v>21</v>
      </c>
      <c r="BF89" s="228">
        <v>143</v>
      </c>
      <c r="BG89" s="228">
        <v>-121</v>
      </c>
      <c r="BH89" s="229">
        <v>-0.84970000000000001</v>
      </c>
      <c r="BI89" s="230">
        <v>7936</v>
      </c>
      <c r="BJ89" s="230">
        <v>6130</v>
      </c>
      <c r="BK89" s="230">
        <v>1807</v>
      </c>
      <c r="BL89" s="229">
        <v>0.29470000000000002</v>
      </c>
      <c r="BM89" s="230">
        <v>5383</v>
      </c>
      <c r="BN89" s="230">
        <v>3709</v>
      </c>
      <c r="BO89" s="230">
        <v>1674</v>
      </c>
      <c r="BP89" s="229">
        <v>0.45129999999999998</v>
      </c>
      <c r="BQ89" s="230">
        <v>15776</v>
      </c>
      <c r="BR89" s="230">
        <v>12274</v>
      </c>
      <c r="BS89" s="230">
        <v>3502</v>
      </c>
      <c r="BT89" s="229">
        <v>0.2853</v>
      </c>
      <c r="BU89" s="230">
        <v>18309513</v>
      </c>
      <c r="BV89" s="230">
        <v>27946514</v>
      </c>
      <c r="BW89" s="230">
        <v>-9637001</v>
      </c>
      <c r="BX89" s="229">
        <v>-0.3448</v>
      </c>
      <c r="BY89" s="230">
        <v>15660</v>
      </c>
      <c r="BZ89" s="230">
        <v>15190</v>
      </c>
      <c r="CA89" s="228">
        <v>469</v>
      </c>
      <c r="CB89" s="229">
        <v>3.09E-2</v>
      </c>
      <c r="CC89" s="230">
        <v>11597</v>
      </c>
      <c r="CD89" s="230">
        <v>11359</v>
      </c>
      <c r="CE89" s="228">
        <v>237</v>
      </c>
      <c r="CF89" s="229">
        <v>2.0899999999999998E-2</v>
      </c>
      <c r="CG89" s="230">
        <v>3495</v>
      </c>
      <c r="CH89" s="230">
        <v>3275</v>
      </c>
      <c r="CI89" s="228">
        <v>220</v>
      </c>
      <c r="CJ89" s="229">
        <v>6.7299999999999999E-2</v>
      </c>
      <c r="CK89" s="228">
        <v>568</v>
      </c>
      <c r="CL89" s="228">
        <v>556</v>
      </c>
      <c r="CM89" s="228">
        <v>12</v>
      </c>
      <c r="CN89" s="229">
        <v>2.0799999999999999E-2</v>
      </c>
      <c r="CO89" s="230">
        <v>4140</v>
      </c>
      <c r="CP89" s="230">
        <v>3503</v>
      </c>
      <c r="CQ89" s="228">
        <v>637</v>
      </c>
      <c r="CR89" s="229">
        <v>0.18190000000000001</v>
      </c>
      <c r="CS89" s="230">
        <v>3427</v>
      </c>
      <c r="CT89" s="230">
        <v>2839</v>
      </c>
      <c r="CU89" s="228">
        <v>588</v>
      </c>
      <c r="CV89" s="229">
        <v>0.2069</v>
      </c>
      <c r="CW89" s="230">
        <v>23226</v>
      </c>
      <c r="CX89" s="230">
        <v>21533</v>
      </c>
      <c r="CY89" s="230">
        <v>1694</v>
      </c>
      <c r="CZ89" s="229">
        <v>7.8700000000000006E-2</v>
      </c>
      <c r="DA89" s="228">
        <v>28.99</v>
      </c>
      <c r="DB89" s="228">
        <v>29.72</v>
      </c>
      <c r="DC89" s="228">
        <v>-0.73</v>
      </c>
      <c r="DD89" s="228">
        <v>-0.73</v>
      </c>
      <c r="DE89" s="228">
        <v>23.88</v>
      </c>
      <c r="DF89" s="228">
        <v>23.94</v>
      </c>
      <c r="DG89" s="228">
        <v>5.1100000000000003</v>
      </c>
      <c r="DH89" s="228">
        <v>-0.06</v>
      </c>
      <c r="DI89" s="228">
        <v>28.26</v>
      </c>
      <c r="DJ89" s="228">
        <v>29.3</v>
      </c>
      <c r="DK89" s="228">
        <v>-1.04</v>
      </c>
      <c r="DL89" s="228">
        <v>-1.04</v>
      </c>
      <c r="DM89" s="228">
        <v>30.06</v>
      </c>
      <c r="DN89" s="228">
        <v>30.39</v>
      </c>
      <c r="DO89" s="228">
        <v>-0.33</v>
      </c>
      <c r="DP89" s="228">
        <v>-0.33</v>
      </c>
      <c r="DQ89" s="228">
        <v>0.83</v>
      </c>
      <c r="DR89" s="228">
        <v>0.81</v>
      </c>
      <c r="DS89" s="228">
        <v>0.02</v>
      </c>
      <c r="DT89" s="229">
        <v>2.47E-2</v>
      </c>
      <c r="DU89" s="231">
        <v>1400</v>
      </c>
      <c r="DV89" s="231">
        <v>1300</v>
      </c>
      <c r="DW89" s="228">
        <v>0.68</v>
      </c>
      <c r="DX89" s="228">
        <v>0.61</v>
      </c>
      <c r="DY89" s="228">
        <v>7.0000000000000007E-2</v>
      </c>
      <c r="DZ89" s="229">
        <v>0.1148</v>
      </c>
      <c r="EA89" s="229">
        <v>0.25940000000000002</v>
      </c>
      <c r="EB89" s="230">
        <v>28343700</v>
      </c>
      <c r="EC89" s="229">
        <v>5.1999999999999998E-3</v>
      </c>
      <c r="ED89" s="229">
        <v>0.25940000000000002</v>
      </c>
      <c r="EE89" s="228">
        <v>5.88</v>
      </c>
      <c r="EF89" s="229">
        <v>4.4000000000000003E-3</v>
      </c>
      <c r="EG89" s="230">
        <v>10779112</v>
      </c>
      <c r="EH89" s="230">
        <v>8617015</v>
      </c>
      <c r="EI89" s="229">
        <v>0.25090000000000001</v>
      </c>
      <c r="EJ89" s="229">
        <v>0.5887</v>
      </c>
      <c r="EK89" s="231">
        <v>8220.76</v>
      </c>
      <c r="EL89" s="231">
        <v>5271.11</v>
      </c>
      <c r="EM89" s="231">
        <v>2448.1799999999998</v>
      </c>
      <c r="EN89" s="228">
        <v>298.43</v>
      </c>
      <c r="EO89" s="231">
        <v>15940.04</v>
      </c>
      <c r="EP89" s="231">
        <v>12500.29</v>
      </c>
      <c r="EQ89" s="231">
        <v>3439.76</v>
      </c>
      <c r="ER89" s="229">
        <v>0.2752</v>
      </c>
      <c r="ES89" s="231">
        <v>4140.75</v>
      </c>
      <c r="ET89" s="231">
        <v>3243.96</v>
      </c>
      <c r="EU89" s="231">
        <v>15684.22</v>
      </c>
      <c r="EV89" s="231">
        <v>668616020</v>
      </c>
      <c r="EW89" s="231">
        <v>23068.93</v>
      </c>
      <c r="EX89" s="231">
        <v>21340.81</v>
      </c>
      <c r="EY89" s="231">
        <v>1728.12</v>
      </c>
      <c r="EZ89" s="229">
        <v>8.1000000000000003E-2</v>
      </c>
      <c r="FA89" s="229">
        <v>0.25700000000000001</v>
      </c>
      <c r="FB89" s="227" t="s">
        <v>555</v>
      </c>
      <c r="FC89">
        <f t="shared" si="1"/>
        <v>4063</v>
      </c>
    </row>
    <row r="90" spans="1:159" ht="17.25" thickBot="1" x14ac:dyDescent="0.3">
      <c r="A90" s="226">
        <v>46129</v>
      </c>
      <c r="B90" s="227" t="s">
        <v>175</v>
      </c>
      <c r="C90" s="227" t="s">
        <v>472</v>
      </c>
      <c r="D90" s="228">
        <v>325</v>
      </c>
      <c r="E90" s="228">
        <v>11</v>
      </c>
      <c r="F90" s="231">
        <v>1890.9</v>
      </c>
      <c r="G90" s="231">
        <v>1886.2</v>
      </c>
      <c r="H90" s="228">
        <v>4.7</v>
      </c>
      <c r="I90" s="229">
        <v>2.5000000000000001E-3</v>
      </c>
      <c r="J90" s="231">
        <v>1891.6</v>
      </c>
      <c r="K90" s="231">
        <v>1886.7</v>
      </c>
      <c r="L90" s="228">
        <v>4.9000000000000004</v>
      </c>
      <c r="M90" s="229">
        <v>2.5999999999999999E-3</v>
      </c>
      <c r="N90" s="231">
        <v>1890.9</v>
      </c>
      <c r="O90" s="231">
        <v>1886.2</v>
      </c>
      <c r="P90" s="228">
        <v>4.7</v>
      </c>
      <c r="Q90" s="229">
        <v>2.5000000000000001E-3</v>
      </c>
      <c r="R90" s="231">
        <v>1900.3</v>
      </c>
      <c r="S90" s="231">
        <v>1894</v>
      </c>
      <c r="T90" s="228">
        <v>6.3</v>
      </c>
      <c r="U90" s="229">
        <v>3.3E-3</v>
      </c>
      <c r="V90" s="231">
        <v>1883.8</v>
      </c>
      <c r="W90" s="231">
        <v>1913.8</v>
      </c>
      <c r="X90" s="228">
        <v>-30</v>
      </c>
      <c r="Y90" s="229">
        <v>-1.5699999999999999E-2</v>
      </c>
      <c r="Z90" s="228">
        <v>-0.7</v>
      </c>
      <c r="AA90" s="228">
        <v>-0.5</v>
      </c>
      <c r="AB90" s="228">
        <v>-0.2</v>
      </c>
      <c r="AC90" s="229">
        <v>-4.0000000000000002E-4</v>
      </c>
      <c r="AD90" s="228">
        <v>-0.7</v>
      </c>
      <c r="AE90" s="228">
        <v>-0.5</v>
      </c>
      <c r="AF90" s="228">
        <v>-0.2</v>
      </c>
      <c r="AG90" s="229">
        <v>-4.0000000000000002E-4</v>
      </c>
      <c r="AH90" s="228">
        <v>8.6999999999999993</v>
      </c>
      <c r="AI90" s="228">
        <v>7.3</v>
      </c>
      <c r="AJ90" s="228">
        <v>1.4</v>
      </c>
      <c r="AK90" s="229">
        <v>4.5999999999999999E-3</v>
      </c>
      <c r="AL90" s="228">
        <v>-7.8</v>
      </c>
      <c r="AM90" s="228">
        <v>27.1</v>
      </c>
      <c r="AN90" s="228">
        <v>-34.9</v>
      </c>
      <c r="AO90" s="229">
        <v>-4.1000000000000003E-3</v>
      </c>
      <c r="AP90" s="231">
        <v>1881.77</v>
      </c>
      <c r="AQ90" s="231">
        <v>1891.89</v>
      </c>
      <c r="AR90" s="228">
        <v>0</v>
      </c>
      <c r="AS90" s="228">
        <v>141</v>
      </c>
      <c r="AT90" s="228">
        <v>305</v>
      </c>
      <c r="AU90" s="228">
        <v>-164</v>
      </c>
      <c r="AV90" s="229">
        <v>-0.53720000000000001</v>
      </c>
      <c r="AW90" s="228">
        <v>135</v>
      </c>
      <c r="AX90" s="228">
        <v>292</v>
      </c>
      <c r="AY90" s="228">
        <v>-157</v>
      </c>
      <c r="AZ90" s="229">
        <v>-0.53820000000000001</v>
      </c>
      <c r="BA90" s="228">
        <v>6</v>
      </c>
      <c r="BB90" s="228">
        <v>12</v>
      </c>
      <c r="BC90" s="228">
        <v>-6</v>
      </c>
      <c r="BD90" s="229">
        <v>-0.52500000000000002</v>
      </c>
      <c r="BE90" s="228">
        <v>1</v>
      </c>
      <c r="BF90" s="228">
        <v>1</v>
      </c>
      <c r="BG90" s="228">
        <v>0</v>
      </c>
      <c r="BH90" s="229">
        <v>-0.35709999999999997</v>
      </c>
      <c r="BI90" s="228">
        <v>473</v>
      </c>
      <c r="BJ90" s="230">
        <v>2702</v>
      </c>
      <c r="BK90" s="230">
        <v>-2229</v>
      </c>
      <c r="BL90" s="229">
        <v>-0.82489999999999997</v>
      </c>
      <c r="BM90" s="228">
        <v>310</v>
      </c>
      <c r="BN90" s="230">
        <v>1454</v>
      </c>
      <c r="BO90" s="230">
        <v>-1144</v>
      </c>
      <c r="BP90" s="229">
        <v>-0.78700000000000003</v>
      </c>
      <c r="BQ90" s="228">
        <v>924</v>
      </c>
      <c r="BR90" s="230">
        <v>4460</v>
      </c>
      <c r="BS90" s="230">
        <v>-3537</v>
      </c>
      <c r="BT90" s="229">
        <v>-0.79290000000000005</v>
      </c>
      <c r="BU90" s="230">
        <v>436337</v>
      </c>
      <c r="BV90" s="230">
        <v>1260616</v>
      </c>
      <c r="BW90" s="230">
        <v>-824279</v>
      </c>
      <c r="BX90" s="229">
        <v>-0.65390000000000004</v>
      </c>
      <c r="BY90" s="230">
        <v>1054</v>
      </c>
      <c r="BZ90" s="230">
        <v>1057</v>
      </c>
      <c r="CA90" s="228">
        <v>-3</v>
      </c>
      <c r="CB90" s="229">
        <v>-2.3999999999999998E-3</v>
      </c>
      <c r="CC90" s="230">
        <v>1039</v>
      </c>
      <c r="CD90" s="230">
        <v>1042</v>
      </c>
      <c r="CE90" s="228">
        <v>-3</v>
      </c>
      <c r="CF90" s="229">
        <v>-3.0000000000000001E-3</v>
      </c>
      <c r="CG90" s="228">
        <v>14</v>
      </c>
      <c r="CH90" s="228">
        <v>14</v>
      </c>
      <c r="CI90" s="228">
        <v>1</v>
      </c>
      <c r="CJ90" s="229">
        <v>4.5199999999999997E-2</v>
      </c>
      <c r="CK90" s="228">
        <v>1</v>
      </c>
      <c r="CL90" s="228">
        <v>1</v>
      </c>
      <c r="CM90" s="228">
        <v>0</v>
      </c>
      <c r="CN90" s="229">
        <v>-5.8799999999999998E-2</v>
      </c>
      <c r="CO90" s="228">
        <v>284</v>
      </c>
      <c r="CP90" s="228">
        <v>322</v>
      </c>
      <c r="CQ90" s="228">
        <v>-38</v>
      </c>
      <c r="CR90" s="229">
        <v>-0.1183</v>
      </c>
      <c r="CS90" s="228">
        <v>251</v>
      </c>
      <c r="CT90" s="228">
        <v>295</v>
      </c>
      <c r="CU90" s="228">
        <v>-44</v>
      </c>
      <c r="CV90" s="229">
        <v>-0.1484</v>
      </c>
      <c r="CW90" s="230">
        <v>1589</v>
      </c>
      <c r="CX90" s="230">
        <v>1673</v>
      </c>
      <c r="CY90" s="228">
        <v>-84</v>
      </c>
      <c r="CZ90" s="229">
        <v>-5.0500000000000003E-2</v>
      </c>
      <c r="DA90" s="228">
        <v>24.67</v>
      </c>
      <c r="DB90" s="228">
        <v>25.68</v>
      </c>
      <c r="DC90" s="228">
        <v>-1.01</v>
      </c>
      <c r="DD90" s="228">
        <v>-1.01</v>
      </c>
      <c r="DE90" s="228">
        <v>27.17</v>
      </c>
      <c r="DF90" s="228">
        <v>27.24</v>
      </c>
      <c r="DG90" s="228">
        <v>-2.5</v>
      </c>
      <c r="DH90" s="228">
        <v>-7.0000000000000007E-2</v>
      </c>
      <c r="DI90" s="228">
        <v>24.16</v>
      </c>
      <c r="DJ90" s="228">
        <v>25.03</v>
      </c>
      <c r="DK90" s="228">
        <v>-0.87</v>
      </c>
      <c r="DL90" s="228">
        <v>-0.87</v>
      </c>
      <c r="DM90" s="228">
        <v>25.44</v>
      </c>
      <c r="DN90" s="228">
        <v>26.89</v>
      </c>
      <c r="DO90" s="228">
        <v>-1.45</v>
      </c>
      <c r="DP90" s="228">
        <v>-1.45</v>
      </c>
      <c r="DQ90" s="228">
        <v>0.88</v>
      </c>
      <c r="DR90" s="228">
        <v>0.92</v>
      </c>
      <c r="DS90" s="228">
        <v>-0.04</v>
      </c>
      <c r="DT90" s="229">
        <v>-4.3499999999999997E-2</v>
      </c>
      <c r="DU90" s="231">
        <v>2000</v>
      </c>
      <c r="DV90" s="231">
        <v>1800</v>
      </c>
      <c r="DW90" s="228">
        <v>0.65</v>
      </c>
      <c r="DX90" s="228">
        <v>0.54</v>
      </c>
      <c r="DY90" s="228">
        <v>0.11</v>
      </c>
      <c r="DZ90" s="229">
        <v>0.20369999999999999</v>
      </c>
      <c r="EA90" s="229">
        <v>1.44E-2</v>
      </c>
      <c r="EB90" s="230">
        <v>77350</v>
      </c>
      <c r="EC90" s="229">
        <v>5.0000000000000001E-3</v>
      </c>
      <c r="ED90" s="229">
        <v>1.44E-2</v>
      </c>
      <c r="EE90" s="228">
        <v>10.119999999999999</v>
      </c>
      <c r="EF90" s="229">
        <v>5.4000000000000003E-3</v>
      </c>
      <c r="EG90" s="230">
        <v>180589</v>
      </c>
      <c r="EH90" s="230">
        <v>333336</v>
      </c>
      <c r="EI90" s="229">
        <v>-0.4582</v>
      </c>
      <c r="EJ90" s="229">
        <v>0.41389999999999999</v>
      </c>
      <c r="EK90" s="228">
        <v>487.52</v>
      </c>
      <c r="EL90" s="228">
        <v>303.06</v>
      </c>
      <c r="EM90" s="228">
        <v>140.57</v>
      </c>
      <c r="EN90" s="228">
        <v>31.15</v>
      </c>
      <c r="EO90" s="228">
        <v>931.15</v>
      </c>
      <c r="EP90" s="231">
        <v>4488.05</v>
      </c>
      <c r="EQ90" s="231">
        <v>-3556.89</v>
      </c>
      <c r="ER90" s="229">
        <v>-0.79249999999999998</v>
      </c>
      <c r="ES90" s="228">
        <v>286.20999999999998</v>
      </c>
      <c r="ET90" s="228">
        <v>235.78</v>
      </c>
      <c r="EU90" s="231">
        <v>1054.07</v>
      </c>
      <c r="EV90" s="231">
        <v>27086521</v>
      </c>
      <c r="EW90" s="231">
        <v>1576.06</v>
      </c>
      <c r="EX90" s="231">
        <v>1656.35</v>
      </c>
      <c r="EY90" s="228">
        <v>-80.290000000000006</v>
      </c>
      <c r="EZ90" s="229">
        <v>-4.8500000000000001E-2</v>
      </c>
      <c r="FA90" s="229">
        <v>0.31019999999999998</v>
      </c>
      <c r="FB90" s="227" t="s">
        <v>693</v>
      </c>
      <c r="FC90">
        <f t="shared" si="1"/>
        <v>15</v>
      </c>
    </row>
    <row r="91" spans="1:159" ht="17.25" thickBot="1" x14ac:dyDescent="0.3">
      <c r="A91" s="226">
        <v>46129</v>
      </c>
      <c r="B91" s="227" t="s">
        <v>175</v>
      </c>
      <c r="C91" s="227" t="s">
        <v>233</v>
      </c>
      <c r="D91" s="228">
        <v>925</v>
      </c>
      <c r="E91" s="228">
        <v>11</v>
      </c>
      <c r="F91" s="228">
        <v>562.75</v>
      </c>
      <c r="G91" s="228">
        <v>560</v>
      </c>
      <c r="H91" s="228">
        <v>2.75</v>
      </c>
      <c r="I91" s="229">
        <v>4.8999999999999998E-3</v>
      </c>
      <c r="J91" s="228">
        <v>562</v>
      </c>
      <c r="K91" s="228">
        <v>557.95000000000005</v>
      </c>
      <c r="L91" s="228">
        <v>4.05</v>
      </c>
      <c r="M91" s="229">
        <v>7.3000000000000001E-3</v>
      </c>
      <c r="N91" s="228">
        <v>562.75</v>
      </c>
      <c r="O91" s="228">
        <v>560</v>
      </c>
      <c r="P91" s="228">
        <v>2.75</v>
      </c>
      <c r="Q91" s="229">
        <v>4.8999999999999998E-3</v>
      </c>
      <c r="R91" s="228">
        <v>565.45000000000005</v>
      </c>
      <c r="S91" s="228">
        <v>562.70000000000005</v>
      </c>
      <c r="T91" s="228">
        <v>2.75</v>
      </c>
      <c r="U91" s="229">
        <v>4.8999999999999998E-3</v>
      </c>
      <c r="V91" s="228">
        <v>567.54999999999995</v>
      </c>
      <c r="W91" s="228">
        <v>564.95000000000005</v>
      </c>
      <c r="X91" s="228">
        <v>2.6</v>
      </c>
      <c r="Y91" s="229">
        <v>4.5999999999999999E-3</v>
      </c>
      <c r="Z91" s="228">
        <v>0.75</v>
      </c>
      <c r="AA91" s="228">
        <v>2.0499999999999998</v>
      </c>
      <c r="AB91" s="228">
        <v>-1.3</v>
      </c>
      <c r="AC91" s="229">
        <v>1.2999999999999999E-3</v>
      </c>
      <c r="AD91" s="228">
        <v>0.75</v>
      </c>
      <c r="AE91" s="228">
        <v>2.0499999999999998</v>
      </c>
      <c r="AF91" s="228">
        <v>-1.3</v>
      </c>
      <c r="AG91" s="229">
        <v>1.2999999999999999E-3</v>
      </c>
      <c r="AH91" s="228">
        <v>3.45</v>
      </c>
      <c r="AI91" s="228">
        <v>4.75</v>
      </c>
      <c r="AJ91" s="228">
        <v>-1.3</v>
      </c>
      <c r="AK91" s="229">
        <v>6.1000000000000004E-3</v>
      </c>
      <c r="AL91" s="228">
        <v>5.55</v>
      </c>
      <c r="AM91" s="228">
        <v>7</v>
      </c>
      <c r="AN91" s="228">
        <v>-1.45</v>
      </c>
      <c r="AO91" s="229">
        <v>9.9000000000000008E-3</v>
      </c>
      <c r="AP91" s="228">
        <v>558.15</v>
      </c>
      <c r="AQ91" s="228">
        <v>560.51</v>
      </c>
      <c r="AR91" s="228">
        <v>0</v>
      </c>
      <c r="AS91" s="228">
        <v>181</v>
      </c>
      <c r="AT91" s="228">
        <v>157</v>
      </c>
      <c r="AU91" s="228">
        <v>24</v>
      </c>
      <c r="AV91" s="229">
        <v>0.1525</v>
      </c>
      <c r="AW91" s="228">
        <v>160</v>
      </c>
      <c r="AX91" s="228">
        <v>139</v>
      </c>
      <c r="AY91" s="228">
        <v>21</v>
      </c>
      <c r="AZ91" s="229">
        <v>0.1542</v>
      </c>
      <c r="BA91" s="228">
        <v>20</v>
      </c>
      <c r="BB91" s="228">
        <v>16</v>
      </c>
      <c r="BC91" s="228">
        <v>3</v>
      </c>
      <c r="BD91" s="229">
        <v>0.19620000000000001</v>
      </c>
      <c r="BE91" s="228">
        <v>1</v>
      </c>
      <c r="BF91" s="228">
        <v>1</v>
      </c>
      <c r="BG91" s="228">
        <v>-1</v>
      </c>
      <c r="BH91" s="229">
        <v>-0.5</v>
      </c>
      <c r="BI91" s="228">
        <v>543</v>
      </c>
      <c r="BJ91" s="228">
        <v>597</v>
      </c>
      <c r="BK91" s="228">
        <v>-54</v>
      </c>
      <c r="BL91" s="229">
        <v>-9.01E-2</v>
      </c>
      <c r="BM91" s="228">
        <v>301</v>
      </c>
      <c r="BN91" s="228">
        <v>229</v>
      </c>
      <c r="BO91" s="228">
        <v>72</v>
      </c>
      <c r="BP91" s="229">
        <v>0.31590000000000001</v>
      </c>
      <c r="BQ91" s="230">
        <v>1025</v>
      </c>
      <c r="BR91" s="228">
        <v>982</v>
      </c>
      <c r="BS91" s="228">
        <v>42</v>
      </c>
      <c r="BT91" s="229">
        <v>4.3099999999999999E-2</v>
      </c>
      <c r="BU91" s="230">
        <v>4646397</v>
      </c>
      <c r="BV91" s="230">
        <v>3104868</v>
      </c>
      <c r="BW91" s="230">
        <v>1541529</v>
      </c>
      <c r="BX91" s="229">
        <v>0.4965</v>
      </c>
      <c r="BY91" s="230">
        <v>1139</v>
      </c>
      <c r="BZ91" s="230">
        <v>1097</v>
      </c>
      <c r="CA91" s="228">
        <v>42</v>
      </c>
      <c r="CB91" s="229">
        <v>3.8399999999999997E-2</v>
      </c>
      <c r="CC91" s="230">
        <v>1112</v>
      </c>
      <c r="CD91" s="230">
        <v>1074</v>
      </c>
      <c r="CE91" s="228">
        <v>38</v>
      </c>
      <c r="CF91" s="229">
        <v>3.5299999999999998E-2</v>
      </c>
      <c r="CG91" s="228">
        <v>25</v>
      </c>
      <c r="CH91" s="228">
        <v>21</v>
      </c>
      <c r="CI91" s="228">
        <v>4</v>
      </c>
      <c r="CJ91" s="229">
        <v>0.1789</v>
      </c>
      <c r="CK91" s="228">
        <v>2</v>
      </c>
      <c r="CL91" s="228">
        <v>2</v>
      </c>
      <c r="CM91" s="228">
        <v>0</v>
      </c>
      <c r="CN91" s="229">
        <v>0.23530000000000001</v>
      </c>
      <c r="CO91" s="228">
        <v>406</v>
      </c>
      <c r="CP91" s="228">
        <v>406</v>
      </c>
      <c r="CQ91" s="228">
        <v>0</v>
      </c>
      <c r="CR91" s="229">
        <v>1E-4</v>
      </c>
      <c r="CS91" s="228">
        <v>289</v>
      </c>
      <c r="CT91" s="228">
        <v>268</v>
      </c>
      <c r="CU91" s="228">
        <v>21</v>
      </c>
      <c r="CV91" s="229">
        <v>7.8600000000000003E-2</v>
      </c>
      <c r="CW91" s="230">
        <v>1834</v>
      </c>
      <c r="CX91" s="230">
        <v>1771</v>
      </c>
      <c r="CY91" s="228">
        <v>63</v>
      </c>
      <c r="CZ91" s="229">
        <v>3.5700000000000003E-2</v>
      </c>
      <c r="DA91" s="228">
        <v>30.07</v>
      </c>
      <c r="DB91" s="228">
        <v>31.98</v>
      </c>
      <c r="DC91" s="228">
        <v>-1.91</v>
      </c>
      <c r="DD91" s="228">
        <v>-1.91</v>
      </c>
      <c r="DE91" s="228">
        <v>28.9</v>
      </c>
      <c r="DF91" s="228">
        <v>28.96</v>
      </c>
      <c r="DG91" s="228">
        <v>1.17</v>
      </c>
      <c r="DH91" s="228">
        <v>-0.06</v>
      </c>
      <c r="DI91" s="228">
        <v>30.33</v>
      </c>
      <c r="DJ91" s="228">
        <v>31.82</v>
      </c>
      <c r="DK91" s="228">
        <v>-1.49</v>
      </c>
      <c r="DL91" s="228">
        <v>-1.49</v>
      </c>
      <c r="DM91" s="228">
        <v>29.62</v>
      </c>
      <c r="DN91" s="228">
        <v>32.39</v>
      </c>
      <c r="DO91" s="228">
        <v>-2.77</v>
      </c>
      <c r="DP91" s="228">
        <v>-2.77</v>
      </c>
      <c r="DQ91" s="228">
        <v>0.71</v>
      </c>
      <c r="DR91" s="228">
        <v>0.66</v>
      </c>
      <c r="DS91" s="228">
        <v>0.05</v>
      </c>
      <c r="DT91" s="229">
        <v>7.5800000000000006E-2</v>
      </c>
      <c r="DU91" s="228">
        <v>600</v>
      </c>
      <c r="DV91" s="228">
        <v>550</v>
      </c>
      <c r="DW91" s="228">
        <v>0.55000000000000004</v>
      </c>
      <c r="DX91" s="228">
        <v>0.38</v>
      </c>
      <c r="DY91" s="228">
        <v>0.17</v>
      </c>
      <c r="DZ91" s="229">
        <v>0.44740000000000002</v>
      </c>
      <c r="EA91" s="229">
        <v>2.3900000000000001E-2</v>
      </c>
      <c r="EB91" s="230">
        <v>408850</v>
      </c>
      <c r="EC91" s="229">
        <v>4.7999999999999996E-3</v>
      </c>
      <c r="ED91" s="229">
        <v>2.3900000000000001E-2</v>
      </c>
      <c r="EE91" s="228">
        <v>2.36</v>
      </c>
      <c r="EF91" s="229">
        <v>4.1999999999999997E-3</v>
      </c>
      <c r="EG91" s="230">
        <v>3389336</v>
      </c>
      <c r="EH91" s="230">
        <v>2250987</v>
      </c>
      <c r="EI91" s="229">
        <v>0.50570000000000004</v>
      </c>
      <c r="EJ91" s="229">
        <v>0.72950000000000004</v>
      </c>
      <c r="EK91" s="228">
        <v>563.35</v>
      </c>
      <c r="EL91" s="228">
        <v>296.63</v>
      </c>
      <c r="EM91" s="228">
        <v>179.19</v>
      </c>
      <c r="EN91" s="228">
        <v>47.24</v>
      </c>
      <c r="EO91" s="231">
        <v>1039.1600000000001</v>
      </c>
      <c r="EP91" s="231">
        <v>1008.2</v>
      </c>
      <c r="EQ91" s="228">
        <v>30.96</v>
      </c>
      <c r="ER91" s="229">
        <v>3.0700000000000002E-2</v>
      </c>
      <c r="ES91" s="228">
        <v>421.06</v>
      </c>
      <c r="ET91" s="228">
        <v>274.79000000000002</v>
      </c>
      <c r="EU91" s="231">
        <v>1139.45</v>
      </c>
      <c r="EV91" s="231">
        <v>58892926</v>
      </c>
      <c r="EW91" s="231">
        <v>1835.3</v>
      </c>
      <c r="EX91" s="231">
        <v>1768.91</v>
      </c>
      <c r="EY91" s="228">
        <v>66.39</v>
      </c>
      <c r="EZ91" s="229">
        <v>3.7499999999999999E-2</v>
      </c>
      <c r="FA91" s="229">
        <v>0.5534</v>
      </c>
      <c r="FB91" s="227" t="s">
        <v>555</v>
      </c>
      <c r="FC91">
        <f t="shared" si="1"/>
        <v>27</v>
      </c>
    </row>
    <row r="92" spans="1:159" ht="17.25" thickBot="1" x14ac:dyDescent="0.3">
      <c r="A92" s="226">
        <v>46129</v>
      </c>
      <c r="B92" s="227" t="s">
        <v>188</v>
      </c>
      <c r="C92" s="227" t="s">
        <v>234</v>
      </c>
      <c r="D92" s="228">
        <v>71475</v>
      </c>
      <c r="E92" s="228">
        <v>11</v>
      </c>
      <c r="F92" s="228">
        <v>9.61</v>
      </c>
      <c r="G92" s="228">
        <v>9.5299999999999994</v>
      </c>
      <c r="H92" s="228">
        <v>0.08</v>
      </c>
      <c r="I92" s="229">
        <v>8.3999999999999995E-3</v>
      </c>
      <c r="J92" s="228">
        <v>9.61</v>
      </c>
      <c r="K92" s="228">
        <v>9.5299999999999994</v>
      </c>
      <c r="L92" s="228">
        <v>0.08</v>
      </c>
      <c r="M92" s="229">
        <v>8.3999999999999995E-3</v>
      </c>
      <c r="N92" s="228">
        <v>9.61</v>
      </c>
      <c r="O92" s="228">
        <v>9.5299999999999994</v>
      </c>
      <c r="P92" s="228">
        <v>0.08</v>
      </c>
      <c r="Q92" s="229">
        <v>8.3999999999999995E-3</v>
      </c>
      <c r="R92" s="228">
        <v>9.67</v>
      </c>
      <c r="S92" s="228">
        <v>9.6</v>
      </c>
      <c r="T92" s="228">
        <v>7.0000000000000007E-2</v>
      </c>
      <c r="U92" s="229">
        <v>7.3000000000000001E-3</v>
      </c>
      <c r="V92" s="228">
        <v>9.74</v>
      </c>
      <c r="W92" s="228">
        <v>9.66</v>
      </c>
      <c r="X92" s="228">
        <v>0.08</v>
      </c>
      <c r="Y92" s="229">
        <v>8.3000000000000001E-3</v>
      </c>
      <c r="Z92" s="228">
        <v>0</v>
      </c>
      <c r="AA92" s="228">
        <v>0</v>
      </c>
      <c r="AB92" s="228">
        <v>0</v>
      </c>
      <c r="AC92" s="229">
        <v>0</v>
      </c>
      <c r="AD92" s="228">
        <v>0</v>
      </c>
      <c r="AE92" s="228">
        <v>0</v>
      </c>
      <c r="AF92" s="228">
        <v>0</v>
      </c>
      <c r="AG92" s="229">
        <v>0</v>
      </c>
      <c r="AH92" s="228">
        <v>0.06</v>
      </c>
      <c r="AI92" s="228">
        <v>7.0000000000000007E-2</v>
      </c>
      <c r="AJ92" s="228">
        <v>-0.01</v>
      </c>
      <c r="AK92" s="229">
        <v>6.1999999999999998E-3</v>
      </c>
      <c r="AL92" s="228">
        <v>0.13</v>
      </c>
      <c r="AM92" s="228">
        <v>0.13</v>
      </c>
      <c r="AN92" s="228">
        <v>0</v>
      </c>
      <c r="AO92" s="229">
        <v>1.35E-2</v>
      </c>
      <c r="AP92" s="228">
        <v>9.61</v>
      </c>
      <c r="AQ92" s="228">
        <v>9.68</v>
      </c>
      <c r="AR92" s="228">
        <v>0</v>
      </c>
      <c r="AS92" s="228">
        <v>756</v>
      </c>
      <c r="AT92" s="228">
        <v>445</v>
      </c>
      <c r="AU92" s="228">
        <v>310</v>
      </c>
      <c r="AV92" s="229">
        <v>0.69640000000000002</v>
      </c>
      <c r="AW92" s="228">
        <v>502</v>
      </c>
      <c r="AX92" s="228">
        <v>345</v>
      </c>
      <c r="AY92" s="228">
        <v>157</v>
      </c>
      <c r="AZ92" s="229">
        <v>0.45479999999999998</v>
      </c>
      <c r="BA92" s="228">
        <v>243</v>
      </c>
      <c r="BB92" s="228">
        <v>91</v>
      </c>
      <c r="BC92" s="228">
        <v>153</v>
      </c>
      <c r="BD92" s="229">
        <v>1.6876</v>
      </c>
      <c r="BE92" s="228">
        <v>11</v>
      </c>
      <c r="BF92" s="228">
        <v>10</v>
      </c>
      <c r="BG92" s="228">
        <v>0</v>
      </c>
      <c r="BH92" s="229">
        <v>4.7899999999999998E-2</v>
      </c>
      <c r="BI92" s="228">
        <v>825</v>
      </c>
      <c r="BJ92" s="228">
        <v>921</v>
      </c>
      <c r="BK92" s="228">
        <v>-97</v>
      </c>
      <c r="BL92" s="229">
        <v>-0.1048</v>
      </c>
      <c r="BM92" s="228">
        <v>316</v>
      </c>
      <c r="BN92" s="228">
        <v>335</v>
      </c>
      <c r="BO92" s="228">
        <v>-19</v>
      </c>
      <c r="BP92" s="229">
        <v>-5.62E-2</v>
      </c>
      <c r="BQ92" s="230">
        <v>1896</v>
      </c>
      <c r="BR92" s="230">
        <v>1701</v>
      </c>
      <c r="BS92" s="228">
        <v>195</v>
      </c>
      <c r="BT92" s="229">
        <v>0.1145</v>
      </c>
      <c r="BU92" s="230">
        <v>402607670</v>
      </c>
      <c r="BV92" s="230">
        <v>484530371</v>
      </c>
      <c r="BW92" s="230">
        <v>-81922701</v>
      </c>
      <c r="BX92" s="229">
        <v>-0.1691</v>
      </c>
      <c r="BY92" s="230">
        <v>6319</v>
      </c>
      <c r="BZ92" s="230">
        <v>6329</v>
      </c>
      <c r="CA92" s="228">
        <v>-10</v>
      </c>
      <c r="CB92" s="229">
        <v>-1.5E-3</v>
      </c>
      <c r="CC92" s="230">
        <v>5704</v>
      </c>
      <c r="CD92" s="230">
        <v>5888</v>
      </c>
      <c r="CE92" s="228">
        <v>-184</v>
      </c>
      <c r="CF92" s="229">
        <v>-3.1199999999999999E-2</v>
      </c>
      <c r="CG92" s="228">
        <v>570</v>
      </c>
      <c r="CH92" s="228">
        <v>401</v>
      </c>
      <c r="CI92" s="228">
        <v>169</v>
      </c>
      <c r="CJ92" s="229">
        <v>0.42180000000000001</v>
      </c>
      <c r="CK92" s="228">
        <v>45</v>
      </c>
      <c r="CL92" s="228">
        <v>40</v>
      </c>
      <c r="CM92" s="228">
        <v>5</v>
      </c>
      <c r="CN92" s="229">
        <v>0.1285</v>
      </c>
      <c r="CO92" s="230">
        <v>1374</v>
      </c>
      <c r="CP92" s="230">
        <v>1359</v>
      </c>
      <c r="CQ92" s="228">
        <v>15</v>
      </c>
      <c r="CR92" s="229">
        <v>1.14E-2</v>
      </c>
      <c r="CS92" s="228">
        <v>721</v>
      </c>
      <c r="CT92" s="228">
        <v>726</v>
      </c>
      <c r="CU92" s="228">
        <v>-5</v>
      </c>
      <c r="CV92" s="229">
        <v>-6.6E-3</v>
      </c>
      <c r="CW92" s="230">
        <v>8415</v>
      </c>
      <c r="CX92" s="230">
        <v>8414</v>
      </c>
      <c r="CY92" s="228">
        <v>1</v>
      </c>
      <c r="CZ92" s="229">
        <v>1E-4</v>
      </c>
      <c r="DA92" s="228">
        <v>51.61</v>
      </c>
      <c r="DB92" s="228">
        <v>52.69</v>
      </c>
      <c r="DC92" s="228">
        <v>-1.08</v>
      </c>
      <c r="DD92" s="228">
        <v>-1.08</v>
      </c>
      <c r="DE92" s="228">
        <v>64.650000000000006</v>
      </c>
      <c r="DF92" s="228">
        <v>64.8</v>
      </c>
      <c r="DG92" s="228">
        <v>-13.04</v>
      </c>
      <c r="DH92" s="228">
        <v>-0.15</v>
      </c>
      <c r="DI92" s="228">
        <v>53.08</v>
      </c>
      <c r="DJ92" s="228">
        <v>54.09</v>
      </c>
      <c r="DK92" s="228">
        <v>-1.01</v>
      </c>
      <c r="DL92" s="228">
        <v>-1.01</v>
      </c>
      <c r="DM92" s="228">
        <v>47.79</v>
      </c>
      <c r="DN92" s="228">
        <v>48.81</v>
      </c>
      <c r="DO92" s="228">
        <v>-1.02</v>
      </c>
      <c r="DP92" s="228">
        <v>-1.02</v>
      </c>
      <c r="DQ92" s="228">
        <v>0.52</v>
      </c>
      <c r="DR92" s="228">
        <v>0.53</v>
      </c>
      <c r="DS92" s="228">
        <v>-0.01</v>
      </c>
      <c r="DT92" s="229">
        <v>-1.89E-2</v>
      </c>
      <c r="DU92" s="228">
        <v>10</v>
      </c>
      <c r="DV92" s="228">
        <v>9</v>
      </c>
      <c r="DW92" s="228">
        <v>0.38</v>
      </c>
      <c r="DX92" s="228">
        <v>0.36</v>
      </c>
      <c r="DY92" s="228">
        <v>0.02</v>
      </c>
      <c r="DZ92" s="229">
        <v>5.5599999999999997E-2</v>
      </c>
      <c r="EA92" s="229">
        <v>9.7299999999999998E-2</v>
      </c>
      <c r="EB92" s="230">
        <v>458655075</v>
      </c>
      <c r="EC92" s="229">
        <v>6.1999999999999998E-3</v>
      </c>
      <c r="ED92" s="229">
        <v>9.7299999999999998E-2</v>
      </c>
      <c r="EE92" s="228">
        <v>7.0000000000000007E-2</v>
      </c>
      <c r="EF92" s="229">
        <v>7.3000000000000001E-3</v>
      </c>
      <c r="EG92" s="230">
        <v>122343752</v>
      </c>
      <c r="EH92" s="230">
        <v>124367408</v>
      </c>
      <c r="EI92" s="229">
        <v>-1.6299999999999999E-2</v>
      </c>
      <c r="EJ92" s="229">
        <v>0.3039</v>
      </c>
      <c r="EK92" s="228">
        <v>906.71</v>
      </c>
      <c r="EL92" s="228">
        <v>316.54000000000002</v>
      </c>
      <c r="EM92" s="228">
        <v>757.75</v>
      </c>
      <c r="EN92" s="228">
        <v>59.78</v>
      </c>
      <c r="EO92" s="231">
        <v>1980.99</v>
      </c>
      <c r="EP92" s="231">
        <v>1781.97</v>
      </c>
      <c r="EQ92" s="228">
        <v>199.02</v>
      </c>
      <c r="ER92" s="229">
        <v>0.11169999999999999</v>
      </c>
      <c r="ES92" s="231">
        <v>1537.55</v>
      </c>
      <c r="ET92" s="228">
        <v>688.74</v>
      </c>
      <c r="EU92" s="231">
        <v>6323.28</v>
      </c>
      <c r="EV92" s="231">
        <v>12096038468</v>
      </c>
      <c r="EW92" s="231">
        <v>8549.56</v>
      </c>
      <c r="EX92" s="231">
        <v>8483.27</v>
      </c>
      <c r="EY92" s="228">
        <v>66.290000000000006</v>
      </c>
      <c r="EZ92" s="229">
        <v>7.7999999999999996E-3</v>
      </c>
      <c r="FA92" s="229">
        <v>0.72389999999999999</v>
      </c>
      <c r="FB92" s="227" t="s">
        <v>693</v>
      </c>
      <c r="FC92">
        <f t="shared" si="1"/>
        <v>615</v>
      </c>
    </row>
    <row r="93" spans="1:159" ht="17.25" thickBot="1" x14ac:dyDescent="0.3">
      <c r="A93" s="226">
        <v>46129</v>
      </c>
      <c r="B93" s="227" t="s">
        <v>172</v>
      </c>
      <c r="C93" s="227" t="s">
        <v>235</v>
      </c>
      <c r="D93" s="228">
        <v>9275</v>
      </c>
      <c r="E93" s="228">
        <v>11</v>
      </c>
      <c r="F93" s="228">
        <v>68.55</v>
      </c>
      <c r="G93" s="228">
        <v>67.89</v>
      </c>
      <c r="H93" s="228">
        <v>0.66</v>
      </c>
      <c r="I93" s="229">
        <v>9.7000000000000003E-3</v>
      </c>
      <c r="J93" s="228">
        <v>68.53</v>
      </c>
      <c r="K93" s="228">
        <v>67.819999999999993</v>
      </c>
      <c r="L93" s="228">
        <v>0.71</v>
      </c>
      <c r="M93" s="229">
        <v>1.0500000000000001E-2</v>
      </c>
      <c r="N93" s="228">
        <v>68.55</v>
      </c>
      <c r="O93" s="228">
        <v>67.89</v>
      </c>
      <c r="P93" s="228">
        <v>0.66</v>
      </c>
      <c r="Q93" s="229">
        <v>9.7000000000000003E-3</v>
      </c>
      <c r="R93" s="228">
        <v>68.94</v>
      </c>
      <c r="S93" s="228">
        <v>68.260000000000005</v>
      </c>
      <c r="T93" s="228">
        <v>0.68</v>
      </c>
      <c r="U93" s="229">
        <v>0.01</v>
      </c>
      <c r="V93" s="228">
        <v>69.34</v>
      </c>
      <c r="W93" s="228">
        <v>68.72</v>
      </c>
      <c r="X93" s="228">
        <v>0.62</v>
      </c>
      <c r="Y93" s="229">
        <v>8.9999999999999993E-3</v>
      </c>
      <c r="Z93" s="228">
        <v>0.02</v>
      </c>
      <c r="AA93" s="228">
        <v>7.0000000000000007E-2</v>
      </c>
      <c r="AB93" s="228">
        <v>-0.05</v>
      </c>
      <c r="AC93" s="229">
        <v>2.9999999999999997E-4</v>
      </c>
      <c r="AD93" s="228">
        <v>0.02</v>
      </c>
      <c r="AE93" s="228">
        <v>7.0000000000000007E-2</v>
      </c>
      <c r="AF93" s="228">
        <v>-0.05</v>
      </c>
      <c r="AG93" s="229">
        <v>2.9999999999999997E-4</v>
      </c>
      <c r="AH93" s="228">
        <v>0.41</v>
      </c>
      <c r="AI93" s="228">
        <v>0.44</v>
      </c>
      <c r="AJ93" s="228">
        <v>-0.03</v>
      </c>
      <c r="AK93" s="229">
        <v>6.0000000000000001E-3</v>
      </c>
      <c r="AL93" s="228">
        <v>0.81</v>
      </c>
      <c r="AM93" s="228">
        <v>0.9</v>
      </c>
      <c r="AN93" s="228">
        <v>-0.09</v>
      </c>
      <c r="AO93" s="229">
        <v>1.18E-2</v>
      </c>
      <c r="AP93" s="228">
        <v>68.52</v>
      </c>
      <c r="AQ93" s="228">
        <v>68.88</v>
      </c>
      <c r="AR93" s="228">
        <v>0</v>
      </c>
      <c r="AS93" s="228">
        <v>481</v>
      </c>
      <c r="AT93" s="228">
        <v>538</v>
      </c>
      <c r="AU93" s="228">
        <v>-57</v>
      </c>
      <c r="AV93" s="229">
        <v>-0.1053</v>
      </c>
      <c r="AW93" s="228">
        <v>324</v>
      </c>
      <c r="AX93" s="228">
        <v>400</v>
      </c>
      <c r="AY93" s="228">
        <v>-76</v>
      </c>
      <c r="AZ93" s="229">
        <v>-0.18940000000000001</v>
      </c>
      <c r="BA93" s="228">
        <v>63</v>
      </c>
      <c r="BB93" s="228">
        <v>68</v>
      </c>
      <c r="BC93" s="228">
        <v>-5</v>
      </c>
      <c r="BD93" s="229">
        <v>-7.0300000000000001E-2</v>
      </c>
      <c r="BE93" s="228">
        <v>94</v>
      </c>
      <c r="BF93" s="228">
        <v>71</v>
      </c>
      <c r="BG93" s="228">
        <v>24</v>
      </c>
      <c r="BH93" s="229">
        <v>0.33660000000000001</v>
      </c>
      <c r="BI93" s="228">
        <v>530</v>
      </c>
      <c r="BJ93" s="228">
        <v>822</v>
      </c>
      <c r="BK93" s="228">
        <v>-292</v>
      </c>
      <c r="BL93" s="229">
        <v>-0.35499999999999998</v>
      </c>
      <c r="BM93" s="228">
        <v>466</v>
      </c>
      <c r="BN93" s="228">
        <v>666</v>
      </c>
      <c r="BO93" s="228">
        <v>-200</v>
      </c>
      <c r="BP93" s="229">
        <v>-0.29959999999999998</v>
      </c>
      <c r="BQ93" s="230">
        <v>1478</v>
      </c>
      <c r="BR93" s="230">
        <v>2026</v>
      </c>
      <c r="BS93" s="228">
        <v>-548</v>
      </c>
      <c r="BT93" s="229">
        <v>-0.27050000000000002</v>
      </c>
      <c r="BU93" s="230">
        <v>17556404</v>
      </c>
      <c r="BV93" s="230">
        <v>37155788</v>
      </c>
      <c r="BW93" s="230">
        <v>-19599384</v>
      </c>
      <c r="BX93" s="229">
        <v>-0.52749999999999997</v>
      </c>
      <c r="BY93" s="230">
        <v>2793</v>
      </c>
      <c r="BZ93" s="230">
        <v>2795</v>
      </c>
      <c r="CA93" s="228">
        <v>-1</v>
      </c>
      <c r="CB93" s="229">
        <v>-5.0000000000000001E-4</v>
      </c>
      <c r="CC93" s="230">
        <v>2303</v>
      </c>
      <c r="CD93" s="230">
        <v>2428</v>
      </c>
      <c r="CE93" s="228">
        <v>-126</v>
      </c>
      <c r="CF93" s="229">
        <v>-5.1700000000000003E-2</v>
      </c>
      <c r="CG93" s="228">
        <v>312</v>
      </c>
      <c r="CH93" s="228">
        <v>278</v>
      </c>
      <c r="CI93" s="228">
        <v>34</v>
      </c>
      <c r="CJ93" s="229">
        <v>0.1227</v>
      </c>
      <c r="CK93" s="228">
        <v>179</v>
      </c>
      <c r="CL93" s="228">
        <v>89</v>
      </c>
      <c r="CM93" s="228">
        <v>90</v>
      </c>
      <c r="CN93" s="229">
        <v>1.0128999999999999</v>
      </c>
      <c r="CO93" s="228">
        <v>864</v>
      </c>
      <c r="CP93" s="228">
        <v>863</v>
      </c>
      <c r="CQ93" s="228">
        <v>1</v>
      </c>
      <c r="CR93" s="229">
        <v>1E-3</v>
      </c>
      <c r="CS93" s="228">
        <v>805</v>
      </c>
      <c r="CT93" s="228">
        <v>806</v>
      </c>
      <c r="CU93" s="228">
        <v>-1</v>
      </c>
      <c r="CV93" s="229">
        <v>-1E-3</v>
      </c>
      <c r="CW93" s="230">
        <v>4463</v>
      </c>
      <c r="CX93" s="230">
        <v>4464</v>
      </c>
      <c r="CY93" s="228">
        <v>-1</v>
      </c>
      <c r="CZ93" s="229">
        <v>-2.9999999999999997E-4</v>
      </c>
      <c r="DA93" s="228">
        <v>42.45</v>
      </c>
      <c r="DB93" s="228">
        <v>43.46</v>
      </c>
      <c r="DC93" s="228">
        <v>-1.01</v>
      </c>
      <c r="DD93" s="228">
        <v>-1.01</v>
      </c>
      <c r="DE93" s="228">
        <v>41.58</v>
      </c>
      <c r="DF93" s="228">
        <v>41.66</v>
      </c>
      <c r="DG93" s="228">
        <v>0.87</v>
      </c>
      <c r="DH93" s="228">
        <v>-0.08</v>
      </c>
      <c r="DI93" s="228">
        <v>39.07</v>
      </c>
      <c r="DJ93" s="228">
        <v>39.229999999999997</v>
      </c>
      <c r="DK93" s="228">
        <v>-0.16</v>
      </c>
      <c r="DL93" s="228">
        <v>-0.16</v>
      </c>
      <c r="DM93" s="228">
        <v>46.29</v>
      </c>
      <c r="DN93" s="228">
        <v>48.69</v>
      </c>
      <c r="DO93" s="228">
        <v>-2.4</v>
      </c>
      <c r="DP93" s="228">
        <v>-2.4</v>
      </c>
      <c r="DQ93" s="228">
        <v>0.93</v>
      </c>
      <c r="DR93" s="228">
        <v>0.93</v>
      </c>
      <c r="DS93" s="228">
        <v>0</v>
      </c>
      <c r="DT93" s="229">
        <v>0</v>
      </c>
      <c r="DU93" s="228">
        <v>65</v>
      </c>
      <c r="DV93" s="228">
        <v>65</v>
      </c>
      <c r="DW93" s="228">
        <v>0.88</v>
      </c>
      <c r="DX93" s="228">
        <v>0.81</v>
      </c>
      <c r="DY93" s="228">
        <v>7.0000000000000007E-2</v>
      </c>
      <c r="DZ93" s="229">
        <v>8.6400000000000005E-2</v>
      </c>
      <c r="EA93" s="229">
        <v>0.1757</v>
      </c>
      <c r="EB93" s="230">
        <v>53479650</v>
      </c>
      <c r="EC93" s="229">
        <v>5.7000000000000002E-3</v>
      </c>
      <c r="ED93" s="229">
        <v>0.1757</v>
      </c>
      <c r="EE93" s="228">
        <v>0.36</v>
      </c>
      <c r="EF93" s="229">
        <v>5.3E-3</v>
      </c>
      <c r="EG93" s="230">
        <v>6983103</v>
      </c>
      <c r="EH93" s="230">
        <v>17813037</v>
      </c>
      <c r="EI93" s="229">
        <v>-0.60799999999999998</v>
      </c>
      <c r="EJ93" s="229">
        <v>0.39779999999999999</v>
      </c>
      <c r="EK93" s="228">
        <v>557.66</v>
      </c>
      <c r="EL93" s="228">
        <v>443.44</v>
      </c>
      <c r="EM93" s="228">
        <v>482.81</v>
      </c>
      <c r="EN93" s="228">
        <v>57.93</v>
      </c>
      <c r="EO93" s="231">
        <v>1483.91</v>
      </c>
      <c r="EP93" s="231">
        <v>2014.07</v>
      </c>
      <c r="EQ93" s="228">
        <v>-530.15</v>
      </c>
      <c r="ER93" s="229">
        <v>-0.26319999999999999</v>
      </c>
      <c r="ES93" s="228">
        <v>865.1</v>
      </c>
      <c r="ET93" s="228">
        <v>749.75</v>
      </c>
      <c r="EU93" s="231">
        <v>2797.1</v>
      </c>
      <c r="EV93" s="231">
        <v>1101871266</v>
      </c>
      <c r="EW93" s="231">
        <v>4411.95</v>
      </c>
      <c r="EX93" s="231">
        <v>4378.47</v>
      </c>
      <c r="EY93" s="228">
        <v>33.479999999999997</v>
      </c>
      <c r="EZ93" s="229">
        <v>7.6E-3</v>
      </c>
      <c r="FA93" s="229">
        <v>0.59079999999999999</v>
      </c>
      <c r="FB93" s="227" t="s">
        <v>693</v>
      </c>
      <c r="FC93">
        <f t="shared" si="1"/>
        <v>490</v>
      </c>
    </row>
    <row r="94" spans="1:159" ht="17.25" thickBot="1" x14ac:dyDescent="0.3">
      <c r="A94" s="226">
        <v>46129</v>
      </c>
      <c r="B94" s="227" t="s">
        <v>161</v>
      </c>
      <c r="C94" s="227" t="s">
        <v>514</v>
      </c>
      <c r="D94" s="228">
        <v>3750</v>
      </c>
      <c r="E94" s="228">
        <v>11</v>
      </c>
      <c r="F94" s="228">
        <v>135.82</v>
      </c>
      <c r="G94" s="228">
        <v>134.9</v>
      </c>
      <c r="H94" s="228">
        <v>0.92</v>
      </c>
      <c r="I94" s="229">
        <v>6.7999999999999996E-3</v>
      </c>
      <c r="J94" s="228">
        <v>135.81</v>
      </c>
      <c r="K94" s="228">
        <v>134.41</v>
      </c>
      <c r="L94" s="228">
        <v>1.4</v>
      </c>
      <c r="M94" s="229">
        <v>1.04E-2</v>
      </c>
      <c r="N94" s="228">
        <v>135.82</v>
      </c>
      <c r="O94" s="228">
        <v>134.9</v>
      </c>
      <c r="P94" s="228">
        <v>0.92</v>
      </c>
      <c r="Q94" s="229">
        <v>6.7999999999999996E-3</v>
      </c>
      <c r="R94" s="228">
        <v>135.72</v>
      </c>
      <c r="S94" s="228">
        <v>134.83000000000001</v>
      </c>
      <c r="T94" s="228">
        <v>0.89</v>
      </c>
      <c r="U94" s="229">
        <v>6.6E-3</v>
      </c>
      <c r="V94" s="228">
        <v>135.87</v>
      </c>
      <c r="W94" s="228">
        <v>134.62</v>
      </c>
      <c r="X94" s="228">
        <v>1.25</v>
      </c>
      <c r="Y94" s="229">
        <v>9.2999999999999992E-3</v>
      </c>
      <c r="Z94" s="228">
        <v>0.01</v>
      </c>
      <c r="AA94" s="228">
        <v>0.49</v>
      </c>
      <c r="AB94" s="228">
        <v>-0.48</v>
      </c>
      <c r="AC94" s="229">
        <v>1E-4</v>
      </c>
      <c r="AD94" s="228">
        <v>0.01</v>
      </c>
      <c r="AE94" s="228">
        <v>0.49</v>
      </c>
      <c r="AF94" s="228">
        <v>-0.48</v>
      </c>
      <c r="AG94" s="229">
        <v>1E-4</v>
      </c>
      <c r="AH94" s="228">
        <v>-0.09</v>
      </c>
      <c r="AI94" s="228">
        <v>0.42</v>
      </c>
      <c r="AJ94" s="228">
        <v>-0.51</v>
      </c>
      <c r="AK94" s="229">
        <v>-6.9999999999999999E-4</v>
      </c>
      <c r="AL94" s="228">
        <v>0.06</v>
      </c>
      <c r="AM94" s="228">
        <v>0.21</v>
      </c>
      <c r="AN94" s="228">
        <v>-0.15</v>
      </c>
      <c r="AO94" s="229">
        <v>4.0000000000000002E-4</v>
      </c>
      <c r="AP94" s="228">
        <v>136.19999999999999</v>
      </c>
      <c r="AQ94" s="228">
        <v>136.18</v>
      </c>
      <c r="AR94" s="228">
        <v>0</v>
      </c>
      <c r="AS94" s="228">
        <v>117</v>
      </c>
      <c r="AT94" s="228">
        <v>108</v>
      </c>
      <c r="AU94" s="228">
        <v>9</v>
      </c>
      <c r="AV94" s="229">
        <v>8.6099999999999996E-2</v>
      </c>
      <c r="AW94" s="228">
        <v>87</v>
      </c>
      <c r="AX94" s="228">
        <v>85</v>
      </c>
      <c r="AY94" s="228">
        <v>2</v>
      </c>
      <c r="AZ94" s="229">
        <v>2.47E-2</v>
      </c>
      <c r="BA94" s="228">
        <v>25</v>
      </c>
      <c r="BB94" s="228">
        <v>19</v>
      </c>
      <c r="BC94" s="228">
        <v>6</v>
      </c>
      <c r="BD94" s="229">
        <v>0.33879999999999999</v>
      </c>
      <c r="BE94" s="228">
        <v>5</v>
      </c>
      <c r="BF94" s="228">
        <v>4</v>
      </c>
      <c r="BG94" s="228">
        <v>1</v>
      </c>
      <c r="BH94" s="229">
        <v>0.1951</v>
      </c>
      <c r="BI94" s="228">
        <v>539</v>
      </c>
      <c r="BJ94" s="228">
        <v>350</v>
      </c>
      <c r="BK94" s="228">
        <v>188</v>
      </c>
      <c r="BL94" s="229">
        <v>0.53800000000000003</v>
      </c>
      <c r="BM94" s="228">
        <v>237</v>
      </c>
      <c r="BN94" s="228">
        <v>203</v>
      </c>
      <c r="BO94" s="228">
        <v>33</v>
      </c>
      <c r="BP94" s="229">
        <v>0.16450000000000001</v>
      </c>
      <c r="BQ94" s="228">
        <v>892</v>
      </c>
      <c r="BR94" s="228">
        <v>661</v>
      </c>
      <c r="BS94" s="228">
        <v>231</v>
      </c>
      <c r="BT94" s="229">
        <v>0.34960000000000002</v>
      </c>
      <c r="BU94" s="230">
        <v>5458012</v>
      </c>
      <c r="BV94" s="230">
        <v>6468419</v>
      </c>
      <c r="BW94" s="230">
        <v>-1010407</v>
      </c>
      <c r="BX94" s="229">
        <v>-0.15620000000000001</v>
      </c>
      <c r="BY94" s="228">
        <v>960</v>
      </c>
      <c r="BZ94" s="228">
        <v>960</v>
      </c>
      <c r="CA94" s="228">
        <v>0</v>
      </c>
      <c r="CB94" s="229">
        <v>1E-4</v>
      </c>
      <c r="CC94" s="228">
        <v>841</v>
      </c>
      <c r="CD94" s="228">
        <v>850</v>
      </c>
      <c r="CE94" s="228">
        <v>-9</v>
      </c>
      <c r="CF94" s="229">
        <v>-1.0699999999999999E-2</v>
      </c>
      <c r="CG94" s="228">
        <v>106</v>
      </c>
      <c r="CH94" s="228">
        <v>97</v>
      </c>
      <c r="CI94" s="228">
        <v>9</v>
      </c>
      <c r="CJ94" s="229">
        <v>0.09</v>
      </c>
      <c r="CK94" s="228">
        <v>14</v>
      </c>
      <c r="CL94" s="228">
        <v>13</v>
      </c>
      <c r="CM94" s="228">
        <v>0</v>
      </c>
      <c r="CN94" s="229">
        <v>3.09E-2</v>
      </c>
      <c r="CO94" s="228">
        <v>477</v>
      </c>
      <c r="CP94" s="228">
        <v>533</v>
      </c>
      <c r="CQ94" s="228">
        <v>-56</v>
      </c>
      <c r="CR94" s="229">
        <v>-0.1055</v>
      </c>
      <c r="CS94" s="228">
        <v>444</v>
      </c>
      <c r="CT94" s="228">
        <v>441</v>
      </c>
      <c r="CU94" s="228">
        <v>2</v>
      </c>
      <c r="CV94" s="229">
        <v>5.3E-3</v>
      </c>
      <c r="CW94" s="230">
        <v>1880</v>
      </c>
      <c r="CX94" s="230">
        <v>1934</v>
      </c>
      <c r="CY94" s="228">
        <v>-54</v>
      </c>
      <c r="CZ94" s="229">
        <v>-2.7799999999999998E-2</v>
      </c>
      <c r="DA94" s="228">
        <v>34.590000000000003</v>
      </c>
      <c r="DB94" s="228">
        <v>36.14</v>
      </c>
      <c r="DC94" s="228">
        <v>-1.55</v>
      </c>
      <c r="DD94" s="228">
        <v>-1.55</v>
      </c>
      <c r="DE94" s="228">
        <v>51.64</v>
      </c>
      <c r="DF94" s="228">
        <v>51.76</v>
      </c>
      <c r="DG94" s="228">
        <v>-17.05</v>
      </c>
      <c r="DH94" s="228">
        <v>-0.12</v>
      </c>
      <c r="DI94" s="228">
        <v>33.21</v>
      </c>
      <c r="DJ94" s="228">
        <v>34.299999999999997</v>
      </c>
      <c r="DK94" s="228">
        <v>-1.0900000000000001</v>
      </c>
      <c r="DL94" s="228">
        <v>-1.0900000000000001</v>
      </c>
      <c r="DM94" s="228">
        <v>37.75</v>
      </c>
      <c r="DN94" s="228">
        <v>39.31</v>
      </c>
      <c r="DO94" s="228">
        <v>-1.56</v>
      </c>
      <c r="DP94" s="228">
        <v>-1.56</v>
      </c>
      <c r="DQ94" s="228">
        <v>0.93</v>
      </c>
      <c r="DR94" s="228">
        <v>0.83</v>
      </c>
      <c r="DS94" s="228">
        <v>0.1</v>
      </c>
      <c r="DT94" s="229">
        <v>0.1205</v>
      </c>
      <c r="DU94" s="228">
        <v>140</v>
      </c>
      <c r="DV94" s="228">
        <v>120</v>
      </c>
      <c r="DW94" s="228">
        <v>0.44</v>
      </c>
      <c r="DX94" s="228">
        <v>0.57999999999999996</v>
      </c>
      <c r="DY94" s="228">
        <v>-0.14000000000000001</v>
      </c>
      <c r="DZ94" s="229">
        <v>-0.2414</v>
      </c>
      <c r="EA94" s="229">
        <v>0.1241</v>
      </c>
      <c r="EB94" s="230">
        <v>8100000</v>
      </c>
      <c r="EC94" s="229">
        <v>-6.9999999999999999E-4</v>
      </c>
      <c r="ED94" s="229">
        <v>0.1241</v>
      </c>
      <c r="EE94" s="228">
        <v>-0.02</v>
      </c>
      <c r="EF94" s="229">
        <v>-1E-4</v>
      </c>
      <c r="EG94" s="230">
        <v>2505152</v>
      </c>
      <c r="EH94" s="230">
        <v>2721520</v>
      </c>
      <c r="EI94" s="229">
        <v>-7.9500000000000001E-2</v>
      </c>
      <c r="EJ94" s="229">
        <v>0.45900000000000002</v>
      </c>
      <c r="EK94" s="228">
        <v>561.54999999999995</v>
      </c>
      <c r="EL94" s="228">
        <v>228.63</v>
      </c>
      <c r="EM94" s="228">
        <v>117.27</v>
      </c>
      <c r="EN94" s="228">
        <v>19.18</v>
      </c>
      <c r="EO94" s="228">
        <v>907.45</v>
      </c>
      <c r="EP94" s="228">
        <v>662.71</v>
      </c>
      <c r="EQ94" s="228">
        <v>244.73</v>
      </c>
      <c r="ER94" s="229">
        <v>0.36930000000000002</v>
      </c>
      <c r="ES94" s="228">
        <v>463.88</v>
      </c>
      <c r="ET94" s="228">
        <v>413.42</v>
      </c>
      <c r="EU94" s="228">
        <v>959.8</v>
      </c>
      <c r="EV94" s="231">
        <v>133395043</v>
      </c>
      <c r="EW94" s="231">
        <v>1837.1</v>
      </c>
      <c r="EX94" s="231">
        <v>1880.04</v>
      </c>
      <c r="EY94" s="228">
        <v>-42.94</v>
      </c>
      <c r="EZ94" s="229">
        <v>-2.2800000000000001E-2</v>
      </c>
      <c r="FA94" s="229">
        <v>1.0379</v>
      </c>
      <c r="FB94" s="227" t="s">
        <v>555</v>
      </c>
      <c r="FC94">
        <f t="shared" si="1"/>
        <v>119</v>
      </c>
    </row>
    <row r="95" spans="1:159" ht="17.25" thickBot="1" x14ac:dyDescent="0.3">
      <c r="A95" s="226">
        <v>46129</v>
      </c>
      <c r="B95" s="227" t="s">
        <v>206</v>
      </c>
      <c r="C95" s="227" t="s">
        <v>501</v>
      </c>
      <c r="D95" s="228">
        <v>1000</v>
      </c>
      <c r="E95" s="228">
        <v>11</v>
      </c>
      <c r="F95" s="228">
        <v>659.55</v>
      </c>
      <c r="G95" s="228">
        <v>653.04999999999995</v>
      </c>
      <c r="H95" s="228">
        <v>6.5</v>
      </c>
      <c r="I95" s="229">
        <v>0.01</v>
      </c>
      <c r="J95" s="228">
        <v>659.3</v>
      </c>
      <c r="K95" s="228">
        <v>652.75</v>
      </c>
      <c r="L95" s="228">
        <v>6.55</v>
      </c>
      <c r="M95" s="229">
        <v>0.01</v>
      </c>
      <c r="N95" s="228">
        <v>659.55</v>
      </c>
      <c r="O95" s="228">
        <v>653.04999999999995</v>
      </c>
      <c r="P95" s="228">
        <v>6.5</v>
      </c>
      <c r="Q95" s="229">
        <v>0.01</v>
      </c>
      <c r="R95" s="228">
        <v>663.05</v>
      </c>
      <c r="S95" s="228">
        <v>656.75</v>
      </c>
      <c r="T95" s="228">
        <v>6.3</v>
      </c>
      <c r="U95" s="229">
        <v>9.5999999999999992E-3</v>
      </c>
      <c r="V95" s="228">
        <v>667.3</v>
      </c>
      <c r="W95" s="228">
        <v>659.15</v>
      </c>
      <c r="X95" s="228">
        <v>8.15</v>
      </c>
      <c r="Y95" s="229">
        <v>1.24E-2</v>
      </c>
      <c r="Z95" s="228">
        <v>0.25</v>
      </c>
      <c r="AA95" s="228">
        <v>0.3</v>
      </c>
      <c r="AB95" s="228">
        <v>-0.05</v>
      </c>
      <c r="AC95" s="229">
        <v>4.0000000000000002E-4</v>
      </c>
      <c r="AD95" s="228">
        <v>0.25</v>
      </c>
      <c r="AE95" s="228">
        <v>0.3</v>
      </c>
      <c r="AF95" s="228">
        <v>-0.05</v>
      </c>
      <c r="AG95" s="229">
        <v>4.0000000000000002E-4</v>
      </c>
      <c r="AH95" s="228">
        <v>3.75</v>
      </c>
      <c r="AI95" s="228">
        <v>4</v>
      </c>
      <c r="AJ95" s="228">
        <v>-0.25</v>
      </c>
      <c r="AK95" s="229">
        <v>5.7000000000000002E-3</v>
      </c>
      <c r="AL95" s="228">
        <v>8</v>
      </c>
      <c r="AM95" s="228">
        <v>6.4</v>
      </c>
      <c r="AN95" s="228">
        <v>1.6</v>
      </c>
      <c r="AO95" s="229">
        <v>1.21E-2</v>
      </c>
      <c r="AP95" s="228">
        <v>657.89</v>
      </c>
      <c r="AQ95" s="228">
        <v>660.69</v>
      </c>
      <c r="AR95" s="228">
        <v>0</v>
      </c>
      <c r="AS95" s="228">
        <v>410</v>
      </c>
      <c r="AT95" s="228">
        <v>263</v>
      </c>
      <c r="AU95" s="228">
        <v>148</v>
      </c>
      <c r="AV95" s="229">
        <v>0.56159999999999999</v>
      </c>
      <c r="AW95" s="228">
        <v>297</v>
      </c>
      <c r="AX95" s="228">
        <v>236</v>
      </c>
      <c r="AY95" s="228">
        <v>61</v>
      </c>
      <c r="AZ95" s="229">
        <v>0.25659999999999999</v>
      </c>
      <c r="BA95" s="228">
        <v>19</v>
      </c>
      <c r="BB95" s="228">
        <v>24</v>
      </c>
      <c r="BC95" s="228">
        <v>-5</v>
      </c>
      <c r="BD95" s="229">
        <v>-0.20050000000000001</v>
      </c>
      <c r="BE95" s="228">
        <v>94</v>
      </c>
      <c r="BF95" s="228">
        <v>2</v>
      </c>
      <c r="BG95" s="228">
        <v>92</v>
      </c>
      <c r="BH95" s="229">
        <v>38.6389</v>
      </c>
      <c r="BI95" s="228">
        <v>350</v>
      </c>
      <c r="BJ95" s="228">
        <v>611</v>
      </c>
      <c r="BK95" s="228">
        <v>-262</v>
      </c>
      <c r="BL95" s="229">
        <v>-0.42799999999999999</v>
      </c>
      <c r="BM95" s="228">
        <v>238</v>
      </c>
      <c r="BN95" s="228">
        <v>269</v>
      </c>
      <c r="BO95" s="228">
        <v>-31</v>
      </c>
      <c r="BP95" s="229">
        <v>-0.1152</v>
      </c>
      <c r="BQ95" s="228">
        <v>998</v>
      </c>
      <c r="BR95" s="230">
        <v>1143</v>
      </c>
      <c r="BS95" s="228">
        <v>-145</v>
      </c>
      <c r="BT95" s="229">
        <v>-0.1268</v>
      </c>
      <c r="BU95" s="230">
        <v>2783985</v>
      </c>
      <c r="BV95" s="230">
        <v>3269981</v>
      </c>
      <c r="BW95" s="230">
        <v>-485996</v>
      </c>
      <c r="BX95" s="229">
        <v>-0.14860000000000001</v>
      </c>
      <c r="BY95" s="230">
        <v>1461</v>
      </c>
      <c r="BZ95" s="230">
        <v>1446</v>
      </c>
      <c r="CA95" s="228">
        <v>15</v>
      </c>
      <c r="CB95" s="229">
        <v>1.0200000000000001E-2</v>
      </c>
      <c r="CC95" s="230">
        <v>1314</v>
      </c>
      <c r="CD95" s="230">
        <v>1391</v>
      </c>
      <c r="CE95" s="228">
        <v>-77</v>
      </c>
      <c r="CF95" s="229">
        <v>-5.5E-2</v>
      </c>
      <c r="CG95" s="228">
        <v>56</v>
      </c>
      <c r="CH95" s="228">
        <v>52</v>
      </c>
      <c r="CI95" s="228">
        <v>4</v>
      </c>
      <c r="CJ95" s="229">
        <v>8.1199999999999994E-2</v>
      </c>
      <c r="CK95" s="228">
        <v>91</v>
      </c>
      <c r="CL95" s="228">
        <v>4</v>
      </c>
      <c r="CM95" s="228">
        <v>87</v>
      </c>
      <c r="CN95" s="229">
        <v>24.444400000000002</v>
      </c>
      <c r="CO95" s="228">
        <v>401</v>
      </c>
      <c r="CP95" s="228">
        <v>397</v>
      </c>
      <c r="CQ95" s="228">
        <v>4</v>
      </c>
      <c r="CR95" s="229">
        <v>1.11E-2</v>
      </c>
      <c r="CS95" s="228">
        <v>388</v>
      </c>
      <c r="CT95" s="228">
        <v>406</v>
      </c>
      <c r="CU95" s="228">
        <v>-18</v>
      </c>
      <c r="CV95" s="229">
        <v>-4.4499999999999998E-2</v>
      </c>
      <c r="CW95" s="230">
        <v>2250</v>
      </c>
      <c r="CX95" s="230">
        <v>2249</v>
      </c>
      <c r="CY95" s="228">
        <v>1</v>
      </c>
      <c r="CZ95" s="229">
        <v>5.0000000000000001E-4</v>
      </c>
      <c r="DA95" s="228">
        <v>30.1</v>
      </c>
      <c r="DB95" s="228">
        <v>30.53</v>
      </c>
      <c r="DC95" s="228">
        <v>-0.43</v>
      </c>
      <c r="DD95" s="228">
        <v>-0.43</v>
      </c>
      <c r="DE95" s="228">
        <v>35.18</v>
      </c>
      <c r="DF95" s="228">
        <v>35.24</v>
      </c>
      <c r="DG95" s="228">
        <v>-5.08</v>
      </c>
      <c r="DH95" s="228">
        <v>-0.06</v>
      </c>
      <c r="DI95" s="228">
        <v>28.25</v>
      </c>
      <c r="DJ95" s="228">
        <v>29.52</v>
      </c>
      <c r="DK95" s="228">
        <v>-1.27</v>
      </c>
      <c r="DL95" s="228">
        <v>-1.27</v>
      </c>
      <c r="DM95" s="228">
        <v>32.840000000000003</v>
      </c>
      <c r="DN95" s="228">
        <v>32.840000000000003</v>
      </c>
      <c r="DO95" s="228">
        <v>0</v>
      </c>
      <c r="DP95" s="228">
        <v>0</v>
      </c>
      <c r="DQ95" s="228">
        <v>0.97</v>
      </c>
      <c r="DR95" s="228">
        <v>1.02</v>
      </c>
      <c r="DS95" s="228">
        <v>-0.05</v>
      </c>
      <c r="DT95" s="229">
        <v>-4.9000000000000002E-2</v>
      </c>
      <c r="DU95" s="228">
        <v>700</v>
      </c>
      <c r="DV95" s="228">
        <v>600</v>
      </c>
      <c r="DW95" s="228">
        <v>0.68</v>
      </c>
      <c r="DX95" s="228">
        <v>0.44</v>
      </c>
      <c r="DY95" s="228">
        <v>0.24</v>
      </c>
      <c r="DZ95" s="229">
        <v>0.54549999999999998</v>
      </c>
      <c r="EA95" s="229">
        <v>0.10050000000000001</v>
      </c>
      <c r="EB95" s="230">
        <v>842000</v>
      </c>
      <c r="EC95" s="229">
        <v>5.3E-3</v>
      </c>
      <c r="ED95" s="229">
        <v>0.10050000000000001</v>
      </c>
      <c r="EE95" s="228">
        <v>2.8</v>
      </c>
      <c r="EF95" s="229">
        <v>4.3E-3</v>
      </c>
      <c r="EG95" s="230">
        <v>1765215</v>
      </c>
      <c r="EH95" s="230">
        <v>1573359</v>
      </c>
      <c r="EI95" s="229">
        <v>0.12189999999999999</v>
      </c>
      <c r="EJ95" s="229">
        <v>0.6341</v>
      </c>
      <c r="EK95" s="228">
        <v>359.09</v>
      </c>
      <c r="EL95" s="228">
        <v>232.76</v>
      </c>
      <c r="EM95" s="228">
        <v>410.82</v>
      </c>
      <c r="EN95" s="228">
        <v>32.32</v>
      </c>
      <c r="EO95" s="231">
        <v>1002.68</v>
      </c>
      <c r="EP95" s="231">
        <v>1148.3499999999999</v>
      </c>
      <c r="EQ95" s="228">
        <v>-145.66999999999999</v>
      </c>
      <c r="ER95" s="229">
        <v>-0.12690000000000001</v>
      </c>
      <c r="ES95" s="228">
        <v>392.17</v>
      </c>
      <c r="ET95" s="228">
        <v>368.24</v>
      </c>
      <c r="EU95" s="231">
        <v>1462.46</v>
      </c>
      <c r="EV95" s="231">
        <v>123332004</v>
      </c>
      <c r="EW95" s="231">
        <v>2222.88</v>
      </c>
      <c r="EX95" s="231">
        <v>2203.85</v>
      </c>
      <c r="EY95" s="228">
        <v>19.03</v>
      </c>
      <c r="EZ95" s="229">
        <v>8.6E-3</v>
      </c>
      <c r="FA95" s="229">
        <v>0.27660000000000001</v>
      </c>
      <c r="FB95" s="227" t="s">
        <v>555</v>
      </c>
      <c r="FC95">
        <f t="shared" si="1"/>
        <v>147</v>
      </c>
    </row>
    <row r="96" spans="1:159" ht="17.25" thickBot="1" x14ac:dyDescent="0.3">
      <c r="A96" s="226">
        <v>46129</v>
      </c>
      <c r="B96" s="227" t="s">
        <v>172</v>
      </c>
      <c r="C96" s="227" t="s">
        <v>577</v>
      </c>
      <c r="D96" s="228">
        <v>1000</v>
      </c>
      <c r="E96" s="228">
        <v>11</v>
      </c>
      <c r="F96" s="228">
        <v>942.25</v>
      </c>
      <c r="G96" s="228">
        <v>943.6</v>
      </c>
      <c r="H96" s="228">
        <v>-1.35</v>
      </c>
      <c r="I96" s="229">
        <v>-1.4E-3</v>
      </c>
      <c r="J96" s="228">
        <v>939.45</v>
      </c>
      <c r="K96" s="228">
        <v>940.05</v>
      </c>
      <c r="L96" s="228">
        <v>-0.6</v>
      </c>
      <c r="M96" s="229">
        <v>-5.9999999999999995E-4</v>
      </c>
      <c r="N96" s="228">
        <v>942.25</v>
      </c>
      <c r="O96" s="228">
        <v>943.6</v>
      </c>
      <c r="P96" s="228">
        <v>-1.35</v>
      </c>
      <c r="Q96" s="229">
        <v>-1.4E-3</v>
      </c>
      <c r="R96" s="228">
        <v>944.05</v>
      </c>
      <c r="S96" s="228">
        <v>946</v>
      </c>
      <c r="T96" s="228">
        <v>-1.95</v>
      </c>
      <c r="U96" s="229">
        <v>-2.0999999999999999E-3</v>
      </c>
      <c r="V96" s="228">
        <v>941</v>
      </c>
      <c r="W96" s="228">
        <v>942.2</v>
      </c>
      <c r="X96" s="228">
        <v>-1.2</v>
      </c>
      <c r="Y96" s="229">
        <v>-1.2999999999999999E-3</v>
      </c>
      <c r="Z96" s="228">
        <v>2.8</v>
      </c>
      <c r="AA96" s="228">
        <v>3.55</v>
      </c>
      <c r="AB96" s="228">
        <v>-0.75</v>
      </c>
      <c r="AC96" s="229">
        <v>3.0000000000000001E-3</v>
      </c>
      <c r="AD96" s="228">
        <v>2.8</v>
      </c>
      <c r="AE96" s="228">
        <v>3.55</v>
      </c>
      <c r="AF96" s="228">
        <v>-0.75</v>
      </c>
      <c r="AG96" s="229">
        <v>3.0000000000000001E-3</v>
      </c>
      <c r="AH96" s="228">
        <v>4.5999999999999996</v>
      </c>
      <c r="AI96" s="228">
        <v>5.95</v>
      </c>
      <c r="AJ96" s="228">
        <v>-1.35</v>
      </c>
      <c r="AK96" s="229">
        <v>4.8999999999999998E-3</v>
      </c>
      <c r="AL96" s="228">
        <v>1.55</v>
      </c>
      <c r="AM96" s="228">
        <v>2.15</v>
      </c>
      <c r="AN96" s="228">
        <v>-0.6</v>
      </c>
      <c r="AO96" s="229">
        <v>1.6000000000000001E-3</v>
      </c>
      <c r="AP96" s="228">
        <v>940.27</v>
      </c>
      <c r="AQ96" s="228">
        <v>942.13</v>
      </c>
      <c r="AR96" s="228">
        <v>0</v>
      </c>
      <c r="AS96" s="228">
        <v>210</v>
      </c>
      <c r="AT96" s="228">
        <v>341</v>
      </c>
      <c r="AU96" s="228">
        <v>-131</v>
      </c>
      <c r="AV96" s="229">
        <v>-0.38469999999999999</v>
      </c>
      <c r="AW96" s="228">
        <v>191</v>
      </c>
      <c r="AX96" s="228">
        <v>308</v>
      </c>
      <c r="AY96" s="228">
        <v>-117</v>
      </c>
      <c r="AZ96" s="229">
        <v>-0.38059999999999999</v>
      </c>
      <c r="BA96" s="228">
        <v>18</v>
      </c>
      <c r="BB96" s="228">
        <v>31</v>
      </c>
      <c r="BC96" s="228">
        <v>-12</v>
      </c>
      <c r="BD96" s="229">
        <v>-0.4012</v>
      </c>
      <c r="BE96" s="228">
        <v>1</v>
      </c>
      <c r="BF96" s="228">
        <v>2</v>
      </c>
      <c r="BG96" s="228">
        <v>-2</v>
      </c>
      <c r="BH96" s="229">
        <v>-0.69230000000000003</v>
      </c>
      <c r="BI96" s="228">
        <v>532</v>
      </c>
      <c r="BJ96" s="228">
        <v>829</v>
      </c>
      <c r="BK96" s="228">
        <v>-297</v>
      </c>
      <c r="BL96" s="229">
        <v>-0.35780000000000001</v>
      </c>
      <c r="BM96" s="228">
        <v>187</v>
      </c>
      <c r="BN96" s="228">
        <v>328</v>
      </c>
      <c r="BO96" s="228">
        <v>-141</v>
      </c>
      <c r="BP96" s="229">
        <v>-0.43009999999999998</v>
      </c>
      <c r="BQ96" s="228">
        <v>930</v>
      </c>
      <c r="BR96" s="230">
        <v>1499</v>
      </c>
      <c r="BS96" s="228">
        <v>-569</v>
      </c>
      <c r="BT96" s="229">
        <v>-0.37980000000000003</v>
      </c>
      <c r="BU96" s="230">
        <v>2255731</v>
      </c>
      <c r="BV96" s="230">
        <v>2624518</v>
      </c>
      <c r="BW96" s="230">
        <v>-368787</v>
      </c>
      <c r="BX96" s="229">
        <v>-0.14050000000000001</v>
      </c>
      <c r="BY96" s="228">
        <v>929</v>
      </c>
      <c r="BZ96" s="228">
        <v>940</v>
      </c>
      <c r="CA96" s="228">
        <v>-10</v>
      </c>
      <c r="CB96" s="229">
        <v>-1.09E-2</v>
      </c>
      <c r="CC96" s="228">
        <v>883</v>
      </c>
      <c r="CD96" s="228">
        <v>897</v>
      </c>
      <c r="CE96" s="228">
        <v>-14</v>
      </c>
      <c r="CF96" s="229">
        <v>-1.54E-2</v>
      </c>
      <c r="CG96" s="228">
        <v>39</v>
      </c>
      <c r="CH96" s="228">
        <v>36</v>
      </c>
      <c r="CI96" s="228">
        <v>3</v>
      </c>
      <c r="CJ96" s="229">
        <v>9.2299999999999993E-2</v>
      </c>
      <c r="CK96" s="228">
        <v>7</v>
      </c>
      <c r="CL96" s="228">
        <v>7</v>
      </c>
      <c r="CM96" s="228">
        <v>0</v>
      </c>
      <c r="CN96" s="229">
        <v>3.95E-2</v>
      </c>
      <c r="CO96" s="228">
        <v>599</v>
      </c>
      <c r="CP96" s="228">
        <v>604</v>
      </c>
      <c r="CQ96" s="228">
        <v>-5</v>
      </c>
      <c r="CR96" s="229">
        <v>-8.3000000000000001E-3</v>
      </c>
      <c r="CS96" s="228">
        <v>320</v>
      </c>
      <c r="CT96" s="228">
        <v>313</v>
      </c>
      <c r="CU96" s="228">
        <v>7</v>
      </c>
      <c r="CV96" s="229">
        <v>2.1399999999999999E-2</v>
      </c>
      <c r="CW96" s="230">
        <v>1848</v>
      </c>
      <c r="CX96" s="230">
        <v>1857</v>
      </c>
      <c r="CY96" s="228">
        <v>-9</v>
      </c>
      <c r="CZ96" s="229">
        <v>-4.5999999999999999E-3</v>
      </c>
      <c r="DA96" s="228">
        <v>38.6</v>
      </c>
      <c r="DB96" s="228">
        <v>39.11</v>
      </c>
      <c r="DC96" s="228">
        <v>-0.51</v>
      </c>
      <c r="DD96" s="228">
        <v>-0.51</v>
      </c>
      <c r="DE96" s="228">
        <v>41.8</v>
      </c>
      <c r="DF96" s="228">
        <v>41.91</v>
      </c>
      <c r="DG96" s="228">
        <v>-3.2</v>
      </c>
      <c r="DH96" s="228">
        <v>-0.11</v>
      </c>
      <c r="DI96" s="228">
        <v>38.57</v>
      </c>
      <c r="DJ96" s="228">
        <v>39.04</v>
      </c>
      <c r="DK96" s="228">
        <v>-0.47</v>
      </c>
      <c r="DL96" s="228">
        <v>-0.47</v>
      </c>
      <c r="DM96" s="228">
        <v>38.68</v>
      </c>
      <c r="DN96" s="228">
        <v>39.28</v>
      </c>
      <c r="DO96" s="228">
        <v>-0.6</v>
      </c>
      <c r="DP96" s="228">
        <v>-0.6</v>
      </c>
      <c r="DQ96" s="228">
        <v>0.53</v>
      </c>
      <c r="DR96" s="228">
        <v>0.52</v>
      </c>
      <c r="DS96" s="228">
        <v>0.01</v>
      </c>
      <c r="DT96" s="229">
        <v>1.9199999999999998E-2</v>
      </c>
      <c r="DU96" s="231">
        <v>1000</v>
      </c>
      <c r="DV96" s="228">
        <v>900</v>
      </c>
      <c r="DW96" s="228">
        <v>0.35</v>
      </c>
      <c r="DX96" s="228">
        <v>0.4</v>
      </c>
      <c r="DY96" s="228">
        <v>-0.05</v>
      </c>
      <c r="DZ96" s="229">
        <v>-0.125</v>
      </c>
      <c r="EA96" s="229">
        <v>0.05</v>
      </c>
      <c r="EB96" s="230">
        <v>455000</v>
      </c>
      <c r="EC96" s="229">
        <v>1.9E-3</v>
      </c>
      <c r="ED96" s="229">
        <v>0.05</v>
      </c>
      <c r="EE96" s="228">
        <v>1.86</v>
      </c>
      <c r="EF96" s="229">
        <v>2E-3</v>
      </c>
      <c r="EG96" s="230">
        <v>1020605</v>
      </c>
      <c r="EH96" s="230">
        <v>1081984</v>
      </c>
      <c r="EI96" s="229">
        <v>-5.67E-2</v>
      </c>
      <c r="EJ96" s="229">
        <v>0.45240000000000002</v>
      </c>
      <c r="EK96" s="228">
        <v>563.37</v>
      </c>
      <c r="EL96" s="228">
        <v>187.18</v>
      </c>
      <c r="EM96" s="228">
        <v>209.72</v>
      </c>
      <c r="EN96" s="228">
        <v>35.159999999999997</v>
      </c>
      <c r="EO96" s="228">
        <v>960.26</v>
      </c>
      <c r="EP96" s="231">
        <v>1547.41</v>
      </c>
      <c r="EQ96" s="228">
        <v>-587.15</v>
      </c>
      <c r="ER96" s="229">
        <v>-0.37940000000000002</v>
      </c>
      <c r="ES96" s="228">
        <v>622.04</v>
      </c>
      <c r="ET96" s="228">
        <v>304.89</v>
      </c>
      <c r="EU96" s="228">
        <v>929.41</v>
      </c>
      <c r="EV96" s="231">
        <v>52862157</v>
      </c>
      <c r="EW96" s="231">
        <v>1856.34</v>
      </c>
      <c r="EX96" s="231">
        <v>1868.61</v>
      </c>
      <c r="EY96" s="228">
        <v>-12.27</v>
      </c>
      <c r="EZ96" s="229">
        <v>-6.6E-3</v>
      </c>
      <c r="FA96" s="229">
        <v>0.371</v>
      </c>
      <c r="FB96" s="227" t="s">
        <v>567</v>
      </c>
      <c r="FC96">
        <f t="shared" si="1"/>
        <v>46</v>
      </c>
    </row>
    <row r="97" spans="1:159" ht="17.25" thickBot="1" x14ac:dyDescent="0.3">
      <c r="A97" s="226">
        <v>46129</v>
      </c>
      <c r="B97" s="227" t="s">
        <v>181</v>
      </c>
      <c r="C97" s="227" t="s">
        <v>686</v>
      </c>
      <c r="D97" s="228">
        <v>1</v>
      </c>
      <c r="E97" s="228">
        <v>11</v>
      </c>
      <c r="F97" s="228">
        <v>17.2</v>
      </c>
      <c r="G97" s="228">
        <v>18.09</v>
      </c>
      <c r="H97" s="228">
        <v>-0.89</v>
      </c>
      <c r="I97" s="229">
        <v>-4.8899999999999999E-2</v>
      </c>
      <c r="J97" s="228">
        <v>17.2</v>
      </c>
      <c r="K97" s="228">
        <v>18.09</v>
      </c>
      <c r="L97" s="228">
        <v>-0.89</v>
      </c>
      <c r="M97" s="229">
        <v>-4.8899999999999999E-2</v>
      </c>
      <c r="N97" s="228">
        <v>0</v>
      </c>
      <c r="O97" s="228">
        <v>0</v>
      </c>
      <c r="P97" s="228">
        <v>0</v>
      </c>
      <c r="Q97" s="229">
        <v>0</v>
      </c>
      <c r="R97" s="228">
        <v>0</v>
      </c>
      <c r="S97" s="228">
        <v>0</v>
      </c>
      <c r="T97" s="228">
        <v>0</v>
      </c>
      <c r="U97" s="229">
        <v>0</v>
      </c>
      <c r="V97" s="228">
        <v>0</v>
      </c>
      <c r="W97" s="228">
        <v>0</v>
      </c>
      <c r="X97" s="228">
        <v>0</v>
      </c>
      <c r="Y97" s="229">
        <v>0</v>
      </c>
      <c r="Z97" s="228">
        <v>0</v>
      </c>
      <c r="AA97" s="228">
        <v>0</v>
      </c>
      <c r="AB97" s="228">
        <v>0</v>
      </c>
      <c r="AC97" s="229">
        <v>0</v>
      </c>
      <c r="AD97" s="228">
        <v>0</v>
      </c>
      <c r="AE97" s="228">
        <v>0</v>
      </c>
      <c r="AF97" s="228">
        <v>0</v>
      </c>
      <c r="AG97" s="229">
        <v>0</v>
      </c>
      <c r="AH97" s="228">
        <v>0</v>
      </c>
      <c r="AI97" s="228">
        <v>0</v>
      </c>
      <c r="AJ97" s="228">
        <v>0</v>
      </c>
      <c r="AK97" s="229">
        <v>0</v>
      </c>
      <c r="AL97" s="228">
        <v>0</v>
      </c>
      <c r="AM97" s="228">
        <v>0</v>
      </c>
      <c r="AN97" s="228">
        <v>0</v>
      </c>
      <c r="AO97" s="229">
        <v>0</v>
      </c>
      <c r="AP97" s="228">
        <v>0</v>
      </c>
      <c r="AQ97" s="228">
        <v>0</v>
      </c>
      <c r="AR97" s="228">
        <v>0</v>
      </c>
      <c r="AS97" s="228">
        <v>0</v>
      </c>
      <c r="AT97" s="228">
        <v>0</v>
      </c>
      <c r="AU97" s="228">
        <v>0</v>
      </c>
      <c r="AV97" s="229">
        <v>0</v>
      </c>
      <c r="AW97" s="228">
        <v>0</v>
      </c>
      <c r="AX97" s="228">
        <v>0</v>
      </c>
      <c r="AY97" s="228">
        <v>0</v>
      </c>
      <c r="AZ97" s="229">
        <v>0</v>
      </c>
      <c r="BA97" s="228">
        <v>0</v>
      </c>
      <c r="BB97" s="228">
        <v>0</v>
      </c>
      <c r="BC97" s="228">
        <v>0</v>
      </c>
      <c r="BD97" s="229">
        <v>0</v>
      </c>
      <c r="BE97" s="228">
        <v>0</v>
      </c>
      <c r="BF97" s="228">
        <v>0</v>
      </c>
      <c r="BG97" s="228">
        <v>0</v>
      </c>
      <c r="BH97" s="229">
        <v>0</v>
      </c>
      <c r="BI97" s="228">
        <v>0</v>
      </c>
      <c r="BJ97" s="228">
        <v>0</v>
      </c>
      <c r="BK97" s="228">
        <v>0</v>
      </c>
      <c r="BL97" s="229">
        <v>0</v>
      </c>
      <c r="BM97" s="228">
        <v>0</v>
      </c>
      <c r="BN97" s="228">
        <v>0</v>
      </c>
      <c r="BO97" s="228">
        <v>0</v>
      </c>
      <c r="BP97" s="229">
        <v>0</v>
      </c>
      <c r="BQ97" s="228">
        <v>0</v>
      </c>
      <c r="BR97" s="228">
        <v>0</v>
      </c>
      <c r="BS97" s="228">
        <v>0</v>
      </c>
      <c r="BT97" s="229">
        <v>0</v>
      </c>
      <c r="BU97" s="228">
        <v>0</v>
      </c>
      <c r="BV97" s="228">
        <v>0</v>
      </c>
      <c r="BW97" s="228">
        <v>0</v>
      </c>
      <c r="BX97" s="229">
        <v>0</v>
      </c>
      <c r="BY97" s="228">
        <v>0</v>
      </c>
      <c r="BZ97" s="228">
        <v>0</v>
      </c>
      <c r="CA97" s="228">
        <v>0</v>
      </c>
      <c r="CB97" s="229">
        <v>0</v>
      </c>
      <c r="CC97" s="228">
        <v>0</v>
      </c>
      <c r="CD97" s="228">
        <v>0</v>
      </c>
      <c r="CE97" s="228">
        <v>0</v>
      </c>
      <c r="CF97" s="229">
        <v>0</v>
      </c>
      <c r="CG97" s="228">
        <v>0</v>
      </c>
      <c r="CH97" s="228">
        <v>0</v>
      </c>
      <c r="CI97" s="228">
        <v>0</v>
      </c>
      <c r="CJ97" s="229">
        <v>0</v>
      </c>
      <c r="CK97" s="228">
        <v>0</v>
      </c>
      <c r="CL97" s="228">
        <v>0</v>
      </c>
      <c r="CM97" s="228">
        <v>0</v>
      </c>
      <c r="CN97" s="229">
        <v>0</v>
      </c>
      <c r="CO97" s="228">
        <v>0</v>
      </c>
      <c r="CP97" s="228">
        <v>0</v>
      </c>
      <c r="CQ97" s="228">
        <v>0</v>
      </c>
      <c r="CR97" s="229">
        <v>0</v>
      </c>
      <c r="CS97" s="228">
        <v>0</v>
      </c>
      <c r="CT97" s="228">
        <v>0</v>
      </c>
      <c r="CU97" s="228">
        <v>0</v>
      </c>
      <c r="CV97" s="229">
        <v>0</v>
      </c>
      <c r="CW97" s="228">
        <v>0</v>
      </c>
      <c r="CX97" s="228">
        <v>0</v>
      </c>
      <c r="CY97" s="228">
        <v>0</v>
      </c>
      <c r="CZ97" s="229">
        <v>0</v>
      </c>
      <c r="DA97" s="228">
        <v>0</v>
      </c>
      <c r="DB97" s="228">
        <v>0</v>
      </c>
      <c r="DC97" s="228">
        <v>0</v>
      </c>
      <c r="DD97" s="228">
        <v>0</v>
      </c>
      <c r="DE97" s="228">
        <v>0</v>
      </c>
      <c r="DF97" s="228">
        <v>0</v>
      </c>
      <c r="DG97" s="228">
        <v>0</v>
      </c>
      <c r="DH97" s="228">
        <v>0</v>
      </c>
      <c r="DI97" s="228">
        <v>0</v>
      </c>
      <c r="DJ97" s="228">
        <v>0</v>
      </c>
      <c r="DK97" s="228">
        <v>0</v>
      </c>
      <c r="DL97" s="228">
        <v>0</v>
      </c>
      <c r="DM97" s="228">
        <v>0</v>
      </c>
      <c r="DN97" s="228">
        <v>0</v>
      </c>
      <c r="DO97" s="228">
        <v>0</v>
      </c>
      <c r="DP97" s="228">
        <v>0</v>
      </c>
      <c r="DQ97" s="228">
        <v>0</v>
      </c>
      <c r="DR97" s="228">
        <v>0</v>
      </c>
      <c r="DS97" s="228">
        <v>0</v>
      </c>
      <c r="DT97" s="229">
        <v>0</v>
      </c>
      <c r="DU97" s="228">
        <v>0</v>
      </c>
      <c r="DV97" s="228">
        <v>0</v>
      </c>
      <c r="DW97" s="228">
        <v>0</v>
      </c>
      <c r="DX97" s="228">
        <v>0</v>
      </c>
      <c r="DY97" s="228">
        <v>0</v>
      </c>
      <c r="DZ97" s="229">
        <v>0</v>
      </c>
      <c r="EA97" s="229">
        <v>0</v>
      </c>
      <c r="EB97" s="228">
        <v>0</v>
      </c>
      <c r="EC97" s="229">
        <v>0</v>
      </c>
      <c r="ED97" s="229">
        <v>0</v>
      </c>
      <c r="EE97" s="228">
        <v>0</v>
      </c>
      <c r="EF97" s="229">
        <v>0</v>
      </c>
      <c r="EG97" s="228">
        <v>0</v>
      </c>
      <c r="EH97" s="228">
        <v>0</v>
      </c>
      <c r="EI97" s="229">
        <v>0</v>
      </c>
      <c r="EJ97" s="229">
        <v>0</v>
      </c>
      <c r="EK97" s="228">
        <v>0</v>
      </c>
      <c r="EL97" s="228">
        <v>0</v>
      </c>
      <c r="EM97" s="228">
        <v>0</v>
      </c>
      <c r="EN97" s="228">
        <v>0</v>
      </c>
      <c r="EO97" s="228">
        <v>0</v>
      </c>
      <c r="EP97" s="228">
        <v>0</v>
      </c>
      <c r="EQ97" s="228">
        <v>0</v>
      </c>
      <c r="ER97" s="229">
        <v>0</v>
      </c>
      <c r="ES97" s="228">
        <v>0</v>
      </c>
      <c r="ET97" s="228">
        <v>0</v>
      </c>
      <c r="EU97" s="228">
        <v>0</v>
      </c>
      <c r="EV97" s="228">
        <v>0</v>
      </c>
      <c r="EW97" s="228">
        <v>0</v>
      </c>
      <c r="EX97" s="228">
        <v>0</v>
      </c>
      <c r="EY97" s="228">
        <v>0</v>
      </c>
      <c r="EZ97" s="229">
        <v>0</v>
      </c>
      <c r="FA97" s="229">
        <v>0</v>
      </c>
      <c r="FB97" s="227" t="s">
        <v>237</v>
      </c>
      <c r="FC97">
        <f t="shared" si="1"/>
        <v>0</v>
      </c>
    </row>
    <row r="98" spans="1:159" ht="17.25" thickBot="1" x14ac:dyDescent="0.3">
      <c r="A98" s="226">
        <v>46129</v>
      </c>
      <c r="B98" s="227" t="s">
        <v>215</v>
      </c>
      <c r="C98" s="227" t="s">
        <v>238</v>
      </c>
      <c r="D98" s="228">
        <v>150</v>
      </c>
      <c r="E98" s="228">
        <v>11</v>
      </c>
      <c r="F98" s="231">
        <v>4647.8999999999996</v>
      </c>
      <c r="G98" s="231">
        <v>4624.2</v>
      </c>
      <c r="H98" s="228">
        <v>23.7</v>
      </c>
      <c r="I98" s="229">
        <v>5.1000000000000004E-3</v>
      </c>
      <c r="J98" s="231">
        <v>4638.3999999999996</v>
      </c>
      <c r="K98" s="231">
        <v>4608.7</v>
      </c>
      <c r="L98" s="228">
        <v>29.7</v>
      </c>
      <c r="M98" s="229">
        <v>6.4000000000000003E-3</v>
      </c>
      <c r="N98" s="231">
        <v>4647.8999999999996</v>
      </c>
      <c r="O98" s="231">
        <v>4624.2</v>
      </c>
      <c r="P98" s="228">
        <v>23.7</v>
      </c>
      <c r="Q98" s="229">
        <v>5.1000000000000004E-3</v>
      </c>
      <c r="R98" s="231">
        <v>4656.2</v>
      </c>
      <c r="S98" s="231">
        <v>4632.8999999999996</v>
      </c>
      <c r="T98" s="228">
        <v>23.3</v>
      </c>
      <c r="U98" s="229">
        <v>5.0000000000000001E-3</v>
      </c>
      <c r="V98" s="231">
        <v>4670.8</v>
      </c>
      <c r="W98" s="231">
        <v>4648.3999999999996</v>
      </c>
      <c r="X98" s="228">
        <v>22.4</v>
      </c>
      <c r="Y98" s="229">
        <v>4.7999999999999996E-3</v>
      </c>
      <c r="Z98" s="228">
        <v>9.5</v>
      </c>
      <c r="AA98" s="228">
        <v>15.5</v>
      </c>
      <c r="AB98" s="228">
        <v>-6</v>
      </c>
      <c r="AC98" s="229">
        <v>2E-3</v>
      </c>
      <c r="AD98" s="228">
        <v>9.5</v>
      </c>
      <c r="AE98" s="228">
        <v>15.5</v>
      </c>
      <c r="AF98" s="228">
        <v>-6</v>
      </c>
      <c r="AG98" s="229">
        <v>2E-3</v>
      </c>
      <c r="AH98" s="228">
        <v>17.8</v>
      </c>
      <c r="AI98" s="228">
        <v>24.2</v>
      </c>
      <c r="AJ98" s="228">
        <v>-6.4</v>
      </c>
      <c r="AK98" s="229">
        <v>3.8E-3</v>
      </c>
      <c r="AL98" s="228">
        <v>32.4</v>
      </c>
      <c r="AM98" s="228">
        <v>39.700000000000003</v>
      </c>
      <c r="AN98" s="228">
        <v>-7.3</v>
      </c>
      <c r="AO98" s="229">
        <v>7.0000000000000001E-3</v>
      </c>
      <c r="AP98" s="231">
        <v>4631.4799999999996</v>
      </c>
      <c r="AQ98" s="231">
        <v>4637.2299999999996</v>
      </c>
      <c r="AR98" s="228">
        <v>0</v>
      </c>
      <c r="AS98" s="228">
        <v>411</v>
      </c>
      <c r="AT98" s="228">
        <v>519</v>
      </c>
      <c r="AU98" s="228">
        <v>-108</v>
      </c>
      <c r="AV98" s="229">
        <v>-0.20860000000000001</v>
      </c>
      <c r="AW98" s="228">
        <v>367</v>
      </c>
      <c r="AX98" s="228">
        <v>466</v>
      </c>
      <c r="AY98" s="228">
        <v>-99</v>
      </c>
      <c r="AZ98" s="229">
        <v>-0.21199999999999999</v>
      </c>
      <c r="BA98" s="228">
        <v>40</v>
      </c>
      <c r="BB98" s="228">
        <v>46</v>
      </c>
      <c r="BC98" s="228">
        <v>-6</v>
      </c>
      <c r="BD98" s="229">
        <v>-0.12559999999999999</v>
      </c>
      <c r="BE98" s="228">
        <v>4</v>
      </c>
      <c r="BF98" s="228">
        <v>8</v>
      </c>
      <c r="BG98" s="228">
        <v>-4</v>
      </c>
      <c r="BH98" s="229">
        <v>-0.49540000000000001</v>
      </c>
      <c r="BI98" s="230">
        <v>1982</v>
      </c>
      <c r="BJ98" s="230">
        <v>2379</v>
      </c>
      <c r="BK98" s="228">
        <v>-397</v>
      </c>
      <c r="BL98" s="229">
        <v>-0.16689999999999999</v>
      </c>
      <c r="BM98" s="230">
        <v>1764</v>
      </c>
      <c r="BN98" s="230">
        <v>1935</v>
      </c>
      <c r="BO98" s="228">
        <v>-171</v>
      </c>
      <c r="BP98" s="229">
        <v>-8.8499999999999995E-2</v>
      </c>
      <c r="BQ98" s="230">
        <v>4157</v>
      </c>
      <c r="BR98" s="230">
        <v>4833</v>
      </c>
      <c r="BS98" s="228">
        <v>-676</v>
      </c>
      <c r="BT98" s="229">
        <v>-0.14000000000000001</v>
      </c>
      <c r="BU98" s="230">
        <v>794960</v>
      </c>
      <c r="BV98" s="230">
        <v>1522874</v>
      </c>
      <c r="BW98" s="230">
        <v>-727914</v>
      </c>
      <c r="BX98" s="229">
        <v>-0.47799999999999998</v>
      </c>
      <c r="BY98" s="230">
        <v>3259</v>
      </c>
      <c r="BZ98" s="230">
        <v>3267</v>
      </c>
      <c r="CA98" s="228">
        <v>-8</v>
      </c>
      <c r="CB98" s="229">
        <v>-2.5000000000000001E-3</v>
      </c>
      <c r="CC98" s="230">
        <v>3099</v>
      </c>
      <c r="CD98" s="230">
        <v>3118</v>
      </c>
      <c r="CE98" s="228">
        <v>-19</v>
      </c>
      <c r="CF98" s="229">
        <v>-6.1000000000000004E-3</v>
      </c>
      <c r="CG98" s="228">
        <v>138</v>
      </c>
      <c r="CH98" s="228">
        <v>128</v>
      </c>
      <c r="CI98" s="228">
        <v>10</v>
      </c>
      <c r="CJ98" s="229">
        <v>7.6799999999999993E-2</v>
      </c>
      <c r="CK98" s="228">
        <v>22</v>
      </c>
      <c r="CL98" s="228">
        <v>21</v>
      </c>
      <c r="CM98" s="228">
        <v>1</v>
      </c>
      <c r="CN98" s="229">
        <v>5.2299999999999999E-2</v>
      </c>
      <c r="CO98" s="230">
        <v>2929</v>
      </c>
      <c r="CP98" s="230">
        <v>2886</v>
      </c>
      <c r="CQ98" s="228">
        <v>43</v>
      </c>
      <c r="CR98" s="229">
        <v>1.49E-2</v>
      </c>
      <c r="CS98" s="230">
        <v>2025</v>
      </c>
      <c r="CT98" s="230">
        <v>2014</v>
      </c>
      <c r="CU98" s="228">
        <v>11</v>
      </c>
      <c r="CV98" s="229">
        <v>5.4999999999999997E-3</v>
      </c>
      <c r="CW98" s="230">
        <v>8214</v>
      </c>
      <c r="CX98" s="230">
        <v>8168</v>
      </c>
      <c r="CY98" s="228">
        <v>46</v>
      </c>
      <c r="CZ98" s="229">
        <v>5.7000000000000002E-3</v>
      </c>
      <c r="DA98" s="228">
        <v>38.86</v>
      </c>
      <c r="DB98" s="228">
        <v>37.909999999999997</v>
      </c>
      <c r="DC98" s="228">
        <v>0.95</v>
      </c>
      <c r="DD98" s="228">
        <v>0.95</v>
      </c>
      <c r="DE98" s="228">
        <v>40.24</v>
      </c>
      <c r="DF98" s="228">
        <v>40.33</v>
      </c>
      <c r="DG98" s="228">
        <v>-1.38</v>
      </c>
      <c r="DH98" s="228">
        <v>-0.09</v>
      </c>
      <c r="DI98" s="228">
        <v>34.979999999999997</v>
      </c>
      <c r="DJ98" s="228">
        <v>35.24</v>
      </c>
      <c r="DK98" s="228">
        <v>-0.26</v>
      </c>
      <c r="DL98" s="228">
        <v>-0.26</v>
      </c>
      <c r="DM98" s="228">
        <v>43.22</v>
      </c>
      <c r="DN98" s="228">
        <v>41.2</v>
      </c>
      <c r="DO98" s="228">
        <v>2.02</v>
      </c>
      <c r="DP98" s="228">
        <v>2.02</v>
      </c>
      <c r="DQ98" s="228">
        <v>0.69</v>
      </c>
      <c r="DR98" s="228">
        <v>0.7</v>
      </c>
      <c r="DS98" s="228">
        <v>-0.01</v>
      </c>
      <c r="DT98" s="229">
        <v>-1.43E-2</v>
      </c>
      <c r="DU98" s="231">
        <v>4700</v>
      </c>
      <c r="DV98" s="231">
        <v>4400</v>
      </c>
      <c r="DW98" s="228">
        <v>0.89</v>
      </c>
      <c r="DX98" s="228">
        <v>0.81</v>
      </c>
      <c r="DY98" s="228">
        <v>0.08</v>
      </c>
      <c r="DZ98" s="229">
        <v>9.8799999999999999E-2</v>
      </c>
      <c r="EA98" s="229">
        <v>4.9200000000000001E-2</v>
      </c>
      <c r="EB98" s="230">
        <v>321150</v>
      </c>
      <c r="EC98" s="229">
        <v>1.8E-3</v>
      </c>
      <c r="ED98" s="229">
        <v>4.9200000000000001E-2</v>
      </c>
      <c r="EE98" s="228">
        <v>5.75</v>
      </c>
      <c r="EF98" s="229">
        <v>1.1999999999999999E-3</v>
      </c>
      <c r="EG98" s="230">
        <v>338886</v>
      </c>
      <c r="EH98" s="230">
        <v>692801</v>
      </c>
      <c r="EI98" s="229">
        <v>-0.51080000000000003</v>
      </c>
      <c r="EJ98" s="229">
        <v>0.42630000000000001</v>
      </c>
      <c r="EK98" s="231">
        <v>2077.0500000000002</v>
      </c>
      <c r="EL98" s="231">
        <v>1668.75</v>
      </c>
      <c r="EM98" s="228">
        <v>409.4</v>
      </c>
      <c r="EN98" s="228">
        <v>102.35</v>
      </c>
      <c r="EO98" s="231">
        <v>4155.1899999999996</v>
      </c>
      <c r="EP98" s="231">
        <v>4869.95</v>
      </c>
      <c r="EQ98" s="228">
        <v>-714.76</v>
      </c>
      <c r="ER98" s="229">
        <v>-0.14680000000000001</v>
      </c>
      <c r="ES98" s="231">
        <v>2969.14</v>
      </c>
      <c r="ET98" s="231">
        <v>1866.35</v>
      </c>
      <c r="EU98" s="231">
        <v>3259.7</v>
      </c>
      <c r="EV98" s="231">
        <v>33878797</v>
      </c>
      <c r="EW98" s="231">
        <v>8095.18</v>
      </c>
      <c r="EX98" s="231">
        <v>8028.74</v>
      </c>
      <c r="EY98" s="228">
        <v>66.44</v>
      </c>
      <c r="EZ98" s="229">
        <v>8.3000000000000001E-3</v>
      </c>
      <c r="FA98" s="229">
        <v>0.52159999999999995</v>
      </c>
      <c r="FB98" s="227" t="s">
        <v>693</v>
      </c>
      <c r="FC98">
        <f t="shared" si="1"/>
        <v>160</v>
      </c>
    </row>
    <row r="99" spans="1:159" ht="17.25" thickBot="1" x14ac:dyDescent="0.3">
      <c r="A99" s="226">
        <v>46129</v>
      </c>
      <c r="B99" s="227" t="s">
        <v>172</v>
      </c>
      <c r="C99" s="227" t="s">
        <v>239</v>
      </c>
      <c r="D99" s="228">
        <v>700</v>
      </c>
      <c r="E99" s="228">
        <v>11</v>
      </c>
      <c r="F99" s="228">
        <v>852.35</v>
      </c>
      <c r="G99" s="228">
        <v>849.55</v>
      </c>
      <c r="H99" s="228">
        <v>2.8</v>
      </c>
      <c r="I99" s="229">
        <v>3.3E-3</v>
      </c>
      <c r="J99" s="228">
        <v>853.9</v>
      </c>
      <c r="K99" s="228">
        <v>847.9</v>
      </c>
      <c r="L99" s="228">
        <v>6</v>
      </c>
      <c r="M99" s="229">
        <v>7.1000000000000004E-3</v>
      </c>
      <c r="N99" s="228">
        <v>852.35</v>
      </c>
      <c r="O99" s="228">
        <v>849.55</v>
      </c>
      <c r="P99" s="228">
        <v>2.8</v>
      </c>
      <c r="Q99" s="229">
        <v>3.3E-3</v>
      </c>
      <c r="R99" s="228">
        <v>857.05</v>
      </c>
      <c r="S99" s="228">
        <v>853.9</v>
      </c>
      <c r="T99" s="228">
        <v>3.15</v>
      </c>
      <c r="U99" s="229">
        <v>3.7000000000000002E-3</v>
      </c>
      <c r="V99" s="228">
        <v>857.55</v>
      </c>
      <c r="W99" s="228">
        <v>854.4</v>
      </c>
      <c r="X99" s="228">
        <v>3.15</v>
      </c>
      <c r="Y99" s="229">
        <v>3.7000000000000002E-3</v>
      </c>
      <c r="Z99" s="228">
        <v>-1.55</v>
      </c>
      <c r="AA99" s="228">
        <v>1.65</v>
      </c>
      <c r="AB99" s="228">
        <v>-3.2</v>
      </c>
      <c r="AC99" s="229">
        <v>-1.8E-3</v>
      </c>
      <c r="AD99" s="228">
        <v>-1.55</v>
      </c>
      <c r="AE99" s="228">
        <v>1.65</v>
      </c>
      <c r="AF99" s="228">
        <v>-3.2</v>
      </c>
      <c r="AG99" s="229">
        <v>-1.8E-3</v>
      </c>
      <c r="AH99" s="228">
        <v>3.15</v>
      </c>
      <c r="AI99" s="228">
        <v>6</v>
      </c>
      <c r="AJ99" s="228">
        <v>-2.85</v>
      </c>
      <c r="AK99" s="229">
        <v>3.7000000000000002E-3</v>
      </c>
      <c r="AL99" s="228">
        <v>3.65</v>
      </c>
      <c r="AM99" s="228">
        <v>6.5</v>
      </c>
      <c r="AN99" s="228">
        <v>-2.85</v>
      </c>
      <c r="AO99" s="229">
        <v>4.3E-3</v>
      </c>
      <c r="AP99" s="228">
        <v>849.13</v>
      </c>
      <c r="AQ99" s="228">
        <v>852.55</v>
      </c>
      <c r="AR99" s="228">
        <v>0</v>
      </c>
      <c r="AS99" s="228">
        <v>314</v>
      </c>
      <c r="AT99" s="228">
        <v>482</v>
      </c>
      <c r="AU99" s="228">
        <v>-168</v>
      </c>
      <c r="AV99" s="229">
        <v>-0.3483</v>
      </c>
      <c r="AW99" s="228">
        <v>265</v>
      </c>
      <c r="AX99" s="228">
        <v>384</v>
      </c>
      <c r="AY99" s="228">
        <v>-119</v>
      </c>
      <c r="AZ99" s="229">
        <v>-0.31030000000000002</v>
      </c>
      <c r="BA99" s="228">
        <v>46</v>
      </c>
      <c r="BB99" s="228">
        <v>94</v>
      </c>
      <c r="BC99" s="228">
        <v>-47</v>
      </c>
      <c r="BD99" s="229">
        <v>-0.50700000000000001</v>
      </c>
      <c r="BE99" s="228">
        <v>3</v>
      </c>
      <c r="BF99" s="228">
        <v>5</v>
      </c>
      <c r="BG99" s="228">
        <v>-1</v>
      </c>
      <c r="BH99" s="229">
        <v>-0.29110000000000003</v>
      </c>
      <c r="BI99" s="228">
        <v>714</v>
      </c>
      <c r="BJ99" s="228">
        <v>856</v>
      </c>
      <c r="BK99" s="228">
        <v>-143</v>
      </c>
      <c r="BL99" s="229">
        <v>-0.16650000000000001</v>
      </c>
      <c r="BM99" s="228">
        <v>414</v>
      </c>
      <c r="BN99" s="228">
        <v>630</v>
      </c>
      <c r="BO99" s="228">
        <v>-217</v>
      </c>
      <c r="BP99" s="229">
        <v>-0.34389999999999998</v>
      </c>
      <c r="BQ99" s="230">
        <v>1442</v>
      </c>
      <c r="BR99" s="230">
        <v>1969</v>
      </c>
      <c r="BS99" s="228">
        <v>-527</v>
      </c>
      <c r="BT99" s="229">
        <v>-0.26790000000000003</v>
      </c>
      <c r="BU99" s="230">
        <v>1900991</v>
      </c>
      <c r="BV99" s="230">
        <v>3844362</v>
      </c>
      <c r="BW99" s="230">
        <v>-1943371</v>
      </c>
      <c r="BX99" s="229">
        <v>-0.50549999999999995</v>
      </c>
      <c r="BY99" s="230">
        <v>3289</v>
      </c>
      <c r="BZ99" s="230">
        <v>3269</v>
      </c>
      <c r="CA99" s="228">
        <v>20</v>
      </c>
      <c r="CB99" s="229">
        <v>6.1000000000000004E-3</v>
      </c>
      <c r="CC99" s="230">
        <v>3017</v>
      </c>
      <c r="CD99" s="230">
        <v>3027</v>
      </c>
      <c r="CE99" s="228">
        <v>-10</v>
      </c>
      <c r="CF99" s="229">
        <v>-3.3E-3</v>
      </c>
      <c r="CG99" s="228">
        <v>238</v>
      </c>
      <c r="CH99" s="228">
        <v>210</v>
      </c>
      <c r="CI99" s="228">
        <v>28</v>
      </c>
      <c r="CJ99" s="229">
        <v>0.13139999999999999</v>
      </c>
      <c r="CK99" s="228">
        <v>34</v>
      </c>
      <c r="CL99" s="228">
        <v>31</v>
      </c>
      <c r="CM99" s="228">
        <v>2</v>
      </c>
      <c r="CN99" s="229">
        <v>7.4300000000000005E-2</v>
      </c>
      <c r="CO99" s="228">
        <v>682</v>
      </c>
      <c r="CP99" s="228">
        <v>630</v>
      </c>
      <c r="CQ99" s="228">
        <v>51</v>
      </c>
      <c r="CR99" s="229">
        <v>8.1100000000000005E-2</v>
      </c>
      <c r="CS99" s="228">
        <v>522</v>
      </c>
      <c r="CT99" s="228">
        <v>528</v>
      </c>
      <c r="CU99" s="228">
        <v>-6</v>
      </c>
      <c r="CV99" s="229">
        <v>-1.2200000000000001E-2</v>
      </c>
      <c r="CW99" s="230">
        <v>4492</v>
      </c>
      <c r="CX99" s="230">
        <v>4427</v>
      </c>
      <c r="CY99" s="228">
        <v>65</v>
      </c>
      <c r="CZ99" s="229">
        <v>1.46E-2</v>
      </c>
      <c r="DA99" s="228">
        <v>39.17</v>
      </c>
      <c r="DB99" s="228">
        <v>40.08</v>
      </c>
      <c r="DC99" s="228">
        <v>-0.91</v>
      </c>
      <c r="DD99" s="228">
        <v>-0.91</v>
      </c>
      <c r="DE99" s="228">
        <v>43.37</v>
      </c>
      <c r="DF99" s="228">
        <v>43.47</v>
      </c>
      <c r="DG99" s="228">
        <v>-4.2</v>
      </c>
      <c r="DH99" s="228">
        <v>-0.1</v>
      </c>
      <c r="DI99" s="228">
        <v>37.69</v>
      </c>
      <c r="DJ99" s="228">
        <v>38.049999999999997</v>
      </c>
      <c r="DK99" s="228">
        <v>-0.36</v>
      </c>
      <c r="DL99" s="228">
        <v>-0.36</v>
      </c>
      <c r="DM99" s="228">
        <v>41.73</v>
      </c>
      <c r="DN99" s="228">
        <v>42.83</v>
      </c>
      <c r="DO99" s="228">
        <v>-1.1000000000000001</v>
      </c>
      <c r="DP99" s="228">
        <v>-1.1000000000000001</v>
      </c>
      <c r="DQ99" s="228">
        <v>0.77</v>
      </c>
      <c r="DR99" s="228">
        <v>0.84</v>
      </c>
      <c r="DS99" s="228">
        <v>-7.0000000000000007E-2</v>
      </c>
      <c r="DT99" s="229">
        <v>-8.3299999999999999E-2</v>
      </c>
      <c r="DU99" s="228">
        <v>850</v>
      </c>
      <c r="DV99" s="228">
        <v>800</v>
      </c>
      <c r="DW99" s="228">
        <v>0.57999999999999996</v>
      </c>
      <c r="DX99" s="228">
        <v>0.74</v>
      </c>
      <c r="DY99" s="228">
        <v>-0.16</v>
      </c>
      <c r="DZ99" s="229">
        <v>-0.2162</v>
      </c>
      <c r="EA99" s="229">
        <v>8.2600000000000007E-2</v>
      </c>
      <c r="EB99" s="230">
        <v>2834300</v>
      </c>
      <c r="EC99" s="229">
        <v>5.4999999999999997E-3</v>
      </c>
      <c r="ED99" s="229">
        <v>8.2600000000000007E-2</v>
      </c>
      <c r="EE99" s="228">
        <v>3.42</v>
      </c>
      <c r="EF99" s="229">
        <v>4.0000000000000001E-3</v>
      </c>
      <c r="EG99" s="230">
        <v>828447</v>
      </c>
      <c r="EH99" s="230">
        <v>1548626</v>
      </c>
      <c r="EI99" s="229">
        <v>-0.46500000000000002</v>
      </c>
      <c r="EJ99" s="229">
        <v>0.43580000000000002</v>
      </c>
      <c r="EK99" s="228">
        <v>738.82</v>
      </c>
      <c r="EL99" s="228">
        <v>408.06</v>
      </c>
      <c r="EM99" s="228">
        <v>313.38</v>
      </c>
      <c r="EN99" s="228">
        <v>63.68</v>
      </c>
      <c r="EO99" s="231">
        <v>1460.26</v>
      </c>
      <c r="EP99" s="231">
        <v>1991.73</v>
      </c>
      <c r="EQ99" s="228">
        <v>-531.46</v>
      </c>
      <c r="ER99" s="229">
        <v>-0.26679999999999998</v>
      </c>
      <c r="ES99" s="228">
        <v>683.49</v>
      </c>
      <c r="ET99" s="228">
        <v>489.89</v>
      </c>
      <c r="EU99" s="231">
        <v>3290.16</v>
      </c>
      <c r="EV99" s="231">
        <v>93808799</v>
      </c>
      <c r="EW99" s="231">
        <v>4463.54</v>
      </c>
      <c r="EX99" s="231">
        <v>4384.8599999999997</v>
      </c>
      <c r="EY99" s="228">
        <v>78.680000000000007</v>
      </c>
      <c r="EZ99" s="229">
        <v>1.7899999999999999E-2</v>
      </c>
      <c r="FA99" s="229">
        <v>0.56179999999999997</v>
      </c>
      <c r="FB99" s="227" t="s">
        <v>555</v>
      </c>
      <c r="FC99">
        <f t="shared" si="1"/>
        <v>272</v>
      </c>
    </row>
    <row r="100" spans="1:159" ht="17.25" thickBot="1" x14ac:dyDescent="0.3">
      <c r="A100" s="226">
        <v>46129</v>
      </c>
      <c r="B100" s="227" t="s">
        <v>188</v>
      </c>
      <c r="C100" s="227" t="s">
        <v>473</v>
      </c>
      <c r="D100" s="228">
        <v>1700</v>
      </c>
      <c r="E100" s="228">
        <v>11</v>
      </c>
      <c r="F100" s="228">
        <v>413.35</v>
      </c>
      <c r="G100" s="228">
        <v>414.5</v>
      </c>
      <c r="H100" s="228">
        <v>-1.1499999999999999</v>
      </c>
      <c r="I100" s="229">
        <v>-2.8E-3</v>
      </c>
      <c r="J100" s="228">
        <v>412.25</v>
      </c>
      <c r="K100" s="228">
        <v>413.15</v>
      </c>
      <c r="L100" s="228">
        <v>-0.9</v>
      </c>
      <c r="M100" s="229">
        <v>-2.2000000000000001E-3</v>
      </c>
      <c r="N100" s="228">
        <v>413.35</v>
      </c>
      <c r="O100" s="228">
        <v>414.5</v>
      </c>
      <c r="P100" s="228">
        <v>-1.1499999999999999</v>
      </c>
      <c r="Q100" s="229">
        <v>-2.8E-3</v>
      </c>
      <c r="R100" s="228">
        <v>415.6</v>
      </c>
      <c r="S100" s="228">
        <v>416.9</v>
      </c>
      <c r="T100" s="228">
        <v>-1.3</v>
      </c>
      <c r="U100" s="229">
        <v>-3.0999999999999999E-3</v>
      </c>
      <c r="V100" s="228">
        <v>418</v>
      </c>
      <c r="W100" s="228">
        <v>419.45</v>
      </c>
      <c r="X100" s="228">
        <v>-1.45</v>
      </c>
      <c r="Y100" s="229">
        <v>-3.5000000000000001E-3</v>
      </c>
      <c r="Z100" s="228">
        <v>1.1000000000000001</v>
      </c>
      <c r="AA100" s="228">
        <v>1.35</v>
      </c>
      <c r="AB100" s="228">
        <v>-0.25</v>
      </c>
      <c r="AC100" s="229">
        <v>2.7000000000000001E-3</v>
      </c>
      <c r="AD100" s="228">
        <v>1.1000000000000001</v>
      </c>
      <c r="AE100" s="228">
        <v>1.35</v>
      </c>
      <c r="AF100" s="228">
        <v>-0.25</v>
      </c>
      <c r="AG100" s="229">
        <v>2.7000000000000001E-3</v>
      </c>
      <c r="AH100" s="228">
        <v>3.35</v>
      </c>
      <c r="AI100" s="228">
        <v>3.75</v>
      </c>
      <c r="AJ100" s="228">
        <v>-0.4</v>
      </c>
      <c r="AK100" s="229">
        <v>8.0999999999999996E-3</v>
      </c>
      <c r="AL100" s="228">
        <v>5.75</v>
      </c>
      <c r="AM100" s="228">
        <v>6.3</v>
      </c>
      <c r="AN100" s="228">
        <v>-0.55000000000000004</v>
      </c>
      <c r="AO100" s="229">
        <v>1.3899999999999999E-2</v>
      </c>
      <c r="AP100" s="228">
        <v>413.05</v>
      </c>
      <c r="AQ100" s="228">
        <v>414.84</v>
      </c>
      <c r="AR100" s="228">
        <v>0</v>
      </c>
      <c r="AS100" s="228">
        <v>818</v>
      </c>
      <c r="AT100" s="228">
        <v>472</v>
      </c>
      <c r="AU100" s="228">
        <v>346</v>
      </c>
      <c r="AV100" s="229">
        <v>0.73360000000000003</v>
      </c>
      <c r="AW100" s="228">
        <v>622</v>
      </c>
      <c r="AX100" s="228">
        <v>410</v>
      </c>
      <c r="AY100" s="228">
        <v>212</v>
      </c>
      <c r="AZ100" s="229">
        <v>0.51619999999999999</v>
      </c>
      <c r="BA100" s="228">
        <v>98</v>
      </c>
      <c r="BB100" s="228">
        <v>56</v>
      </c>
      <c r="BC100" s="228">
        <v>41</v>
      </c>
      <c r="BD100" s="229">
        <v>0.72850000000000004</v>
      </c>
      <c r="BE100" s="228">
        <v>99</v>
      </c>
      <c r="BF100" s="228">
        <v>5</v>
      </c>
      <c r="BG100" s="228">
        <v>93</v>
      </c>
      <c r="BH100" s="229">
        <v>17.259699999999999</v>
      </c>
      <c r="BI100" s="230">
        <v>1459</v>
      </c>
      <c r="BJ100" s="230">
        <v>1294</v>
      </c>
      <c r="BK100" s="228">
        <v>164</v>
      </c>
      <c r="BL100" s="229">
        <v>0.127</v>
      </c>
      <c r="BM100" s="228">
        <v>762</v>
      </c>
      <c r="BN100" s="228">
        <v>587</v>
      </c>
      <c r="BO100" s="228">
        <v>174</v>
      </c>
      <c r="BP100" s="229">
        <v>0.29720000000000002</v>
      </c>
      <c r="BQ100" s="230">
        <v>3038</v>
      </c>
      <c r="BR100" s="230">
        <v>2353</v>
      </c>
      <c r="BS100" s="228">
        <v>685</v>
      </c>
      <c r="BT100" s="229">
        <v>0.29110000000000003</v>
      </c>
      <c r="BU100" s="230">
        <v>10739860</v>
      </c>
      <c r="BV100" s="230">
        <v>10062683</v>
      </c>
      <c r="BW100" s="230">
        <v>677177</v>
      </c>
      <c r="BX100" s="229">
        <v>6.7299999999999999E-2</v>
      </c>
      <c r="BY100" s="230">
        <v>3018</v>
      </c>
      <c r="BZ100" s="230">
        <v>2925</v>
      </c>
      <c r="CA100" s="228">
        <v>92</v>
      </c>
      <c r="CB100" s="229">
        <v>3.15E-2</v>
      </c>
      <c r="CC100" s="230">
        <v>2748</v>
      </c>
      <c r="CD100" s="230">
        <v>2803</v>
      </c>
      <c r="CE100" s="228">
        <v>-55</v>
      </c>
      <c r="CF100" s="229">
        <v>-1.9599999999999999E-2</v>
      </c>
      <c r="CG100" s="228">
        <v>159</v>
      </c>
      <c r="CH100" s="228">
        <v>107</v>
      </c>
      <c r="CI100" s="228">
        <v>53</v>
      </c>
      <c r="CJ100" s="229">
        <v>0.49440000000000001</v>
      </c>
      <c r="CK100" s="228">
        <v>110</v>
      </c>
      <c r="CL100" s="228">
        <v>16</v>
      </c>
      <c r="CM100" s="228">
        <v>94</v>
      </c>
      <c r="CN100" s="229">
        <v>6.0179</v>
      </c>
      <c r="CO100" s="230">
        <v>1049</v>
      </c>
      <c r="CP100" s="228">
        <v>986</v>
      </c>
      <c r="CQ100" s="228">
        <v>63</v>
      </c>
      <c r="CR100" s="229">
        <v>6.3500000000000001E-2</v>
      </c>
      <c r="CS100" s="228">
        <v>608</v>
      </c>
      <c r="CT100" s="228">
        <v>547</v>
      </c>
      <c r="CU100" s="228">
        <v>61</v>
      </c>
      <c r="CV100" s="229">
        <v>0.1113</v>
      </c>
      <c r="CW100" s="230">
        <v>4674</v>
      </c>
      <c r="CX100" s="230">
        <v>4458</v>
      </c>
      <c r="CY100" s="228">
        <v>216</v>
      </c>
      <c r="CZ100" s="229">
        <v>4.8399999999999999E-2</v>
      </c>
      <c r="DA100" s="228">
        <v>31.37</v>
      </c>
      <c r="DB100" s="228">
        <v>31.61</v>
      </c>
      <c r="DC100" s="228">
        <v>-0.24</v>
      </c>
      <c r="DD100" s="228">
        <v>-0.24</v>
      </c>
      <c r="DE100" s="228">
        <v>37.75</v>
      </c>
      <c r="DF100" s="228">
        <v>37.85</v>
      </c>
      <c r="DG100" s="228">
        <v>-6.38</v>
      </c>
      <c r="DH100" s="228">
        <v>-0.1</v>
      </c>
      <c r="DI100" s="228">
        <v>31.12</v>
      </c>
      <c r="DJ100" s="228">
        <v>31.43</v>
      </c>
      <c r="DK100" s="228">
        <v>-0.31</v>
      </c>
      <c r="DL100" s="228">
        <v>-0.31</v>
      </c>
      <c r="DM100" s="228">
        <v>31.85</v>
      </c>
      <c r="DN100" s="228">
        <v>32</v>
      </c>
      <c r="DO100" s="228">
        <v>-0.15</v>
      </c>
      <c r="DP100" s="228">
        <v>-0.15</v>
      </c>
      <c r="DQ100" s="228">
        <v>0.57999999999999996</v>
      </c>
      <c r="DR100" s="228">
        <v>0.55000000000000004</v>
      </c>
      <c r="DS100" s="228">
        <v>0.03</v>
      </c>
      <c r="DT100" s="229">
        <v>5.45E-2</v>
      </c>
      <c r="DU100" s="228">
        <v>430</v>
      </c>
      <c r="DV100" s="228">
        <v>430</v>
      </c>
      <c r="DW100" s="228">
        <v>0.52</v>
      </c>
      <c r="DX100" s="228">
        <v>0.45</v>
      </c>
      <c r="DY100" s="228">
        <v>7.0000000000000007E-2</v>
      </c>
      <c r="DZ100" s="229">
        <v>0.15559999999999999</v>
      </c>
      <c r="EA100" s="229">
        <v>8.9200000000000002E-2</v>
      </c>
      <c r="EB100" s="230">
        <v>2958000</v>
      </c>
      <c r="EC100" s="229">
        <v>5.4000000000000003E-3</v>
      </c>
      <c r="ED100" s="229">
        <v>8.9200000000000002E-2</v>
      </c>
      <c r="EE100" s="228">
        <v>1.79</v>
      </c>
      <c r="EF100" s="229">
        <v>4.3E-3</v>
      </c>
      <c r="EG100" s="230">
        <v>7250849</v>
      </c>
      <c r="EH100" s="230">
        <v>6611423</v>
      </c>
      <c r="EI100" s="229">
        <v>9.6699999999999994E-2</v>
      </c>
      <c r="EJ100" s="229">
        <v>0.67510000000000003</v>
      </c>
      <c r="EK100" s="231">
        <v>1528.76</v>
      </c>
      <c r="EL100" s="228">
        <v>763.15</v>
      </c>
      <c r="EM100" s="228">
        <v>819.02</v>
      </c>
      <c r="EN100" s="228">
        <v>65.06</v>
      </c>
      <c r="EO100" s="231">
        <v>3110.94</v>
      </c>
      <c r="EP100" s="231">
        <v>2457.79</v>
      </c>
      <c r="EQ100" s="228">
        <v>653.15</v>
      </c>
      <c r="ER100" s="229">
        <v>0.26569999999999999</v>
      </c>
      <c r="ES100" s="231">
        <v>1127.6199999999999</v>
      </c>
      <c r="ET100" s="228">
        <v>606.65</v>
      </c>
      <c r="EU100" s="231">
        <v>3019.76</v>
      </c>
      <c r="EV100" s="231">
        <v>193625858</v>
      </c>
      <c r="EW100" s="231">
        <v>4754.03</v>
      </c>
      <c r="EX100" s="231">
        <v>4550.42</v>
      </c>
      <c r="EY100" s="228">
        <v>203.61</v>
      </c>
      <c r="EZ100" s="229">
        <v>4.4699999999999997E-2</v>
      </c>
      <c r="FA100" s="229">
        <v>0.58399999999999996</v>
      </c>
      <c r="FB100" s="227" t="s">
        <v>566</v>
      </c>
      <c r="FC100">
        <f t="shared" si="1"/>
        <v>270</v>
      </c>
    </row>
    <row r="101" spans="1:159" ht="17.25" thickBot="1" x14ac:dyDescent="0.3">
      <c r="A101" s="226">
        <v>46129</v>
      </c>
      <c r="B101" s="227" t="s">
        <v>221</v>
      </c>
      <c r="C101" s="227" t="s">
        <v>240</v>
      </c>
      <c r="D101" s="228">
        <v>400</v>
      </c>
      <c r="E101" s="228">
        <v>11</v>
      </c>
      <c r="F101" s="231">
        <v>1321</v>
      </c>
      <c r="G101" s="231">
        <v>1320.7</v>
      </c>
      <c r="H101" s="228">
        <v>0.3</v>
      </c>
      <c r="I101" s="229">
        <v>2.0000000000000001E-4</v>
      </c>
      <c r="J101" s="231">
        <v>1318.7</v>
      </c>
      <c r="K101" s="231">
        <v>1319.2</v>
      </c>
      <c r="L101" s="228">
        <v>-0.5</v>
      </c>
      <c r="M101" s="229">
        <v>-4.0000000000000002E-4</v>
      </c>
      <c r="N101" s="231">
        <v>1321</v>
      </c>
      <c r="O101" s="231">
        <v>1320.7</v>
      </c>
      <c r="P101" s="228">
        <v>0.3</v>
      </c>
      <c r="Q101" s="229">
        <v>2.0000000000000001E-4</v>
      </c>
      <c r="R101" s="231">
        <v>1319.1</v>
      </c>
      <c r="S101" s="231">
        <v>1317.1</v>
      </c>
      <c r="T101" s="228">
        <v>2</v>
      </c>
      <c r="U101" s="229">
        <v>1.5E-3</v>
      </c>
      <c r="V101" s="231">
        <v>1311.7</v>
      </c>
      <c r="W101" s="231">
        <v>1311.7</v>
      </c>
      <c r="X101" s="228">
        <v>0</v>
      </c>
      <c r="Y101" s="229">
        <v>0</v>
      </c>
      <c r="Z101" s="228">
        <v>2.2999999999999998</v>
      </c>
      <c r="AA101" s="228">
        <v>1.5</v>
      </c>
      <c r="AB101" s="228">
        <v>0.8</v>
      </c>
      <c r="AC101" s="229">
        <v>1.6999999999999999E-3</v>
      </c>
      <c r="AD101" s="228">
        <v>2.2999999999999998</v>
      </c>
      <c r="AE101" s="228">
        <v>1.5</v>
      </c>
      <c r="AF101" s="228">
        <v>0.8</v>
      </c>
      <c r="AG101" s="229">
        <v>1.6999999999999999E-3</v>
      </c>
      <c r="AH101" s="228">
        <v>0.4</v>
      </c>
      <c r="AI101" s="228">
        <v>-2.1</v>
      </c>
      <c r="AJ101" s="228">
        <v>2.5</v>
      </c>
      <c r="AK101" s="229">
        <v>2.9999999999999997E-4</v>
      </c>
      <c r="AL101" s="228">
        <v>-7</v>
      </c>
      <c r="AM101" s="228">
        <v>-7.5</v>
      </c>
      <c r="AN101" s="228">
        <v>0.5</v>
      </c>
      <c r="AO101" s="229">
        <v>-5.3E-3</v>
      </c>
      <c r="AP101" s="231">
        <v>1317.25</v>
      </c>
      <c r="AQ101" s="231">
        <v>1314.57</v>
      </c>
      <c r="AR101" s="228">
        <v>0</v>
      </c>
      <c r="AS101" s="230">
        <v>1462</v>
      </c>
      <c r="AT101" s="230">
        <v>2186</v>
      </c>
      <c r="AU101" s="228">
        <v>-724</v>
      </c>
      <c r="AV101" s="229">
        <v>-0.33129999999999998</v>
      </c>
      <c r="AW101" s="230">
        <v>1278</v>
      </c>
      <c r="AX101" s="230">
        <v>1951</v>
      </c>
      <c r="AY101" s="228">
        <v>-672</v>
      </c>
      <c r="AZ101" s="229">
        <v>-0.34460000000000002</v>
      </c>
      <c r="BA101" s="228">
        <v>163</v>
      </c>
      <c r="BB101" s="228">
        <v>181</v>
      </c>
      <c r="BC101" s="228">
        <v>-18</v>
      </c>
      <c r="BD101" s="229">
        <v>-0.1014</v>
      </c>
      <c r="BE101" s="228">
        <v>21</v>
      </c>
      <c r="BF101" s="228">
        <v>54</v>
      </c>
      <c r="BG101" s="228">
        <v>-34</v>
      </c>
      <c r="BH101" s="229">
        <v>-0.62139999999999995</v>
      </c>
      <c r="BI101" s="230">
        <v>2395</v>
      </c>
      <c r="BJ101" s="230">
        <v>4505</v>
      </c>
      <c r="BK101" s="230">
        <v>-2111</v>
      </c>
      <c r="BL101" s="229">
        <v>-0.46850000000000003</v>
      </c>
      <c r="BM101" s="230">
        <v>1756</v>
      </c>
      <c r="BN101" s="230">
        <v>2404</v>
      </c>
      <c r="BO101" s="228">
        <v>-648</v>
      </c>
      <c r="BP101" s="229">
        <v>-0.26960000000000001</v>
      </c>
      <c r="BQ101" s="230">
        <v>5612</v>
      </c>
      <c r="BR101" s="230">
        <v>9096</v>
      </c>
      <c r="BS101" s="230">
        <v>-3483</v>
      </c>
      <c r="BT101" s="229">
        <v>-0.38300000000000001</v>
      </c>
      <c r="BU101" s="230">
        <v>12443945</v>
      </c>
      <c r="BV101" s="230">
        <v>20320960</v>
      </c>
      <c r="BW101" s="230">
        <v>-7877015</v>
      </c>
      <c r="BX101" s="229">
        <v>-0.3876</v>
      </c>
      <c r="BY101" s="230">
        <v>10518</v>
      </c>
      <c r="BZ101" s="230">
        <v>10694</v>
      </c>
      <c r="CA101" s="228">
        <v>-177</v>
      </c>
      <c r="CB101" s="229">
        <v>-1.6500000000000001E-2</v>
      </c>
      <c r="CC101" s="230">
        <v>9912</v>
      </c>
      <c r="CD101" s="230">
        <v>10134</v>
      </c>
      <c r="CE101" s="228">
        <v>-222</v>
      </c>
      <c r="CF101" s="229">
        <v>-2.1899999999999999E-2</v>
      </c>
      <c r="CG101" s="228">
        <v>487</v>
      </c>
      <c r="CH101" s="228">
        <v>448</v>
      </c>
      <c r="CI101" s="228">
        <v>40</v>
      </c>
      <c r="CJ101" s="229">
        <v>8.9099999999999999E-2</v>
      </c>
      <c r="CK101" s="228">
        <v>119</v>
      </c>
      <c r="CL101" s="228">
        <v>113</v>
      </c>
      <c r="CM101" s="228">
        <v>6</v>
      </c>
      <c r="CN101" s="229">
        <v>5.2499999999999998E-2</v>
      </c>
      <c r="CO101" s="230">
        <v>3760</v>
      </c>
      <c r="CP101" s="230">
        <v>3651</v>
      </c>
      <c r="CQ101" s="228">
        <v>110</v>
      </c>
      <c r="CR101" s="229">
        <v>0.03</v>
      </c>
      <c r="CS101" s="230">
        <v>2681</v>
      </c>
      <c r="CT101" s="230">
        <v>2679</v>
      </c>
      <c r="CU101" s="228">
        <v>2</v>
      </c>
      <c r="CV101" s="229">
        <v>8.0000000000000004E-4</v>
      </c>
      <c r="CW101" s="230">
        <v>16959</v>
      </c>
      <c r="CX101" s="230">
        <v>17024</v>
      </c>
      <c r="CY101" s="228">
        <v>-65</v>
      </c>
      <c r="CZ101" s="229">
        <v>-3.8E-3</v>
      </c>
      <c r="DA101" s="228">
        <v>34.840000000000003</v>
      </c>
      <c r="DB101" s="228">
        <v>35.130000000000003</v>
      </c>
      <c r="DC101" s="228">
        <v>-0.28999999999999998</v>
      </c>
      <c r="DD101" s="228">
        <v>-0.28999999999999998</v>
      </c>
      <c r="DE101" s="228">
        <v>30.95</v>
      </c>
      <c r="DF101" s="228">
        <v>31.03</v>
      </c>
      <c r="DG101" s="228">
        <v>3.89</v>
      </c>
      <c r="DH101" s="228">
        <v>-0.08</v>
      </c>
      <c r="DI101" s="228">
        <v>33.47</v>
      </c>
      <c r="DJ101" s="228">
        <v>34.11</v>
      </c>
      <c r="DK101" s="228">
        <v>-0.64</v>
      </c>
      <c r="DL101" s="228">
        <v>-0.64</v>
      </c>
      <c r="DM101" s="228">
        <v>36.72</v>
      </c>
      <c r="DN101" s="228">
        <v>37.04</v>
      </c>
      <c r="DO101" s="228">
        <v>-0.32</v>
      </c>
      <c r="DP101" s="228">
        <v>-0.32</v>
      </c>
      <c r="DQ101" s="228">
        <v>0.71</v>
      </c>
      <c r="DR101" s="228">
        <v>0.73</v>
      </c>
      <c r="DS101" s="228">
        <v>-0.02</v>
      </c>
      <c r="DT101" s="229">
        <v>-2.7400000000000001E-2</v>
      </c>
      <c r="DU101" s="231">
        <v>1350</v>
      </c>
      <c r="DV101" s="231">
        <v>1280</v>
      </c>
      <c r="DW101" s="228">
        <v>0.73</v>
      </c>
      <c r="DX101" s="228">
        <v>0.53</v>
      </c>
      <c r="DY101" s="228">
        <v>0.2</v>
      </c>
      <c r="DZ101" s="229">
        <v>0.37740000000000001</v>
      </c>
      <c r="EA101" s="229">
        <v>5.7599999999999998E-2</v>
      </c>
      <c r="EB101" s="230">
        <v>4241600</v>
      </c>
      <c r="EC101" s="229">
        <v>-1.4E-3</v>
      </c>
      <c r="ED101" s="229">
        <v>5.7599999999999998E-2</v>
      </c>
      <c r="EE101" s="228">
        <v>-2.68</v>
      </c>
      <c r="EF101" s="229">
        <v>-2E-3</v>
      </c>
      <c r="EG101" s="230">
        <v>7412894</v>
      </c>
      <c r="EH101" s="230">
        <v>7789524</v>
      </c>
      <c r="EI101" s="229">
        <v>-4.8399999999999999E-2</v>
      </c>
      <c r="EJ101" s="229">
        <v>0.59570000000000001</v>
      </c>
      <c r="EK101" s="231">
        <v>2493.25</v>
      </c>
      <c r="EL101" s="231">
        <v>1721.54</v>
      </c>
      <c r="EM101" s="231">
        <v>1457.31</v>
      </c>
      <c r="EN101" s="228">
        <v>379.88</v>
      </c>
      <c r="EO101" s="231">
        <v>5672.11</v>
      </c>
      <c r="EP101" s="231">
        <v>9235.2900000000009</v>
      </c>
      <c r="EQ101" s="231">
        <v>-3563.18</v>
      </c>
      <c r="ER101" s="229">
        <v>-0.38579999999999998</v>
      </c>
      <c r="ES101" s="231">
        <v>3871.84</v>
      </c>
      <c r="ET101" s="231">
        <v>2594.7199999999998</v>
      </c>
      <c r="EU101" s="231">
        <v>10516.16</v>
      </c>
      <c r="EV101" s="231">
        <v>475237614</v>
      </c>
      <c r="EW101" s="231">
        <v>16982.72</v>
      </c>
      <c r="EX101" s="231">
        <v>17034.240000000002</v>
      </c>
      <c r="EY101" s="228">
        <v>-51.52</v>
      </c>
      <c r="EZ101" s="229">
        <v>-3.0000000000000001E-3</v>
      </c>
      <c r="FA101" s="229">
        <v>0.27010000000000001</v>
      </c>
      <c r="FB101" s="227" t="s">
        <v>693</v>
      </c>
      <c r="FC101">
        <f t="shared" si="1"/>
        <v>606</v>
      </c>
    </row>
    <row r="102" spans="1:159" ht="17.25" thickBot="1" x14ac:dyDescent="0.3">
      <c r="A102" s="226">
        <v>46129</v>
      </c>
      <c r="B102" s="227" t="s">
        <v>161</v>
      </c>
      <c r="C102" s="227" t="s">
        <v>667</v>
      </c>
      <c r="D102" s="228">
        <v>3575</v>
      </c>
      <c r="E102" s="228">
        <v>11</v>
      </c>
      <c r="F102" s="228">
        <v>97.82</v>
      </c>
      <c r="G102" s="228">
        <v>95.73</v>
      </c>
      <c r="H102" s="228">
        <v>2.09</v>
      </c>
      <c r="I102" s="229">
        <v>2.18E-2</v>
      </c>
      <c r="J102" s="228">
        <v>97.9</v>
      </c>
      <c r="K102" s="228">
        <v>95.4</v>
      </c>
      <c r="L102" s="228">
        <v>2.5</v>
      </c>
      <c r="M102" s="229">
        <v>2.6200000000000001E-2</v>
      </c>
      <c r="N102" s="228">
        <v>97.82</v>
      </c>
      <c r="O102" s="228">
        <v>95.73</v>
      </c>
      <c r="P102" s="228">
        <v>2.09</v>
      </c>
      <c r="Q102" s="229">
        <v>2.18E-2</v>
      </c>
      <c r="R102" s="228">
        <v>98.22</v>
      </c>
      <c r="S102" s="228">
        <v>96.22</v>
      </c>
      <c r="T102" s="228">
        <v>2</v>
      </c>
      <c r="U102" s="229">
        <v>2.0799999999999999E-2</v>
      </c>
      <c r="V102" s="228">
        <v>98.83</v>
      </c>
      <c r="W102" s="228">
        <v>96.86</v>
      </c>
      <c r="X102" s="228">
        <v>1.97</v>
      </c>
      <c r="Y102" s="229">
        <v>2.0299999999999999E-2</v>
      </c>
      <c r="Z102" s="228">
        <v>-0.08</v>
      </c>
      <c r="AA102" s="228">
        <v>0.33</v>
      </c>
      <c r="AB102" s="228">
        <v>-0.41</v>
      </c>
      <c r="AC102" s="229">
        <v>-8.0000000000000004E-4</v>
      </c>
      <c r="AD102" s="228">
        <v>-0.08</v>
      </c>
      <c r="AE102" s="228">
        <v>0.33</v>
      </c>
      <c r="AF102" s="228">
        <v>-0.41</v>
      </c>
      <c r="AG102" s="229">
        <v>-8.0000000000000004E-4</v>
      </c>
      <c r="AH102" s="228">
        <v>0.32</v>
      </c>
      <c r="AI102" s="228">
        <v>0.82</v>
      </c>
      <c r="AJ102" s="228">
        <v>-0.5</v>
      </c>
      <c r="AK102" s="229">
        <v>3.3E-3</v>
      </c>
      <c r="AL102" s="228">
        <v>0.93</v>
      </c>
      <c r="AM102" s="228">
        <v>1.46</v>
      </c>
      <c r="AN102" s="228">
        <v>-0.53</v>
      </c>
      <c r="AO102" s="229">
        <v>9.4999999999999998E-3</v>
      </c>
      <c r="AP102" s="228">
        <v>98.09</v>
      </c>
      <c r="AQ102" s="228">
        <v>98.81</v>
      </c>
      <c r="AR102" s="228">
        <v>0</v>
      </c>
      <c r="AS102" s="228">
        <v>335</v>
      </c>
      <c r="AT102" s="228">
        <v>214</v>
      </c>
      <c r="AU102" s="228">
        <v>121</v>
      </c>
      <c r="AV102" s="229">
        <v>0.56769999999999998</v>
      </c>
      <c r="AW102" s="228">
        <v>289</v>
      </c>
      <c r="AX102" s="228">
        <v>177</v>
      </c>
      <c r="AY102" s="228">
        <v>111</v>
      </c>
      <c r="AZ102" s="229">
        <v>0.62760000000000005</v>
      </c>
      <c r="BA102" s="228">
        <v>43</v>
      </c>
      <c r="BB102" s="228">
        <v>34</v>
      </c>
      <c r="BC102" s="228">
        <v>9</v>
      </c>
      <c r="BD102" s="229">
        <v>0.26190000000000002</v>
      </c>
      <c r="BE102" s="228">
        <v>3</v>
      </c>
      <c r="BF102" s="228">
        <v>2</v>
      </c>
      <c r="BG102" s="228">
        <v>1</v>
      </c>
      <c r="BH102" s="229">
        <v>0.45590000000000003</v>
      </c>
      <c r="BI102" s="228">
        <v>561</v>
      </c>
      <c r="BJ102" s="228">
        <v>340</v>
      </c>
      <c r="BK102" s="228">
        <v>220</v>
      </c>
      <c r="BL102" s="229">
        <v>0.64690000000000003</v>
      </c>
      <c r="BM102" s="228">
        <v>197</v>
      </c>
      <c r="BN102" s="228">
        <v>172</v>
      </c>
      <c r="BO102" s="228">
        <v>25</v>
      </c>
      <c r="BP102" s="229">
        <v>0.14630000000000001</v>
      </c>
      <c r="BQ102" s="230">
        <v>1092</v>
      </c>
      <c r="BR102" s="228">
        <v>726</v>
      </c>
      <c r="BS102" s="228">
        <v>367</v>
      </c>
      <c r="BT102" s="229">
        <v>0.50519999999999998</v>
      </c>
      <c r="BU102" s="230">
        <v>49566096</v>
      </c>
      <c r="BV102" s="230">
        <v>29391723</v>
      </c>
      <c r="BW102" s="230">
        <v>20174373</v>
      </c>
      <c r="BX102" s="229">
        <v>0.68640000000000001</v>
      </c>
      <c r="BY102" s="228">
        <v>978</v>
      </c>
      <c r="BZ102" s="230">
        <v>1017</v>
      </c>
      <c r="CA102" s="228">
        <v>-39</v>
      </c>
      <c r="CB102" s="229">
        <v>-3.85E-2</v>
      </c>
      <c r="CC102" s="228">
        <v>882</v>
      </c>
      <c r="CD102" s="228">
        <v>938</v>
      </c>
      <c r="CE102" s="228">
        <v>-56</v>
      </c>
      <c r="CF102" s="229">
        <v>-5.9900000000000002E-2</v>
      </c>
      <c r="CG102" s="228">
        <v>90</v>
      </c>
      <c r="CH102" s="228">
        <v>74</v>
      </c>
      <c r="CI102" s="228">
        <v>16</v>
      </c>
      <c r="CJ102" s="229">
        <v>0.22120000000000001</v>
      </c>
      <c r="CK102" s="228">
        <v>6</v>
      </c>
      <c r="CL102" s="228">
        <v>5</v>
      </c>
      <c r="CM102" s="228">
        <v>1</v>
      </c>
      <c r="CN102" s="229">
        <v>0.13070000000000001</v>
      </c>
      <c r="CO102" s="228">
        <v>274</v>
      </c>
      <c r="CP102" s="228">
        <v>218</v>
      </c>
      <c r="CQ102" s="228">
        <v>55</v>
      </c>
      <c r="CR102" s="229">
        <v>0.25280000000000002</v>
      </c>
      <c r="CS102" s="228">
        <v>226</v>
      </c>
      <c r="CT102" s="228">
        <v>213</v>
      </c>
      <c r="CU102" s="228">
        <v>13</v>
      </c>
      <c r="CV102" s="229">
        <v>5.9200000000000003E-2</v>
      </c>
      <c r="CW102" s="230">
        <v>1478</v>
      </c>
      <c r="CX102" s="230">
        <v>1449</v>
      </c>
      <c r="CY102" s="228">
        <v>29</v>
      </c>
      <c r="CZ102" s="229">
        <v>1.9800000000000002E-2</v>
      </c>
      <c r="DA102" s="228">
        <v>52.46</v>
      </c>
      <c r="DB102" s="228">
        <v>51.46</v>
      </c>
      <c r="DC102" s="228">
        <v>1</v>
      </c>
      <c r="DD102" s="228">
        <v>1</v>
      </c>
      <c r="DE102" s="228">
        <v>54.19</v>
      </c>
      <c r="DF102" s="228">
        <v>54.25</v>
      </c>
      <c r="DG102" s="228">
        <v>-1.73</v>
      </c>
      <c r="DH102" s="228">
        <v>-0.06</v>
      </c>
      <c r="DI102" s="228">
        <v>51.26</v>
      </c>
      <c r="DJ102" s="228">
        <v>51.06</v>
      </c>
      <c r="DK102" s="228">
        <v>0.2</v>
      </c>
      <c r="DL102" s="228">
        <v>0.2</v>
      </c>
      <c r="DM102" s="228">
        <v>55.88</v>
      </c>
      <c r="DN102" s="228">
        <v>52.26</v>
      </c>
      <c r="DO102" s="228">
        <v>3.62</v>
      </c>
      <c r="DP102" s="228">
        <v>3.62</v>
      </c>
      <c r="DQ102" s="228">
        <v>0.82</v>
      </c>
      <c r="DR102" s="228">
        <v>0.98</v>
      </c>
      <c r="DS102" s="228">
        <v>-0.16</v>
      </c>
      <c r="DT102" s="229">
        <v>-0.1633</v>
      </c>
      <c r="DU102" s="228">
        <v>100</v>
      </c>
      <c r="DV102" s="228">
        <v>90</v>
      </c>
      <c r="DW102" s="228">
        <v>0.35</v>
      </c>
      <c r="DX102" s="228">
        <v>0.5</v>
      </c>
      <c r="DY102" s="228">
        <v>-0.15</v>
      </c>
      <c r="DZ102" s="229">
        <v>-0.3</v>
      </c>
      <c r="EA102" s="229">
        <v>9.8299999999999998E-2</v>
      </c>
      <c r="EB102" s="230">
        <v>8093800</v>
      </c>
      <c r="EC102" s="229">
        <v>4.1000000000000003E-3</v>
      </c>
      <c r="ED102" s="229">
        <v>9.8299999999999998E-2</v>
      </c>
      <c r="EE102" s="228">
        <v>0.72</v>
      </c>
      <c r="EF102" s="229">
        <v>7.3000000000000001E-3</v>
      </c>
      <c r="EG102" s="230">
        <v>26054836</v>
      </c>
      <c r="EH102" s="230">
        <v>9421243</v>
      </c>
      <c r="EI102" s="229">
        <v>1.7655000000000001</v>
      </c>
      <c r="EJ102" s="229">
        <v>0.52569999999999995</v>
      </c>
      <c r="EK102" s="228">
        <v>594.70000000000005</v>
      </c>
      <c r="EL102" s="228">
        <v>194.58</v>
      </c>
      <c r="EM102" s="228">
        <v>336.32</v>
      </c>
      <c r="EN102" s="228">
        <v>57.7</v>
      </c>
      <c r="EO102" s="231">
        <v>1125.5999999999999</v>
      </c>
      <c r="EP102" s="228">
        <v>716.49</v>
      </c>
      <c r="EQ102" s="228">
        <v>409.11</v>
      </c>
      <c r="ER102" s="229">
        <v>0.57099999999999995</v>
      </c>
      <c r="ES102" s="228">
        <v>261.88</v>
      </c>
      <c r="ET102" s="228">
        <v>202.45</v>
      </c>
      <c r="EU102" s="228">
        <v>978.74</v>
      </c>
      <c r="EV102" s="231">
        <v>144708707</v>
      </c>
      <c r="EW102" s="231">
        <v>1443.06</v>
      </c>
      <c r="EX102" s="231">
        <v>1387.6</v>
      </c>
      <c r="EY102" s="228">
        <v>55.46</v>
      </c>
      <c r="EZ102" s="229">
        <v>0.04</v>
      </c>
      <c r="FA102" s="229">
        <v>1.0439000000000001</v>
      </c>
      <c r="FB102" s="227" t="s">
        <v>693</v>
      </c>
      <c r="FC102">
        <f t="shared" si="1"/>
        <v>96</v>
      </c>
    </row>
    <row r="103" spans="1:159" ht="17.25" thickBot="1" x14ac:dyDescent="0.3">
      <c r="A103" s="226">
        <v>46129</v>
      </c>
      <c r="B103" s="227" t="s">
        <v>193</v>
      </c>
      <c r="C103" s="227" t="s">
        <v>241</v>
      </c>
      <c r="D103" s="228">
        <v>4875</v>
      </c>
      <c r="E103" s="228">
        <v>11</v>
      </c>
      <c r="F103" s="228">
        <v>146.21</v>
      </c>
      <c r="G103" s="228">
        <v>144.26</v>
      </c>
      <c r="H103" s="228">
        <v>1.95</v>
      </c>
      <c r="I103" s="229">
        <v>1.35E-2</v>
      </c>
      <c r="J103" s="228">
        <v>145.88</v>
      </c>
      <c r="K103" s="228">
        <v>144.19</v>
      </c>
      <c r="L103" s="228">
        <v>1.69</v>
      </c>
      <c r="M103" s="229">
        <v>1.17E-2</v>
      </c>
      <c r="N103" s="228">
        <v>146.21</v>
      </c>
      <c r="O103" s="228">
        <v>144.26</v>
      </c>
      <c r="P103" s="228">
        <v>1.95</v>
      </c>
      <c r="Q103" s="229">
        <v>1.35E-2</v>
      </c>
      <c r="R103" s="228">
        <v>147.03</v>
      </c>
      <c r="S103" s="228">
        <v>145.1</v>
      </c>
      <c r="T103" s="228">
        <v>1.93</v>
      </c>
      <c r="U103" s="229">
        <v>1.3299999999999999E-2</v>
      </c>
      <c r="V103" s="228">
        <v>147.93</v>
      </c>
      <c r="W103" s="228">
        <v>146.02000000000001</v>
      </c>
      <c r="X103" s="228">
        <v>1.91</v>
      </c>
      <c r="Y103" s="229">
        <v>1.3100000000000001E-2</v>
      </c>
      <c r="Z103" s="228">
        <v>0.33</v>
      </c>
      <c r="AA103" s="228">
        <v>7.0000000000000007E-2</v>
      </c>
      <c r="AB103" s="228">
        <v>0.26</v>
      </c>
      <c r="AC103" s="229">
        <v>2.3E-3</v>
      </c>
      <c r="AD103" s="228">
        <v>0.33</v>
      </c>
      <c r="AE103" s="228">
        <v>7.0000000000000007E-2</v>
      </c>
      <c r="AF103" s="228">
        <v>0.26</v>
      </c>
      <c r="AG103" s="229">
        <v>2.3E-3</v>
      </c>
      <c r="AH103" s="228">
        <v>1.1499999999999999</v>
      </c>
      <c r="AI103" s="228">
        <v>0.91</v>
      </c>
      <c r="AJ103" s="228">
        <v>0.24</v>
      </c>
      <c r="AK103" s="229">
        <v>7.9000000000000008E-3</v>
      </c>
      <c r="AL103" s="228">
        <v>2.0499999999999998</v>
      </c>
      <c r="AM103" s="228">
        <v>1.83</v>
      </c>
      <c r="AN103" s="228">
        <v>0.22</v>
      </c>
      <c r="AO103" s="229">
        <v>1.41E-2</v>
      </c>
      <c r="AP103" s="228">
        <v>145.55000000000001</v>
      </c>
      <c r="AQ103" s="228">
        <v>146.37</v>
      </c>
      <c r="AR103" s="228">
        <v>0</v>
      </c>
      <c r="AS103" s="228">
        <v>196</v>
      </c>
      <c r="AT103" s="228">
        <v>310</v>
      </c>
      <c r="AU103" s="228">
        <v>-113</v>
      </c>
      <c r="AV103" s="229">
        <v>-0.36609999999999998</v>
      </c>
      <c r="AW103" s="228">
        <v>157</v>
      </c>
      <c r="AX103" s="228">
        <v>208</v>
      </c>
      <c r="AY103" s="228">
        <v>-51</v>
      </c>
      <c r="AZ103" s="229">
        <v>-0.24729999999999999</v>
      </c>
      <c r="BA103" s="228">
        <v>37</v>
      </c>
      <c r="BB103" s="228">
        <v>27</v>
      </c>
      <c r="BC103" s="228">
        <v>10</v>
      </c>
      <c r="BD103" s="229">
        <v>0.35599999999999998</v>
      </c>
      <c r="BE103" s="228">
        <v>3</v>
      </c>
      <c r="BF103" s="228">
        <v>75</v>
      </c>
      <c r="BG103" s="228">
        <v>-72</v>
      </c>
      <c r="BH103" s="229">
        <v>-0.96079999999999999</v>
      </c>
      <c r="BI103" s="228">
        <v>516</v>
      </c>
      <c r="BJ103" s="228">
        <v>434</v>
      </c>
      <c r="BK103" s="228">
        <v>81</v>
      </c>
      <c r="BL103" s="229">
        <v>0.18770000000000001</v>
      </c>
      <c r="BM103" s="228">
        <v>307</v>
      </c>
      <c r="BN103" s="228">
        <v>328</v>
      </c>
      <c r="BO103" s="228">
        <v>-21</v>
      </c>
      <c r="BP103" s="229">
        <v>-6.3600000000000004E-2</v>
      </c>
      <c r="BQ103" s="230">
        <v>1019</v>
      </c>
      <c r="BR103" s="230">
        <v>1072</v>
      </c>
      <c r="BS103" s="228">
        <v>-53</v>
      </c>
      <c r="BT103" s="229">
        <v>-4.9299999999999997E-2</v>
      </c>
      <c r="BU103" s="230">
        <v>12371010</v>
      </c>
      <c r="BV103" s="230">
        <v>14730757</v>
      </c>
      <c r="BW103" s="230">
        <v>-2359747</v>
      </c>
      <c r="BX103" s="229">
        <v>-0.16020000000000001</v>
      </c>
      <c r="BY103" s="230">
        <v>1498</v>
      </c>
      <c r="BZ103" s="230">
        <v>1525</v>
      </c>
      <c r="CA103" s="228">
        <v>-27</v>
      </c>
      <c r="CB103" s="229">
        <v>-1.7500000000000002E-2</v>
      </c>
      <c r="CC103" s="230">
        <v>1337</v>
      </c>
      <c r="CD103" s="230">
        <v>1377</v>
      </c>
      <c r="CE103" s="228">
        <v>-40</v>
      </c>
      <c r="CF103" s="229">
        <v>-2.8799999999999999E-2</v>
      </c>
      <c r="CG103" s="228">
        <v>80</v>
      </c>
      <c r="CH103" s="228">
        <v>68</v>
      </c>
      <c r="CI103" s="228">
        <v>12</v>
      </c>
      <c r="CJ103" s="229">
        <v>0.1789</v>
      </c>
      <c r="CK103" s="228">
        <v>81</v>
      </c>
      <c r="CL103" s="228">
        <v>80</v>
      </c>
      <c r="CM103" s="228">
        <v>1</v>
      </c>
      <c r="CN103" s="229">
        <v>1.06E-2</v>
      </c>
      <c r="CO103" s="228">
        <v>945</v>
      </c>
      <c r="CP103" s="228">
        <v>946</v>
      </c>
      <c r="CQ103" s="228">
        <v>-1</v>
      </c>
      <c r="CR103" s="229">
        <v>-1E-3</v>
      </c>
      <c r="CS103" s="228">
        <v>692</v>
      </c>
      <c r="CT103" s="228">
        <v>678</v>
      </c>
      <c r="CU103" s="228">
        <v>14</v>
      </c>
      <c r="CV103" s="229">
        <v>2.1000000000000001E-2</v>
      </c>
      <c r="CW103" s="230">
        <v>3136</v>
      </c>
      <c r="CX103" s="230">
        <v>3149</v>
      </c>
      <c r="CY103" s="228">
        <v>-13</v>
      </c>
      <c r="CZ103" s="229">
        <v>-4.1999999999999997E-3</v>
      </c>
      <c r="DA103" s="228">
        <v>34.14</v>
      </c>
      <c r="DB103" s="228">
        <v>36.340000000000003</v>
      </c>
      <c r="DC103" s="228">
        <v>-2.2000000000000002</v>
      </c>
      <c r="DD103" s="228">
        <v>-2.2000000000000002</v>
      </c>
      <c r="DE103" s="228">
        <v>34.11</v>
      </c>
      <c r="DF103" s="228">
        <v>34.15</v>
      </c>
      <c r="DG103" s="228">
        <v>0.03</v>
      </c>
      <c r="DH103" s="228">
        <v>-0.04</v>
      </c>
      <c r="DI103" s="228">
        <v>32.92</v>
      </c>
      <c r="DJ103" s="228">
        <v>35.03</v>
      </c>
      <c r="DK103" s="228">
        <v>-2.11</v>
      </c>
      <c r="DL103" s="228">
        <v>-2.11</v>
      </c>
      <c r="DM103" s="228">
        <v>36.18</v>
      </c>
      <c r="DN103" s="228">
        <v>38.07</v>
      </c>
      <c r="DO103" s="228">
        <v>-1.89</v>
      </c>
      <c r="DP103" s="228">
        <v>-1.89</v>
      </c>
      <c r="DQ103" s="228">
        <v>0.73</v>
      </c>
      <c r="DR103" s="228">
        <v>0.72</v>
      </c>
      <c r="DS103" s="228">
        <v>0.01</v>
      </c>
      <c r="DT103" s="229">
        <v>1.3899999999999999E-2</v>
      </c>
      <c r="DU103" s="228">
        <v>150</v>
      </c>
      <c r="DV103" s="228">
        <v>140</v>
      </c>
      <c r="DW103" s="228">
        <v>0.6</v>
      </c>
      <c r="DX103" s="228">
        <v>0.76</v>
      </c>
      <c r="DY103" s="228">
        <v>-0.16</v>
      </c>
      <c r="DZ103" s="229">
        <v>-0.21049999999999999</v>
      </c>
      <c r="EA103" s="229">
        <v>0.1076</v>
      </c>
      <c r="EB103" s="230">
        <v>10135125</v>
      </c>
      <c r="EC103" s="229">
        <v>5.5999999999999999E-3</v>
      </c>
      <c r="ED103" s="229">
        <v>0.1076</v>
      </c>
      <c r="EE103" s="228">
        <v>0.82</v>
      </c>
      <c r="EF103" s="229">
        <v>5.5999999999999999E-3</v>
      </c>
      <c r="EG103" s="230">
        <v>6337224</v>
      </c>
      <c r="EH103" s="230">
        <v>7352295</v>
      </c>
      <c r="EI103" s="229">
        <v>-0.1381</v>
      </c>
      <c r="EJ103" s="229">
        <v>0.51229999999999998</v>
      </c>
      <c r="EK103" s="228">
        <v>542.07000000000005</v>
      </c>
      <c r="EL103" s="228">
        <v>297.39</v>
      </c>
      <c r="EM103" s="228">
        <v>195.79</v>
      </c>
      <c r="EN103" s="228">
        <v>35.64</v>
      </c>
      <c r="EO103" s="231">
        <v>1035.24</v>
      </c>
      <c r="EP103" s="231">
        <v>1073.9000000000001</v>
      </c>
      <c r="EQ103" s="228">
        <v>-38.659999999999997</v>
      </c>
      <c r="ER103" s="229">
        <v>-3.5999999999999997E-2</v>
      </c>
      <c r="ES103" s="228">
        <v>987.32</v>
      </c>
      <c r="ET103" s="228">
        <v>664.01</v>
      </c>
      <c r="EU103" s="231">
        <v>1499.8</v>
      </c>
      <c r="EV103" s="231">
        <v>684903861</v>
      </c>
      <c r="EW103" s="231">
        <v>3151.13</v>
      </c>
      <c r="EX103" s="231">
        <v>3143.23</v>
      </c>
      <c r="EY103" s="228">
        <v>7.9</v>
      </c>
      <c r="EZ103" s="229">
        <v>2.5000000000000001E-3</v>
      </c>
      <c r="FA103" s="229">
        <v>0.31309999999999999</v>
      </c>
      <c r="FB103" s="227" t="s">
        <v>693</v>
      </c>
      <c r="FC103">
        <f t="shared" si="1"/>
        <v>161</v>
      </c>
    </row>
    <row r="104" spans="1:159" ht="17.25" thickBot="1" x14ac:dyDescent="0.3">
      <c r="A104" s="226">
        <v>46129</v>
      </c>
      <c r="B104" s="227" t="s">
        <v>175</v>
      </c>
      <c r="C104" s="227" t="s">
        <v>663</v>
      </c>
      <c r="D104" s="228">
        <v>3450</v>
      </c>
      <c r="E104" s="228">
        <v>11</v>
      </c>
      <c r="F104" s="228">
        <v>133.36000000000001</v>
      </c>
      <c r="G104" s="228">
        <v>129.68</v>
      </c>
      <c r="H104" s="228">
        <v>3.68</v>
      </c>
      <c r="I104" s="229">
        <v>2.8400000000000002E-2</v>
      </c>
      <c r="J104" s="228">
        <v>133.01</v>
      </c>
      <c r="K104" s="228">
        <v>129.43</v>
      </c>
      <c r="L104" s="228">
        <v>3.58</v>
      </c>
      <c r="M104" s="229">
        <v>2.7699999999999999E-2</v>
      </c>
      <c r="N104" s="228">
        <v>133.36000000000001</v>
      </c>
      <c r="O104" s="228">
        <v>129.68</v>
      </c>
      <c r="P104" s="228">
        <v>3.68</v>
      </c>
      <c r="Q104" s="229">
        <v>2.8400000000000002E-2</v>
      </c>
      <c r="R104" s="228">
        <v>131.13</v>
      </c>
      <c r="S104" s="228">
        <v>127.32</v>
      </c>
      <c r="T104" s="228">
        <v>3.81</v>
      </c>
      <c r="U104" s="229">
        <v>2.9899999999999999E-2</v>
      </c>
      <c r="V104" s="228">
        <v>129.97</v>
      </c>
      <c r="W104" s="228">
        <v>126.45</v>
      </c>
      <c r="X104" s="228">
        <v>3.52</v>
      </c>
      <c r="Y104" s="229">
        <v>2.7799999999999998E-2</v>
      </c>
      <c r="Z104" s="228">
        <v>0.35</v>
      </c>
      <c r="AA104" s="228">
        <v>0.25</v>
      </c>
      <c r="AB104" s="228">
        <v>0.1</v>
      </c>
      <c r="AC104" s="229">
        <v>2.5999999999999999E-3</v>
      </c>
      <c r="AD104" s="228">
        <v>0.35</v>
      </c>
      <c r="AE104" s="228">
        <v>0.25</v>
      </c>
      <c r="AF104" s="228">
        <v>0.1</v>
      </c>
      <c r="AG104" s="229">
        <v>2.5999999999999999E-3</v>
      </c>
      <c r="AH104" s="228">
        <v>-1.88</v>
      </c>
      <c r="AI104" s="228">
        <v>-2.11</v>
      </c>
      <c r="AJ104" s="228">
        <v>0.23</v>
      </c>
      <c r="AK104" s="229">
        <v>-1.41E-2</v>
      </c>
      <c r="AL104" s="228">
        <v>-3.04</v>
      </c>
      <c r="AM104" s="228">
        <v>-2.98</v>
      </c>
      <c r="AN104" s="228">
        <v>-0.06</v>
      </c>
      <c r="AO104" s="229">
        <v>-2.29E-2</v>
      </c>
      <c r="AP104" s="228">
        <v>132.97</v>
      </c>
      <c r="AQ104" s="228">
        <v>130.5</v>
      </c>
      <c r="AR104" s="228">
        <v>0</v>
      </c>
      <c r="AS104" s="228">
        <v>330</v>
      </c>
      <c r="AT104" s="228">
        <v>275</v>
      </c>
      <c r="AU104" s="228">
        <v>55</v>
      </c>
      <c r="AV104" s="229">
        <v>0.20069999999999999</v>
      </c>
      <c r="AW104" s="228">
        <v>237</v>
      </c>
      <c r="AX104" s="228">
        <v>183</v>
      </c>
      <c r="AY104" s="228">
        <v>54</v>
      </c>
      <c r="AZ104" s="229">
        <v>0.29399999999999998</v>
      </c>
      <c r="BA104" s="228">
        <v>81</v>
      </c>
      <c r="BB104" s="228">
        <v>78</v>
      </c>
      <c r="BC104" s="228">
        <v>3</v>
      </c>
      <c r="BD104" s="229">
        <v>4.0599999999999997E-2</v>
      </c>
      <c r="BE104" s="228">
        <v>12</v>
      </c>
      <c r="BF104" s="228">
        <v>14</v>
      </c>
      <c r="BG104" s="228">
        <v>-2</v>
      </c>
      <c r="BH104" s="229">
        <v>-0.1258</v>
      </c>
      <c r="BI104" s="228">
        <v>687</v>
      </c>
      <c r="BJ104" s="228">
        <v>547</v>
      </c>
      <c r="BK104" s="228">
        <v>140</v>
      </c>
      <c r="BL104" s="229">
        <v>0.25590000000000002</v>
      </c>
      <c r="BM104" s="228">
        <v>222</v>
      </c>
      <c r="BN104" s="228">
        <v>210</v>
      </c>
      <c r="BO104" s="228">
        <v>13</v>
      </c>
      <c r="BP104" s="229">
        <v>6.0100000000000001E-2</v>
      </c>
      <c r="BQ104" s="230">
        <v>1240</v>
      </c>
      <c r="BR104" s="230">
        <v>1032</v>
      </c>
      <c r="BS104" s="228">
        <v>208</v>
      </c>
      <c r="BT104" s="229">
        <v>0.2014</v>
      </c>
      <c r="BU104" s="230">
        <v>17993401</v>
      </c>
      <c r="BV104" s="230">
        <v>18909511</v>
      </c>
      <c r="BW104" s="230">
        <v>-916110</v>
      </c>
      <c r="BX104" s="229">
        <v>-4.8399999999999999E-2</v>
      </c>
      <c r="BY104" s="228">
        <v>773</v>
      </c>
      <c r="BZ104" s="228">
        <v>739</v>
      </c>
      <c r="CA104" s="228">
        <v>34</v>
      </c>
      <c r="CB104" s="229">
        <v>4.6399999999999997E-2</v>
      </c>
      <c r="CC104" s="228">
        <v>566</v>
      </c>
      <c r="CD104" s="228">
        <v>557</v>
      </c>
      <c r="CE104" s="228">
        <v>9</v>
      </c>
      <c r="CF104" s="229">
        <v>1.55E-2</v>
      </c>
      <c r="CG104" s="228">
        <v>173</v>
      </c>
      <c r="CH104" s="228">
        <v>149</v>
      </c>
      <c r="CI104" s="228">
        <v>23</v>
      </c>
      <c r="CJ104" s="229">
        <v>0.15590000000000001</v>
      </c>
      <c r="CK104" s="228">
        <v>35</v>
      </c>
      <c r="CL104" s="228">
        <v>32</v>
      </c>
      <c r="CM104" s="228">
        <v>2</v>
      </c>
      <c r="CN104" s="229">
        <v>7.2800000000000004E-2</v>
      </c>
      <c r="CO104" s="228">
        <v>333</v>
      </c>
      <c r="CP104" s="228">
        <v>312</v>
      </c>
      <c r="CQ104" s="228">
        <v>21</v>
      </c>
      <c r="CR104" s="229">
        <v>6.6799999999999998E-2</v>
      </c>
      <c r="CS104" s="228">
        <v>263</v>
      </c>
      <c r="CT104" s="228">
        <v>252</v>
      </c>
      <c r="CU104" s="228">
        <v>11</v>
      </c>
      <c r="CV104" s="229">
        <v>4.3099999999999999E-2</v>
      </c>
      <c r="CW104" s="230">
        <v>1369</v>
      </c>
      <c r="CX104" s="230">
        <v>1303</v>
      </c>
      <c r="CY104" s="228">
        <v>66</v>
      </c>
      <c r="CZ104" s="229">
        <v>5.0599999999999999E-2</v>
      </c>
      <c r="DA104" s="228">
        <v>41.7</v>
      </c>
      <c r="DB104" s="228">
        <v>42.53</v>
      </c>
      <c r="DC104" s="228">
        <v>-0.83</v>
      </c>
      <c r="DD104" s="228">
        <v>-0.83</v>
      </c>
      <c r="DE104" s="228">
        <v>48.69</v>
      </c>
      <c r="DF104" s="228">
        <v>48.66</v>
      </c>
      <c r="DG104" s="228">
        <v>-6.99</v>
      </c>
      <c r="DH104" s="228">
        <v>0.03</v>
      </c>
      <c r="DI104" s="228">
        <v>40.909999999999997</v>
      </c>
      <c r="DJ104" s="228">
        <v>41.98</v>
      </c>
      <c r="DK104" s="228">
        <v>-1.07</v>
      </c>
      <c r="DL104" s="228">
        <v>-1.07</v>
      </c>
      <c r="DM104" s="228">
        <v>44.15</v>
      </c>
      <c r="DN104" s="228">
        <v>43.96</v>
      </c>
      <c r="DO104" s="228">
        <v>0.19</v>
      </c>
      <c r="DP104" s="228">
        <v>0.19</v>
      </c>
      <c r="DQ104" s="228">
        <v>0.79</v>
      </c>
      <c r="DR104" s="228">
        <v>0.81</v>
      </c>
      <c r="DS104" s="228">
        <v>-0.02</v>
      </c>
      <c r="DT104" s="229">
        <v>-2.47E-2</v>
      </c>
      <c r="DU104" s="228">
        <v>140</v>
      </c>
      <c r="DV104" s="228">
        <v>120</v>
      </c>
      <c r="DW104" s="228">
        <v>0.32</v>
      </c>
      <c r="DX104" s="228">
        <v>0.38</v>
      </c>
      <c r="DY104" s="228">
        <v>-0.06</v>
      </c>
      <c r="DZ104" s="229">
        <v>-0.15790000000000001</v>
      </c>
      <c r="EA104" s="229">
        <v>0.26800000000000002</v>
      </c>
      <c r="EB104" s="230">
        <v>13613700</v>
      </c>
      <c r="EC104" s="229">
        <v>-1.67E-2</v>
      </c>
      <c r="ED104" s="229">
        <v>0.26800000000000002</v>
      </c>
      <c r="EE104" s="228">
        <v>-2.4700000000000002</v>
      </c>
      <c r="EF104" s="229">
        <v>-1.8599999999999998E-2</v>
      </c>
      <c r="EG104" s="230">
        <v>5447035</v>
      </c>
      <c r="EH104" s="230">
        <v>4546369</v>
      </c>
      <c r="EI104" s="229">
        <v>0.1981</v>
      </c>
      <c r="EJ104" s="229">
        <v>0.30270000000000002</v>
      </c>
      <c r="EK104" s="228">
        <v>715.92</v>
      </c>
      <c r="EL104" s="228">
        <v>214.08</v>
      </c>
      <c r="EM104" s="228">
        <v>327.17</v>
      </c>
      <c r="EN104" s="228">
        <v>42.21</v>
      </c>
      <c r="EO104" s="231">
        <v>1257.17</v>
      </c>
      <c r="EP104" s="231">
        <v>1016.73</v>
      </c>
      <c r="EQ104" s="228">
        <v>240.44</v>
      </c>
      <c r="ER104" s="229">
        <v>0.23649999999999999</v>
      </c>
      <c r="ES104" s="228">
        <v>325.62</v>
      </c>
      <c r="ET104" s="228">
        <v>241.32</v>
      </c>
      <c r="EU104" s="228">
        <v>769.37</v>
      </c>
      <c r="EV104" s="231">
        <v>119011160</v>
      </c>
      <c r="EW104" s="231">
        <v>1336.31</v>
      </c>
      <c r="EX104" s="231">
        <v>1243.48</v>
      </c>
      <c r="EY104" s="228">
        <v>92.83</v>
      </c>
      <c r="EZ104" s="229">
        <v>7.4700000000000003E-2</v>
      </c>
      <c r="FA104" s="229">
        <v>0.86240000000000006</v>
      </c>
      <c r="FB104" s="227" t="s">
        <v>555</v>
      </c>
      <c r="FC104">
        <f t="shared" si="1"/>
        <v>207</v>
      </c>
    </row>
    <row r="105" spans="1:159" ht="17.25" thickBot="1" x14ac:dyDescent="0.3">
      <c r="A105" s="226">
        <v>46129</v>
      </c>
      <c r="B105" s="227" t="s">
        <v>215</v>
      </c>
      <c r="C105" s="227" t="s">
        <v>591</v>
      </c>
      <c r="D105" s="228">
        <v>4250</v>
      </c>
      <c r="E105" s="228">
        <v>11</v>
      </c>
      <c r="F105" s="228">
        <v>104.84</v>
      </c>
      <c r="G105" s="228">
        <v>103.62</v>
      </c>
      <c r="H105" s="228">
        <v>1.22</v>
      </c>
      <c r="I105" s="229">
        <v>1.18E-2</v>
      </c>
      <c r="J105" s="228">
        <v>104.84</v>
      </c>
      <c r="K105" s="228">
        <v>103.24</v>
      </c>
      <c r="L105" s="228">
        <v>1.6</v>
      </c>
      <c r="M105" s="229">
        <v>1.55E-2</v>
      </c>
      <c r="N105" s="228">
        <v>104.84</v>
      </c>
      <c r="O105" s="228">
        <v>103.62</v>
      </c>
      <c r="P105" s="228">
        <v>1.22</v>
      </c>
      <c r="Q105" s="229">
        <v>1.18E-2</v>
      </c>
      <c r="R105" s="228">
        <v>103.8</v>
      </c>
      <c r="S105" s="228">
        <v>102.51</v>
      </c>
      <c r="T105" s="228">
        <v>1.29</v>
      </c>
      <c r="U105" s="229">
        <v>1.26E-2</v>
      </c>
      <c r="V105" s="228">
        <v>103.4</v>
      </c>
      <c r="W105" s="228">
        <v>102.07</v>
      </c>
      <c r="X105" s="228">
        <v>1.33</v>
      </c>
      <c r="Y105" s="229">
        <v>1.2999999999999999E-2</v>
      </c>
      <c r="Z105" s="228">
        <v>0</v>
      </c>
      <c r="AA105" s="228">
        <v>0.38</v>
      </c>
      <c r="AB105" s="228">
        <v>-0.38</v>
      </c>
      <c r="AC105" s="229">
        <v>0</v>
      </c>
      <c r="AD105" s="228">
        <v>0</v>
      </c>
      <c r="AE105" s="228">
        <v>0.38</v>
      </c>
      <c r="AF105" s="228">
        <v>-0.38</v>
      </c>
      <c r="AG105" s="229">
        <v>0</v>
      </c>
      <c r="AH105" s="228">
        <v>-1.04</v>
      </c>
      <c r="AI105" s="228">
        <v>-0.73</v>
      </c>
      <c r="AJ105" s="228">
        <v>-0.31</v>
      </c>
      <c r="AK105" s="229">
        <v>-9.9000000000000008E-3</v>
      </c>
      <c r="AL105" s="228">
        <v>-1.44</v>
      </c>
      <c r="AM105" s="228">
        <v>-1.17</v>
      </c>
      <c r="AN105" s="228">
        <v>-0.27</v>
      </c>
      <c r="AO105" s="229">
        <v>-1.37E-2</v>
      </c>
      <c r="AP105" s="228">
        <v>105.08</v>
      </c>
      <c r="AQ105" s="228">
        <v>103.92</v>
      </c>
      <c r="AR105" s="228">
        <v>0</v>
      </c>
      <c r="AS105" s="228">
        <v>191</v>
      </c>
      <c r="AT105" s="228">
        <v>145</v>
      </c>
      <c r="AU105" s="228">
        <v>47</v>
      </c>
      <c r="AV105" s="229">
        <v>0.32169999999999999</v>
      </c>
      <c r="AW105" s="228">
        <v>138</v>
      </c>
      <c r="AX105" s="228">
        <v>104</v>
      </c>
      <c r="AY105" s="228">
        <v>34</v>
      </c>
      <c r="AZ105" s="229">
        <v>0.32679999999999998</v>
      </c>
      <c r="BA105" s="228">
        <v>42</v>
      </c>
      <c r="BB105" s="228">
        <v>34</v>
      </c>
      <c r="BC105" s="228">
        <v>8</v>
      </c>
      <c r="BD105" s="229">
        <v>0.2354</v>
      </c>
      <c r="BE105" s="228">
        <v>11</v>
      </c>
      <c r="BF105" s="228">
        <v>7</v>
      </c>
      <c r="BG105" s="228">
        <v>5</v>
      </c>
      <c r="BH105" s="229">
        <v>0.67549999999999999</v>
      </c>
      <c r="BI105" s="228">
        <v>773</v>
      </c>
      <c r="BJ105" s="228">
        <v>690</v>
      </c>
      <c r="BK105" s="228">
        <v>83</v>
      </c>
      <c r="BL105" s="229">
        <v>0.1197</v>
      </c>
      <c r="BM105" s="228">
        <v>302</v>
      </c>
      <c r="BN105" s="228">
        <v>248</v>
      </c>
      <c r="BO105" s="228">
        <v>55</v>
      </c>
      <c r="BP105" s="229">
        <v>0.2213</v>
      </c>
      <c r="BQ105" s="230">
        <v>1266</v>
      </c>
      <c r="BR105" s="230">
        <v>1082</v>
      </c>
      <c r="BS105" s="228">
        <v>184</v>
      </c>
      <c r="BT105" s="229">
        <v>0.1699</v>
      </c>
      <c r="BU105" s="230">
        <v>35294190</v>
      </c>
      <c r="BV105" s="230">
        <v>23842807</v>
      </c>
      <c r="BW105" s="230">
        <v>11451383</v>
      </c>
      <c r="BX105" s="229">
        <v>0.4803</v>
      </c>
      <c r="BY105" s="228">
        <v>621</v>
      </c>
      <c r="BZ105" s="228">
        <v>610</v>
      </c>
      <c r="CA105" s="228">
        <v>11</v>
      </c>
      <c r="CB105" s="229">
        <v>1.8800000000000001E-2</v>
      </c>
      <c r="CC105" s="228">
        <v>475</v>
      </c>
      <c r="CD105" s="228">
        <v>475</v>
      </c>
      <c r="CE105" s="228">
        <v>-1</v>
      </c>
      <c r="CF105" s="229">
        <v>-1.2999999999999999E-3</v>
      </c>
      <c r="CG105" s="228">
        <v>126</v>
      </c>
      <c r="CH105" s="228">
        <v>117</v>
      </c>
      <c r="CI105" s="228">
        <v>9</v>
      </c>
      <c r="CJ105" s="229">
        <v>7.3200000000000001E-2</v>
      </c>
      <c r="CK105" s="228">
        <v>20</v>
      </c>
      <c r="CL105" s="228">
        <v>17</v>
      </c>
      <c r="CM105" s="228">
        <v>3</v>
      </c>
      <c r="CN105" s="229">
        <v>0.20469999999999999</v>
      </c>
      <c r="CO105" s="228">
        <v>444</v>
      </c>
      <c r="CP105" s="228">
        <v>416</v>
      </c>
      <c r="CQ105" s="228">
        <v>28</v>
      </c>
      <c r="CR105" s="229">
        <v>6.6100000000000006E-2</v>
      </c>
      <c r="CS105" s="228">
        <v>318</v>
      </c>
      <c r="CT105" s="228">
        <v>313</v>
      </c>
      <c r="CU105" s="228">
        <v>4</v>
      </c>
      <c r="CV105" s="229">
        <v>1.34E-2</v>
      </c>
      <c r="CW105" s="230">
        <v>1383</v>
      </c>
      <c r="CX105" s="230">
        <v>1339</v>
      </c>
      <c r="CY105" s="228">
        <v>43</v>
      </c>
      <c r="CZ105" s="229">
        <v>3.2199999999999999E-2</v>
      </c>
      <c r="DA105" s="228">
        <v>38.06</v>
      </c>
      <c r="DB105" s="228">
        <v>39.159999999999997</v>
      </c>
      <c r="DC105" s="228">
        <v>-1.1000000000000001</v>
      </c>
      <c r="DD105" s="228">
        <v>-1.1000000000000001</v>
      </c>
      <c r="DE105" s="228">
        <v>45.78</v>
      </c>
      <c r="DF105" s="228">
        <v>45.87</v>
      </c>
      <c r="DG105" s="228">
        <v>-7.72</v>
      </c>
      <c r="DH105" s="228">
        <v>-0.09</v>
      </c>
      <c r="DI105" s="228">
        <v>37.24</v>
      </c>
      <c r="DJ105" s="228">
        <v>37.57</v>
      </c>
      <c r="DK105" s="228">
        <v>-0.33</v>
      </c>
      <c r="DL105" s="228">
        <v>-0.33</v>
      </c>
      <c r="DM105" s="228">
        <v>40.17</v>
      </c>
      <c r="DN105" s="228">
        <v>43.57</v>
      </c>
      <c r="DO105" s="228">
        <v>-3.4</v>
      </c>
      <c r="DP105" s="228">
        <v>-3.4</v>
      </c>
      <c r="DQ105" s="228">
        <v>0.72</v>
      </c>
      <c r="DR105" s="228">
        <v>0.75</v>
      </c>
      <c r="DS105" s="228">
        <v>-0.03</v>
      </c>
      <c r="DT105" s="229">
        <v>-0.04</v>
      </c>
      <c r="DU105" s="228">
        <v>110</v>
      </c>
      <c r="DV105" s="228">
        <v>90</v>
      </c>
      <c r="DW105" s="228">
        <v>0.39</v>
      </c>
      <c r="DX105" s="228">
        <v>0.36</v>
      </c>
      <c r="DY105" s="228">
        <v>0.03</v>
      </c>
      <c r="DZ105" s="229">
        <v>8.3299999999999999E-2</v>
      </c>
      <c r="EA105" s="229">
        <v>0.2359</v>
      </c>
      <c r="EB105" s="230">
        <v>12826500</v>
      </c>
      <c r="EC105" s="229">
        <v>-9.9000000000000008E-3</v>
      </c>
      <c r="ED105" s="229">
        <v>0.2359</v>
      </c>
      <c r="EE105" s="228">
        <v>-1.1599999999999999</v>
      </c>
      <c r="EF105" s="229">
        <v>-1.0999999999999999E-2</v>
      </c>
      <c r="EG105" s="230">
        <v>8283457</v>
      </c>
      <c r="EH105" s="230">
        <v>6063769</v>
      </c>
      <c r="EI105" s="229">
        <v>0.36609999999999998</v>
      </c>
      <c r="EJ105" s="229">
        <v>0.23469999999999999</v>
      </c>
      <c r="EK105" s="228">
        <v>814.57</v>
      </c>
      <c r="EL105" s="228">
        <v>291.95</v>
      </c>
      <c r="EM105" s="228">
        <v>190.91</v>
      </c>
      <c r="EN105" s="228">
        <v>30.85</v>
      </c>
      <c r="EO105" s="231">
        <v>1297.42</v>
      </c>
      <c r="EP105" s="231">
        <v>1095.22</v>
      </c>
      <c r="EQ105" s="228">
        <v>202.2</v>
      </c>
      <c r="ER105" s="229">
        <v>0.18459999999999999</v>
      </c>
      <c r="ES105" s="228">
        <v>450.9</v>
      </c>
      <c r="ET105" s="228">
        <v>293.91000000000003</v>
      </c>
      <c r="EU105" s="228">
        <v>619.77</v>
      </c>
      <c r="EV105" s="231">
        <v>267310350</v>
      </c>
      <c r="EW105" s="231">
        <v>1364.58</v>
      </c>
      <c r="EX105" s="231">
        <v>1309.8499999999999</v>
      </c>
      <c r="EY105" s="228">
        <v>54.73</v>
      </c>
      <c r="EZ105" s="229">
        <v>4.1799999999999997E-2</v>
      </c>
      <c r="FA105" s="229">
        <v>0.49340000000000001</v>
      </c>
      <c r="FB105" s="227" t="s">
        <v>555</v>
      </c>
      <c r="FC105">
        <f t="shared" si="1"/>
        <v>146</v>
      </c>
    </row>
    <row r="106" spans="1:159" ht="17.25" thickBot="1" x14ac:dyDescent="0.3">
      <c r="A106" s="226">
        <v>46129</v>
      </c>
      <c r="B106" s="227" t="s">
        <v>168</v>
      </c>
      <c r="C106" s="227" t="s">
        <v>242</v>
      </c>
      <c r="D106" s="228">
        <v>1600</v>
      </c>
      <c r="E106" s="228">
        <v>11</v>
      </c>
      <c r="F106" s="228">
        <v>307.5</v>
      </c>
      <c r="G106" s="228">
        <v>303.75</v>
      </c>
      <c r="H106" s="228">
        <v>3.75</v>
      </c>
      <c r="I106" s="229">
        <v>1.23E-2</v>
      </c>
      <c r="J106" s="228">
        <v>306.8</v>
      </c>
      <c r="K106" s="228">
        <v>303.39999999999998</v>
      </c>
      <c r="L106" s="228">
        <v>3.4</v>
      </c>
      <c r="M106" s="229">
        <v>1.12E-2</v>
      </c>
      <c r="N106" s="228">
        <v>307.5</v>
      </c>
      <c r="O106" s="228">
        <v>303.75</v>
      </c>
      <c r="P106" s="228">
        <v>3.75</v>
      </c>
      <c r="Q106" s="229">
        <v>1.23E-2</v>
      </c>
      <c r="R106" s="228">
        <v>309.25</v>
      </c>
      <c r="S106" s="228">
        <v>305.55</v>
      </c>
      <c r="T106" s="228">
        <v>3.7</v>
      </c>
      <c r="U106" s="229">
        <v>1.21E-2</v>
      </c>
      <c r="V106" s="228">
        <v>311.14999999999998</v>
      </c>
      <c r="W106" s="228">
        <v>307.2</v>
      </c>
      <c r="X106" s="228">
        <v>3.95</v>
      </c>
      <c r="Y106" s="229">
        <v>1.29E-2</v>
      </c>
      <c r="Z106" s="228">
        <v>0.7</v>
      </c>
      <c r="AA106" s="228">
        <v>0.35</v>
      </c>
      <c r="AB106" s="228">
        <v>0.35</v>
      </c>
      <c r="AC106" s="229">
        <v>2.3E-3</v>
      </c>
      <c r="AD106" s="228">
        <v>0.7</v>
      </c>
      <c r="AE106" s="228">
        <v>0.35</v>
      </c>
      <c r="AF106" s="228">
        <v>0.35</v>
      </c>
      <c r="AG106" s="229">
        <v>2.3E-3</v>
      </c>
      <c r="AH106" s="228">
        <v>2.4500000000000002</v>
      </c>
      <c r="AI106" s="228">
        <v>2.15</v>
      </c>
      <c r="AJ106" s="228">
        <v>0.3</v>
      </c>
      <c r="AK106" s="229">
        <v>8.0000000000000002E-3</v>
      </c>
      <c r="AL106" s="228">
        <v>4.3499999999999996</v>
      </c>
      <c r="AM106" s="228">
        <v>3.8</v>
      </c>
      <c r="AN106" s="228">
        <v>0.55000000000000004</v>
      </c>
      <c r="AO106" s="229">
        <v>1.4200000000000001E-2</v>
      </c>
      <c r="AP106" s="228">
        <v>308.2</v>
      </c>
      <c r="AQ106" s="228">
        <v>309.83999999999997</v>
      </c>
      <c r="AR106" s="228">
        <v>0</v>
      </c>
      <c r="AS106" s="230">
        <v>1037</v>
      </c>
      <c r="AT106" s="228">
        <v>371</v>
      </c>
      <c r="AU106" s="228">
        <v>666</v>
      </c>
      <c r="AV106" s="229">
        <v>1.7950999999999999</v>
      </c>
      <c r="AW106" s="228">
        <v>789</v>
      </c>
      <c r="AX106" s="228">
        <v>296</v>
      </c>
      <c r="AY106" s="228">
        <v>493</v>
      </c>
      <c r="AZ106" s="229">
        <v>1.665</v>
      </c>
      <c r="BA106" s="228">
        <v>168</v>
      </c>
      <c r="BB106" s="228">
        <v>61</v>
      </c>
      <c r="BC106" s="228">
        <v>108</v>
      </c>
      <c r="BD106" s="229">
        <v>1.7678</v>
      </c>
      <c r="BE106" s="228">
        <v>80</v>
      </c>
      <c r="BF106" s="228">
        <v>14</v>
      </c>
      <c r="BG106" s="228">
        <v>66</v>
      </c>
      <c r="BH106" s="229">
        <v>4.5801999999999996</v>
      </c>
      <c r="BI106" s="230">
        <v>8768</v>
      </c>
      <c r="BJ106" s="230">
        <v>2427</v>
      </c>
      <c r="BK106" s="230">
        <v>6340</v>
      </c>
      <c r="BL106" s="229">
        <v>2.6120000000000001</v>
      </c>
      <c r="BM106" s="230">
        <v>3755</v>
      </c>
      <c r="BN106" s="230">
        <v>1146</v>
      </c>
      <c r="BO106" s="230">
        <v>2609</v>
      </c>
      <c r="BP106" s="229">
        <v>2.2761999999999998</v>
      </c>
      <c r="BQ106" s="230">
        <v>13560</v>
      </c>
      <c r="BR106" s="230">
        <v>3945</v>
      </c>
      <c r="BS106" s="230">
        <v>9616</v>
      </c>
      <c r="BT106" s="229">
        <v>2.4376000000000002</v>
      </c>
      <c r="BU106" s="230">
        <v>36660208</v>
      </c>
      <c r="BV106" s="230">
        <v>17995611</v>
      </c>
      <c r="BW106" s="230">
        <v>18664597</v>
      </c>
      <c r="BX106" s="229">
        <v>1.0371999999999999</v>
      </c>
      <c r="BY106" s="230">
        <v>5078</v>
      </c>
      <c r="BZ106" s="230">
        <v>5019</v>
      </c>
      <c r="CA106" s="228">
        <v>59</v>
      </c>
      <c r="CB106" s="229">
        <v>1.18E-2</v>
      </c>
      <c r="CC106" s="230">
        <v>4420</v>
      </c>
      <c r="CD106" s="230">
        <v>4490</v>
      </c>
      <c r="CE106" s="228">
        <v>-70</v>
      </c>
      <c r="CF106" s="229">
        <v>-1.5599999999999999E-2</v>
      </c>
      <c r="CG106" s="228">
        <v>523</v>
      </c>
      <c r="CH106" s="228">
        <v>458</v>
      </c>
      <c r="CI106" s="228">
        <v>65</v>
      </c>
      <c r="CJ106" s="229">
        <v>0.14099999999999999</v>
      </c>
      <c r="CK106" s="228">
        <v>135</v>
      </c>
      <c r="CL106" s="228">
        <v>71</v>
      </c>
      <c r="CM106" s="228">
        <v>65</v>
      </c>
      <c r="CN106" s="229">
        <v>0.91839999999999999</v>
      </c>
      <c r="CO106" s="230">
        <v>3523</v>
      </c>
      <c r="CP106" s="230">
        <v>3026</v>
      </c>
      <c r="CQ106" s="228">
        <v>497</v>
      </c>
      <c r="CR106" s="229">
        <v>0.16420000000000001</v>
      </c>
      <c r="CS106" s="230">
        <v>1753</v>
      </c>
      <c r="CT106" s="230">
        <v>1592</v>
      </c>
      <c r="CU106" s="228">
        <v>162</v>
      </c>
      <c r="CV106" s="229">
        <v>0.10150000000000001</v>
      </c>
      <c r="CW106" s="230">
        <v>10354</v>
      </c>
      <c r="CX106" s="230">
        <v>9637</v>
      </c>
      <c r="CY106" s="228">
        <v>718</v>
      </c>
      <c r="CZ106" s="229">
        <v>7.4499999999999997E-2</v>
      </c>
      <c r="DA106" s="228">
        <v>20.91</v>
      </c>
      <c r="DB106" s="228">
        <v>20.91</v>
      </c>
      <c r="DC106" s="228">
        <v>0</v>
      </c>
      <c r="DD106" s="228">
        <v>0</v>
      </c>
      <c r="DE106" s="228">
        <v>24.47</v>
      </c>
      <c r="DF106" s="228">
        <v>24.48</v>
      </c>
      <c r="DG106" s="228">
        <v>-3.56</v>
      </c>
      <c r="DH106" s="228">
        <v>-0.01</v>
      </c>
      <c r="DI106" s="228">
        <v>20.54</v>
      </c>
      <c r="DJ106" s="228">
        <v>20.14</v>
      </c>
      <c r="DK106" s="228">
        <v>0.4</v>
      </c>
      <c r="DL106" s="228">
        <v>0.4</v>
      </c>
      <c r="DM106" s="228">
        <v>21.78</v>
      </c>
      <c r="DN106" s="228">
        <v>22.53</v>
      </c>
      <c r="DO106" s="228">
        <v>-0.75</v>
      </c>
      <c r="DP106" s="228">
        <v>-0.75</v>
      </c>
      <c r="DQ106" s="228">
        <v>0.5</v>
      </c>
      <c r="DR106" s="228">
        <v>0.53</v>
      </c>
      <c r="DS106" s="228">
        <v>-0.03</v>
      </c>
      <c r="DT106" s="229">
        <v>-5.6599999999999998E-2</v>
      </c>
      <c r="DU106" s="228">
        <v>300</v>
      </c>
      <c r="DV106" s="228">
        <v>300</v>
      </c>
      <c r="DW106" s="228">
        <v>0.43</v>
      </c>
      <c r="DX106" s="228">
        <v>0.47</v>
      </c>
      <c r="DY106" s="228">
        <v>-0.04</v>
      </c>
      <c r="DZ106" s="229">
        <v>-8.5099999999999995E-2</v>
      </c>
      <c r="EA106" s="229">
        <v>0.12959999999999999</v>
      </c>
      <c r="EB106" s="230">
        <v>17195200</v>
      </c>
      <c r="EC106" s="229">
        <v>5.7000000000000002E-3</v>
      </c>
      <c r="ED106" s="229">
        <v>0.12959999999999999</v>
      </c>
      <c r="EE106" s="228">
        <v>1.64</v>
      </c>
      <c r="EF106" s="229">
        <v>5.3E-3</v>
      </c>
      <c r="EG106" s="230">
        <v>17476483</v>
      </c>
      <c r="EH106" s="230">
        <v>8967548</v>
      </c>
      <c r="EI106" s="229">
        <v>0.94889999999999997</v>
      </c>
      <c r="EJ106" s="229">
        <v>0.47670000000000001</v>
      </c>
      <c r="EK106" s="231">
        <v>9034.23</v>
      </c>
      <c r="EL106" s="231">
        <v>3679.82</v>
      </c>
      <c r="EM106" s="231">
        <v>1041.47</v>
      </c>
      <c r="EN106" s="228">
        <v>77.7</v>
      </c>
      <c r="EO106" s="231">
        <v>13755.53</v>
      </c>
      <c r="EP106" s="231">
        <v>3952.65</v>
      </c>
      <c r="EQ106" s="231">
        <v>9802.8799999999992</v>
      </c>
      <c r="ER106" s="229">
        <v>2.4801000000000002</v>
      </c>
      <c r="ES106" s="231">
        <v>3614.32</v>
      </c>
      <c r="ET106" s="231">
        <v>1704.21</v>
      </c>
      <c r="EU106" s="231">
        <v>5082.76</v>
      </c>
      <c r="EV106" s="231">
        <v>1317896781</v>
      </c>
      <c r="EW106" s="231">
        <v>10401.290000000001</v>
      </c>
      <c r="EX106" s="231">
        <v>9601.4699999999993</v>
      </c>
      <c r="EY106" s="228">
        <v>799.82</v>
      </c>
      <c r="EZ106" s="229">
        <v>8.3299999999999999E-2</v>
      </c>
      <c r="FA106" s="229">
        <v>0.2555</v>
      </c>
      <c r="FB106" s="227" t="s">
        <v>555</v>
      </c>
      <c r="FC106">
        <f t="shared" si="1"/>
        <v>658</v>
      </c>
    </row>
    <row r="107" spans="1:159" ht="17.25" thickBot="1" x14ac:dyDescent="0.3">
      <c r="A107" s="226">
        <v>46129</v>
      </c>
      <c r="B107" s="227" t="s">
        <v>227</v>
      </c>
      <c r="C107" s="227" t="s">
        <v>243</v>
      </c>
      <c r="D107" s="228">
        <v>625</v>
      </c>
      <c r="E107" s="228">
        <v>11</v>
      </c>
      <c r="F107" s="231">
        <v>1271.4000000000001</v>
      </c>
      <c r="G107" s="231">
        <v>1230.9000000000001</v>
      </c>
      <c r="H107" s="228">
        <v>40.5</v>
      </c>
      <c r="I107" s="229">
        <v>3.2899999999999999E-2</v>
      </c>
      <c r="J107" s="231">
        <v>1270</v>
      </c>
      <c r="K107" s="231">
        <v>1228.3</v>
      </c>
      <c r="L107" s="228">
        <v>41.7</v>
      </c>
      <c r="M107" s="229">
        <v>3.39E-2</v>
      </c>
      <c r="N107" s="231">
        <v>1271.4000000000001</v>
      </c>
      <c r="O107" s="231">
        <v>1230.9000000000001</v>
      </c>
      <c r="P107" s="228">
        <v>40.5</v>
      </c>
      <c r="Q107" s="229">
        <v>3.2899999999999999E-2</v>
      </c>
      <c r="R107" s="231">
        <v>1277.2</v>
      </c>
      <c r="S107" s="231">
        <v>1237</v>
      </c>
      <c r="T107" s="228">
        <v>40.200000000000003</v>
      </c>
      <c r="U107" s="229">
        <v>3.2500000000000001E-2</v>
      </c>
      <c r="V107" s="231">
        <v>1284.3</v>
      </c>
      <c r="W107" s="231">
        <v>1240</v>
      </c>
      <c r="X107" s="228">
        <v>44.3</v>
      </c>
      <c r="Y107" s="229">
        <v>3.5700000000000003E-2</v>
      </c>
      <c r="Z107" s="228">
        <v>1.4</v>
      </c>
      <c r="AA107" s="228">
        <v>2.6</v>
      </c>
      <c r="AB107" s="228">
        <v>-1.2</v>
      </c>
      <c r="AC107" s="229">
        <v>1.1000000000000001E-3</v>
      </c>
      <c r="AD107" s="228">
        <v>1.4</v>
      </c>
      <c r="AE107" s="228">
        <v>2.6</v>
      </c>
      <c r="AF107" s="228">
        <v>-1.2</v>
      </c>
      <c r="AG107" s="229">
        <v>1.1000000000000001E-3</v>
      </c>
      <c r="AH107" s="228">
        <v>7.2</v>
      </c>
      <c r="AI107" s="228">
        <v>8.6999999999999993</v>
      </c>
      <c r="AJ107" s="228">
        <v>-1.5</v>
      </c>
      <c r="AK107" s="229">
        <v>5.7000000000000002E-3</v>
      </c>
      <c r="AL107" s="228">
        <v>14.3</v>
      </c>
      <c r="AM107" s="228">
        <v>11.7</v>
      </c>
      <c r="AN107" s="228">
        <v>2.6</v>
      </c>
      <c r="AO107" s="229">
        <v>1.1299999999999999E-2</v>
      </c>
      <c r="AP107" s="231">
        <v>1259.8800000000001</v>
      </c>
      <c r="AQ107" s="231">
        <v>1267.54</v>
      </c>
      <c r="AR107" s="228">
        <v>0</v>
      </c>
      <c r="AS107" s="228">
        <v>475</v>
      </c>
      <c r="AT107" s="228">
        <v>240</v>
      </c>
      <c r="AU107" s="228">
        <v>235</v>
      </c>
      <c r="AV107" s="229">
        <v>0.98009999999999997</v>
      </c>
      <c r="AW107" s="228">
        <v>430</v>
      </c>
      <c r="AX107" s="228">
        <v>222</v>
      </c>
      <c r="AY107" s="228">
        <v>208</v>
      </c>
      <c r="AZ107" s="229">
        <v>0.93740000000000001</v>
      </c>
      <c r="BA107" s="228">
        <v>42</v>
      </c>
      <c r="BB107" s="228">
        <v>17</v>
      </c>
      <c r="BC107" s="228">
        <v>25</v>
      </c>
      <c r="BD107" s="229">
        <v>1.4930000000000001</v>
      </c>
      <c r="BE107" s="228">
        <v>3</v>
      </c>
      <c r="BF107" s="228">
        <v>1</v>
      </c>
      <c r="BG107" s="228">
        <v>2</v>
      </c>
      <c r="BH107" s="229">
        <v>1.9091</v>
      </c>
      <c r="BI107" s="230">
        <v>1677</v>
      </c>
      <c r="BJ107" s="228">
        <v>499</v>
      </c>
      <c r="BK107" s="230">
        <v>1178</v>
      </c>
      <c r="BL107" s="229">
        <v>2.3603999999999998</v>
      </c>
      <c r="BM107" s="230">
        <v>1015</v>
      </c>
      <c r="BN107" s="228">
        <v>268</v>
      </c>
      <c r="BO107" s="228">
        <v>747</v>
      </c>
      <c r="BP107" s="229">
        <v>2.7873999999999999</v>
      </c>
      <c r="BQ107" s="230">
        <v>3167</v>
      </c>
      <c r="BR107" s="230">
        <v>1007</v>
      </c>
      <c r="BS107" s="230">
        <v>2160</v>
      </c>
      <c r="BT107" s="229">
        <v>2.145</v>
      </c>
      <c r="BU107" s="230">
        <v>2982761</v>
      </c>
      <c r="BV107" s="230">
        <v>1424887</v>
      </c>
      <c r="BW107" s="230">
        <v>1557874</v>
      </c>
      <c r="BX107" s="229">
        <v>1.0932999999999999</v>
      </c>
      <c r="BY107" s="230">
        <v>1606</v>
      </c>
      <c r="BZ107" s="230">
        <v>1636</v>
      </c>
      <c r="CA107" s="228">
        <v>-30</v>
      </c>
      <c r="CB107" s="229">
        <v>-1.83E-2</v>
      </c>
      <c r="CC107" s="230">
        <v>1408</v>
      </c>
      <c r="CD107" s="230">
        <v>1446</v>
      </c>
      <c r="CE107" s="228">
        <v>-37</v>
      </c>
      <c r="CF107" s="229">
        <v>-2.58E-2</v>
      </c>
      <c r="CG107" s="228">
        <v>195</v>
      </c>
      <c r="CH107" s="228">
        <v>188</v>
      </c>
      <c r="CI107" s="228">
        <v>6</v>
      </c>
      <c r="CJ107" s="229">
        <v>3.4099999999999998E-2</v>
      </c>
      <c r="CK107" s="228">
        <v>3</v>
      </c>
      <c r="CL107" s="228">
        <v>2</v>
      </c>
      <c r="CM107" s="228">
        <v>1</v>
      </c>
      <c r="CN107" s="229">
        <v>0.4</v>
      </c>
      <c r="CO107" s="228">
        <v>482</v>
      </c>
      <c r="CP107" s="228">
        <v>433</v>
      </c>
      <c r="CQ107" s="228">
        <v>49</v>
      </c>
      <c r="CR107" s="229">
        <v>0.11210000000000001</v>
      </c>
      <c r="CS107" s="228">
        <v>524</v>
      </c>
      <c r="CT107" s="228">
        <v>425</v>
      </c>
      <c r="CU107" s="228">
        <v>99</v>
      </c>
      <c r="CV107" s="229">
        <v>0.2321</v>
      </c>
      <c r="CW107" s="230">
        <v>2612</v>
      </c>
      <c r="CX107" s="230">
        <v>2495</v>
      </c>
      <c r="CY107" s="228">
        <v>117</v>
      </c>
      <c r="CZ107" s="229">
        <v>4.7E-2</v>
      </c>
      <c r="DA107" s="228">
        <v>31.22</v>
      </c>
      <c r="DB107" s="228">
        <v>31.3</v>
      </c>
      <c r="DC107" s="228">
        <v>-0.08</v>
      </c>
      <c r="DD107" s="228">
        <v>-0.08</v>
      </c>
      <c r="DE107" s="228">
        <v>38.07</v>
      </c>
      <c r="DF107" s="228">
        <v>37.9</v>
      </c>
      <c r="DG107" s="228">
        <v>-6.85</v>
      </c>
      <c r="DH107" s="228">
        <v>0.17</v>
      </c>
      <c r="DI107" s="228">
        <v>29.88</v>
      </c>
      <c r="DJ107" s="228">
        <v>30.3</v>
      </c>
      <c r="DK107" s="228">
        <v>-0.42</v>
      </c>
      <c r="DL107" s="228">
        <v>-0.42</v>
      </c>
      <c r="DM107" s="228">
        <v>33.42</v>
      </c>
      <c r="DN107" s="228">
        <v>33.159999999999997</v>
      </c>
      <c r="DO107" s="228">
        <v>0.26</v>
      </c>
      <c r="DP107" s="228">
        <v>0.26</v>
      </c>
      <c r="DQ107" s="228">
        <v>1.0900000000000001</v>
      </c>
      <c r="DR107" s="228">
        <v>0.98</v>
      </c>
      <c r="DS107" s="228">
        <v>0.11</v>
      </c>
      <c r="DT107" s="229">
        <v>0.11219999999999999</v>
      </c>
      <c r="DU107" s="231">
        <v>1200</v>
      </c>
      <c r="DV107" s="231">
        <v>1200</v>
      </c>
      <c r="DW107" s="228">
        <v>0.61</v>
      </c>
      <c r="DX107" s="228">
        <v>0.54</v>
      </c>
      <c r="DY107" s="228">
        <v>7.0000000000000007E-2</v>
      </c>
      <c r="DZ107" s="229">
        <v>0.12959999999999999</v>
      </c>
      <c r="EA107" s="229">
        <v>0.1234</v>
      </c>
      <c r="EB107" s="230">
        <v>1501250</v>
      </c>
      <c r="EC107" s="229">
        <v>4.5999999999999999E-3</v>
      </c>
      <c r="ED107" s="229">
        <v>0.1234</v>
      </c>
      <c r="EE107" s="228">
        <v>7.66</v>
      </c>
      <c r="EF107" s="229">
        <v>6.1000000000000004E-3</v>
      </c>
      <c r="EG107" s="230">
        <v>1297934</v>
      </c>
      <c r="EH107" s="230">
        <v>738484</v>
      </c>
      <c r="EI107" s="229">
        <v>0.75760000000000005</v>
      </c>
      <c r="EJ107" s="229">
        <v>0.43509999999999999</v>
      </c>
      <c r="EK107" s="231">
        <v>1719.45</v>
      </c>
      <c r="EL107" s="228">
        <v>973.11</v>
      </c>
      <c r="EM107" s="228">
        <v>471.16</v>
      </c>
      <c r="EN107" s="228">
        <v>35.61</v>
      </c>
      <c r="EO107" s="231">
        <v>3163.72</v>
      </c>
      <c r="EP107" s="228">
        <v>988.57</v>
      </c>
      <c r="EQ107" s="231">
        <v>2175.15</v>
      </c>
      <c r="ER107" s="229">
        <v>2.2002999999999999</v>
      </c>
      <c r="ES107" s="228">
        <v>477.94</v>
      </c>
      <c r="ET107" s="228">
        <v>480.78</v>
      </c>
      <c r="EU107" s="231">
        <v>1607.34</v>
      </c>
      <c r="EV107" s="231">
        <v>45844541</v>
      </c>
      <c r="EW107" s="231">
        <v>2566.06</v>
      </c>
      <c r="EX107" s="231">
        <v>2392.6799999999998</v>
      </c>
      <c r="EY107" s="228">
        <v>173.38</v>
      </c>
      <c r="EZ107" s="229">
        <v>7.2499999999999995E-2</v>
      </c>
      <c r="FA107" s="229">
        <v>0.4481</v>
      </c>
      <c r="FB107" s="227" t="s">
        <v>693</v>
      </c>
      <c r="FC107">
        <f t="shared" si="1"/>
        <v>198</v>
      </c>
    </row>
    <row r="108" spans="1:159" ht="17.25" thickBot="1" x14ac:dyDescent="0.3">
      <c r="A108" s="226">
        <v>46129</v>
      </c>
      <c r="B108" s="227" t="s">
        <v>175</v>
      </c>
      <c r="C108" s="227" t="s">
        <v>569</v>
      </c>
      <c r="D108" s="228">
        <v>2350</v>
      </c>
      <c r="E108" s="228">
        <v>11</v>
      </c>
      <c r="F108" s="228">
        <v>244.6</v>
      </c>
      <c r="G108" s="228">
        <v>241.8</v>
      </c>
      <c r="H108" s="228">
        <v>2.8</v>
      </c>
      <c r="I108" s="229">
        <v>1.1599999999999999E-2</v>
      </c>
      <c r="J108" s="228">
        <v>243.86</v>
      </c>
      <c r="K108" s="228">
        <v>241.27</v>
      </c>
      <c r="L108" s="228">
        <v>2.59</v>
      </c>
      <c r="M108" s="229">
        <v>1.0699999999999999E-2</v>
      </c>
      <c r="N108" s="228">
        <v>244.6</v>
      </c>
      <c r="O108" s="228">
        <v>241.8</v>
      </c>
      <c r="P108" s="228">
        <v>2.8</v>
      </c>
      <c r="Q108" s="229">
        <v>1.1599999999999999E-2</v>
      </c>
      <c r="R108" s="228">
        <v>245.81</v>
      </c>
      <c r="S108" s="228">
        <v>243.18</v>
      </c>
      <c r="T108" s="228">
        <v>2.63</v>
      </c>
      <c r="U108" s="229">
        <v>1.0800000000000001E-2</v>
      </c>
      <c r="V108" s="228">
        <v>247.57</v>
      </c>
      <c r="W108" s="228">
        <v>244.64</v>
      </c>
      <c r="X108" s="228">
        <v>2.93</v>
      </c>
      <c r="Y108" s="229">
        <v>1.2E-2</v>
      </c>
      <c r="Z108" s="228">
        <v>0.74</v>
      </c>
      <c r="AA108" s="228">
        <v>0.53</v>
      </c>
      <c r="AB108" s="228">
        <v>0.21</v>
      </c>
      <c r="AC108" s="229">
        <v>3.0000000000000001E-3</v>
      </c>
      <c r="AD108" s="228">
        <v>0.74</v>
      </c>
      <c r="AE108" s="228">
        <v>0.53</v>
      </c>
      <c r="AF108" s="228">
        <v>0.21</v>
      </c>
      <c r="AG108" s="229">
        <v>3.0000000000000001E-3</v>
      </c>
      <c r="AH108" s="228">
        <v>1.95</v>
      </c>
      <c r="AI108" s="228">
        <v>1.91</v>
      </c>
      <c r="AJ108" s="228">
        <v>0.04</v>
      </c>
      <c r="AK108" s="229">
        <v>8.0000000000000002E-3</v>
      </c>
      <c r="AL108" s="228">
        <v>3.71</v>
      </c>
      <c r="AM108" s="228">
        <v>3.37</v>
      </c>
      <c r="AN108" s="228">
        <v>0.34</v>
      </c>
      <c r="AO108" s="229">
        <v>1.52E-2</v>
      </c>
      <c r="AP108" s="228">
        <v>243.74</v>
      </c>
      <c r="AQ108" s="228">
        <v>244.84</v>
      </c>
      <c r="AR108" s="228">
        <v>0</v>
      </c>
      <c r="AS108" s="230">
        <v>1071</v>
      </c>
      <c r="AT108" s="228">
        <v>631</v>
      </c>
      <c r="AU108" s="228">
        <v>440</v>
      </c>
      <c r="AV108" s="229">
        <v>0.69720000000000004</v>
      </c>
      <c r="AW108" s="228">
        <v>756</v>
      </c>
      <c r="AX108" s="228">
        <v>435</v>
      </c>
      <c r="AY108" s="228">
        <v>321</v>
      </c>
      <c r="AZ108" s="229">
        <v>0.73709999999999998</v>
      </c>
      <c r="BA108" s="228">
        <v>259</v>
      </c>
      <c r="BB108" s="228">
        <v>126</v>
      </c>
      <c r="BC108" s="228">
        <v>133</v>
      </c>
      <c r="BD108" s="229">
        <v>1.0586</v>
      </c>
      <c r="BE108" s="228">
        <v>57</v>
      </c>
      <c r="BF108" s="228">
        <v>70</v>
      </c>
      <c r="BG108" s="228">
        <v>-14</v>
      </c>
      <c r="BH108" s="229">
        <v>-0.1946</v>
      </c>
      <c r="BI108" s="230">
        <v>3094</v>
      </c>
      <c r="BJ108" s="230">
        <v>1171</v>
      </c>
      <c r="BK108" s="230">
        <v>1922</v>
      </c>
      <c r="BL108" s="229">
        <v>1.6411</v>
      </c>
      <c r="BM108" s="230">
        <v>1038</v>
      </c>
      <c r="BN108" s="228">
        <v>542</v>
      </c>
      <c r="BO108" s="228">
        <v>496</v>
      </c>
      <c r="BP108" s="229">
        <v>0.9143</v>
      </c>
      <c r="BQ108" s="230">
        <v>5203</v>
      </c>
      <c r="BR108" s="230">
        <v>2345</v>
      </c>
      <c r="BS108" s="230">
        <v>2858</v>
      </c>
      <c r="BT108" s="229">
        <v>1.2190000000000001</v>
      </c>
      <c r="BU108" s="230">
        <v>54250757</v>
      </c>
      <c r="BV108" s="230">
        <v>27359017</v>
      </c>
      <c r="BW108" s="230">
        <v>26891740</v>
      </c>
      <c r="BX108" s="229">
        <v>0.9829</v>
      </c>
      <c r="BY108" s="230">
        <v>4155</v>
      </c>
      <c r="BZ108" s="230">
        <v>3761</v>
      </c>
      <c r="CA108" s="228">
        <v>393</v>
      </c>
      <c r="CB108" s="229">
        <v>0.1045</v>
      </c>
      <c r="CC108" s="230">
        <v>3253</v>
      </c>
      <c r="CD108" s="230">
        <v>3074</v>
      </c>
      <c r="CE108" s="228">
        <v>179</v>
      </c>
      <c r="CF108" s="229">
        <v>5.8400000000000001E-2</v>
      </c>
      <c r="CG108" s="228">
        <v>755</v>
      </c>
      <c r="CH108" s="228">
        <v>586</v>
      </c>
      <c r="CI108" s="228">
        <v>169</v>
      </c>
      <c r="CJ108" s="229">
        <v>0.2888</v>
      </c>
      <c r="CK108" s="228">
        <v>147</v>
      </c>
      <c r="CL108" s="228">
        <v>102</v>
      </c>
      <c r="CM108" s="228">
        <v>45</v>
      </c>
      <c r="CN108" s="229">
        <v>0.43690000000000001</v>
      </c>
      <c r="CO108" s="230">
        <v>1691</v>
      </c>
      <c r="CP108" s="230">
        <v>1245</v>
      </c>
      <c r="CQ108" s="228">
        <v>445</v>
      </c>
      <c r="CR108" s="229">
        <v>0.35770000000000002</v>
      </c>
      <c r="CS108" s="230">
        <v>1137</v>
      </c>
      <c r="CT108" s="228">
        <v>909</v>
      </c>
      <c r="CU108" s="228">
        <v>228</v>
      </c>
      <c r="CV108" s="229">
        <v>0.25119999999999998</v>
      </c>
      <c r="CW108" s="230">
        <v>6982</v>
      </c>
      <c r="CX108" s="230">
        <v>5915</v>
      </c>
      <c r="CY108" s="230">
        <v>1067</v>
      </c>
      <c r="CZ108" s="229">
        <v>0.1804</v>
      </c>
      <c r="DA108" s="228">
        <v>40.93</v>
      </c>
      <c r="DB108" s="228">
        <v>39.72</v>
      </c>
      <c r="DC108" s="228">
        <v>1.21</v>
      </c>
      <c r="DD108" s="228">
        <v>1.21</v>
      </c>
      <c r="DE108" s="228">
        <v>37.39</v>
      </c>
      <c r="DF108" s="228">
        <v>37.450000000000003</v>
      </c>
      <c r="DG108" s="228">
        <v>3.54</v>
      </c>
      <c r="DH108" s="228">
        <v>-0.06</v>
      </c>
      <c r="DI108" s="228">
        <v>41.02</v>
      </c>
      <c r="DJ108" s="228">
        <v>39.6</v>
      </c>
      <c r="DK108" s="228">
        <v>1.42</v>
      </c>
      <c r="DL108" s="228">
        <v>1.42</v>
      </c>
      <c r="DM108" s="228">
        <v>40.65</v>
      </c>
      <c r="DN108" s="228">
        <v>40</v>
      </c>
      <c r="DO108" s="228">
        <v>0.65</v>
      </c>
      <c r="DP108" s="228">
        <v>0.65</v>
      </c>
      <c r="DQ108" s="228">
        <v>0.67</v>
      </c>
      <c r="DR108" s="228">
        <v>0.73</v>
      </c>
      <c r="DS108" s="228">
        <v>-0.06</v>
      </c>
      <c r="DT108" s="229">
        <v>-8.2199999999999995E-2</v>
      </c>
      <c r="DU108" s="228">
        <v>250</v>
      </c>
      <c r="DV108" s="228">
        <v>240</v>
      </c>
      <c r="DW108" s="228">
        <v>0.34</v>
      </c>
      <c r="DX108" s="228">
        <v>0.46</v>
      </c>
      <c r="DY108" s="228">
        <v>-0.12</v>
      </c>
      <c r="DZ108" s="229">
        <v>-0.26090000000000002</v>
      </c>
      <c r="EA108" s="229">
        <v>0.217</v>
      </c>
      <c r="EB108" s="230">
        <v>28120100</v>
      </c>
      <c r="EC108" s="229">
        <v>4.8999999999999998E-3</v>
      </c>
      <c r="ED108" s="229">
        <v>0.217</v>
      </c>
      <c r="EE108" s="228">
        <v>1.1000000000000001</v>
      </c>
      <c r="EF108" s="229">
        <v>4.4999999999999997E-3</v>
      </c>
      <c r="EG108" s="230">
        <v>33884357</v>
      </c>
      <c r="EH108" s="230">
        <v>12901031</v>
      </c>
      <c r="EI108" s="229">
        <v>1.6265000000000001</v>
      </c>
      <c r="EJ108" s="229">
        <v>0.62460000000000004</v>
      </c>
      <c r="EK108" s="231">
        <v>3264.98</v>
      </c>
      <c r="EL108" s="231">
        <v>1017.93</v>
      </c>
      <c r="EM108" s="231">
        <v>1068.79</v>
      </c>
      <c r="EN108" s="228">
        <v>69.89</v>
      </c>
      <c r="EO108" s="231">
        <v>5351.69</v>
      </c>
      <c r="EP108" s="231">
        <v>2380.12</v>
      </c>
      <c r="EQ108" s="231">
        <v>2971.58</v>
      </c>
      <c r="ER108" s="229">
        <v>1.2484999999999999</v>
      </c>
      <c r="ES108" s="231">
        <v>1764.2</v>
      </c>
      <c r="ET108" s="231">
        <v>1127.95</v>
      </c>
      <c r="EU108" s="231">
        <v>4160.18</v>
      </c>
      <c r="EV108" s="231">
        <v>490240515</v>
      </c>
      <c r="EW108" s="231">
        <v>7052.34</v>
      </c>
      <c r="EX108" s="231">
        <v>5925.62</v>
      </c>
      <c r="EY108" s="231">
        <v>1126.72</v>
      </c>
      <c r="EZ108" s="229">
        <v>0.19009999999999999</v>
      </c>
      <c r="FA108" s="229">
        <v>0.58230000000000004</v>
      </c>
      <c r="FB108" s="227" t="s">
        <v>555</v>
      </c>
      <c r="FC108">
        <f t="shared" si="1"/>
        <v>902</v>
      </c>
    </row>
    <row r="109" spans="1:159" ht="17.25" thickBot="1" x14ac:dyDescent="0.3">
      <c r="A109" s="226">
        <v>46129</v>
      </c>
      <c r="B109" s="227" t="s">
        <v>161</v>
      </c>
      <c r="C109" s="227" t="s">
        <v>579</v>
      </c>
      <c r="D109" s="228">
        <v>1000</v>
      </c>
      <c r="E109" s="228">
        <v>11</v>
      </c>
      <c r="F109" s="228">
        <v>538.1</v>
      </c>
      <c r="G109" s="228">
        <v>535.95000000000005</v>
      </c>
      <c r="H109" s="228">
        <v>2.15</v>
      </c>
      <c r="I109" s="229">
        <v>4.0000000000000001E-3</v>
      </c>
      <c r="J109" s="228">
        <v>538.04999999999995</v>
      </c>
      <c r="K109" s="228">
        <v>535.95000000000005</v>
      </c>
      <c r="L109" s="228">
        <v>2.1</v>
      </c>
      <c r="M109" s="229">
        <v>3.8999999999999998E-3</v>
      </c>
      <c r="N109" s="228">
        <v>538.1</v>
      </c>
      <c r="O109" s="228">
        <v>535.95000000000005</v>
      </c>
      <c r="P109" s="228">
        <v>2.15</v>
      </c>
      <c r="Q109" s="229">
        <v>4.0000000000000001E-3</v>
      </c>
      <c r="R109" s="228">
        <v>541.5</v>
      </c>
      <c r="S109" s="228">
        <v>538.9</v>
      </c>
      <c r="T109" s="228">
        <v>2.6</v>
      </c>
      <c r="U109" s="229">
        <v>4.7999999999999996E-3</v>
      </c>
      <c r="V109" s="228">
        <v>541</v>
      </c>
      <c r="W109" s="228">
        <v>540.29999999999995</v>
      </c>
      <c r="X109" s="228">
        <v>0.7</v>
      </c>
      <c r="Y109" s="229">
        <v>1.2999999999999999E-3</v>
      </c>
      <c r="Z109" s="228">
        <v>0.05</v>
      </c>
      <c r="AA109" s="228">
        <v>0</v>
      </c>
      <c r="AB109" s="228">
        <v>0.05</v>
      </c>
      <c r="AC109" s="229">
        <v>1E-4</v>
      </c>
      <c r="AD109" s="228">
        <v>0.05</v>
      </c>
      <c r="AE109" s="228">
        <v>0</v>
      </c>
      <c r="AF109" s="228">
        <v>0.05</v>
      </c>
      <c r="AG109" s="229">
        <v>1E-4</v>
      </c>
      <c r="AH109" s="228">
        <v>3.45</v>
      </c>
      <c r="AI109" s="228">
        <v>2.95</v>
      </c>
      <c r="AJ109" s="228">
        <v>0.5</v>
      </c>
      <c r="AK109" s="229">
        <v>6.4000000000000003E-3</v>
      </c>
      <c r="AL109" s="228">
        <v>2.95</v>
      </c>
      <c r="AM109" s="228">
        <v>4.3499999999999996</v>
      </c>
      <c r="AN109" s="228">
        <v>-1.4</v>
      </c>
      <c r="AO109" s="229">
        <v>5.4999999999999997E-3</v>
      </c>
      <c r="AP109" s="228">
        <v>537.75</v>
      </c>
      <c r="AQ109" s="228">
        <v>540.57000000000005</v>
      </c>
      <c r="AR109" s="228">
        <v>0</v>
      </c>
      <c r="AS109" s="228">
        <v>196</v>
      </c>
      <c r="AT109" s="228">
        <v>279</v>
      </c>
      <c r="AU109" s="228">
        <v>-83</v>
      </c>
      <c r="AV109" s="229">
        <v>-0.2974</v>
      </c>
      <c r="AW109" s="228">
        <v>175</v>
      </c>
      <c r="AX109" s="228">
        <v>257</v>
      </c>
      <c r="AY109" s="228">
        <v>-82</v>
      </c>
      <c r="AZ109" s="229">
        <v>-0.31840000000000002</v>
      </c>
      <c r="BA109" s="228">
        <v>20</v>
      </c>
      <c r="BB109" s="228">
        <v>22</v>
      </c>
      <c r="BC109" s="228">
        <v>-1</v>
      </c>
      <c r="BD109" s="229">
        <v>-5.2400000000000002E-2</v>
      </c>
      <c r="BE109" s="228">
        <v>1</v>
      </c>
      <c r="BF109" s="228">
        <v>1</v>
      </c>
      <c r="BG109" s="228">
        <v>0</v>
      </c>
      <c r="BH109" s="229">
        <v>-0.16669999999999999</v>
      </c>
      <c r="BI109" s="228">
        <v>436</v>
      </c>
      <c r="BJ109" s="228">
        <v>664</v>
      </c>
      <c r="BK109" s="228">
        <v>-228</v>
      </c>
      <c r="BL109" s="229">
        <v>-0.34360000000000002</v>
      </c>
      <c r="BM109" s="228">
        <v>232</v>
      </c>
      <c r="BN109" s="228">
        <v>383</v>
      </c>
      <c r="BO109" s="228">
        <v>-150</v>
      </c>
      <c r="BP109" s="229">
        <v>-0.39329999999999998</v>
      </c>
      <c r="BQ109" s="228">
        <v>864</v>
      </c>
      <c r="BR109" s="230">
        <v>1326</v>
      </c>
      <c r="BS109" s="228">
        <v>-462</v>
      </c>
      <c r="BT109" s="229">
        <v>-0.34820000000000001</v>
      </c>
      <c r="BU109" s="230">
        <v>3744802</v>
      </c>
      <c r="BV109" s="230">
        <v>5753133</v>
      </c>
      <c r="BW109" s="230">
        <v>-2008331</v>
      </c>
      <c r="BX109" s="229">
        <v>-0.34910000000000002</v>
      </c>
      <c r="BY109" s="230">
        <v>1447</v>
      </c>
      <c r="BZ109" s="230">
        <v>1470</v>
      </c>
      <c r="CA109" s="228">
        <v>-23</v>
      </c>
      <c r="CB109" s="229">
        <v>-1.5699999999999999E-2</v>
      </c>
      <c r="CC109" s="230">
        <v>1403</v>
      </c>
      <c r="CD109" s="230">
        <v>1435</v>
      </c>
      <c r="CE109" s="228">
        <v>-32</v>
      </c>
      <c r="CF109" s="229">
        <v>-2.23E-2</v>
      </c>
      <c r="CG109" s="228">
        <v>42</v>
      </c>
      <c r="CH109" s="228">
        <v>33</v>
      </c>
      <c r="CI109" s="228">
        <v>9</v>
      </c>
      <c r="CJ109" s="229">
        <v>0.25729999999999997</v>
      </c>
      <c r="CK109" s="228">
        <v>2</v>
      </c>
      <c r="CL109" s="228">
        <v>1</v>
      </c>
      <c r="CM109" s="228">
        <v>0</v>
      </c>
      <c r="CN109" s="229">
        <v>0.28000000000000003</v>
      </c>
      <c r="CO109" s="228">
        <v>372</v>
      </c>
      <c r="CP109" s="228">
        <v>350</v>
      </c>
      <c r="CQ109" s="228">
        <v>22</v>
      </c>
      <c r="CR109" s="229">
        <v>6.2100000000000002E-2</v>
      </c>
      <c r="CS109" s="228">
        <v>255</v>
      </c>
      <c r="CT109" s="228">
        <v>276</v>
      </c>
      <c r="CU109" s="228">
        <v>-21</v>
      </c>
      <c r="CV109" s="229">
        <v>-7.4800000000000005E-2</v>
      </c>
      <c r="CW109" s="230">
        <v>2074</v>
      </c>
      <c r="CX109" s="230">
        <v>2096</v>
      </c>
      <c r="CY109" s="228">
        <v>-22</v>
      </c>
      <c r="CZ109" s="229">
        <v>-1.0500000000000001E-2</v>
      </c>
      <c r="DA109" s="228">
        <v>33.96</v>
      </c>
      <c r="DB109" s="228">
        <v>35.83</v>
      </c>
      <c r="DC109" s="228">
        <v>-1.87</v>
      </c>
      <c r="DD109" s="228">
        <v>-1.87</v>
      </c>
      <c r="DE109" s="228">
        <v>42.9</v>
      </c>
      <c r="DF109" s="228">
        <v>43</v>
      </c>
      <c r="DG109" s="228">
        <v>-8.94</v>
      </c>
      <c r="DH109" s="228">
        <v>-0.1</v>
      </c>
      <c r="DI109" s="228">
        <v>32.840000000000003</v>
      </c>
      <c r="DJ109" s="228">
        <v>35.01</v>
      </c>
      <c r="DK109" s="228">
        <v>-2.17</v>
      </c>
      <c r="DL109" s="228">
        <v>-2.17</v>
      </c>
      <c r="DM109" s="228">
        <v>36.07</v>
      </c>
      <c r="DN109" s="228">
        <v>37.270000000000003</v>
      </c>
      <c r="DO109" s="228">
        <v>-1.2</v>
      </c>
      <c r="DP109" s="228">
        <v>-1.2</v>
      </c>
      <c r="DQ109" s="228">
        <v>0.69</v>
      </c>
      <c r="DR109" s="228">
        <v>0.79</v>
      </c>
      <c r="DS109" s="228">
        <v>-0.1</v>
      </c>
      <c r="DT109" s="229">
        <v>-0.12659999999999999</v>
      </c>
      <c r="DU109" s="228">
        <v>530</v>
      </c>
      <c r="DV109" s="228">
        <v>530</v>
      </c>
      <c r="DW109" s="228">
        <v>0.53</v>
      </c>
      <c r="DX109" s="228">
        <v>0.57999999999999996</v>
      </c>
      <c r="DY109" s="228">
        <v>-0.05</v>
      </c>
      <c r="DZ109" s="229">
        <v>-8.6199999999999999E-2</v>
      </c>
      <c r="EA109" s="229">
        <v>2.9899999999999999E-2</v>
      </c>
      <c r="EB109" s="230">
        <v>639000</v>
      </c>
      <c r="EC109" s="229">
        <v>6.3E-3</v>
      </c>
      <c r="ED109" s="229">
        <v>2.9899999999999999E-2</v>
      </c>
      <c r="EE109" s="228">
        <v>2.82</v>
      </c>
      <c r="EF109" s="229">
        <v>5.1999999999999998E-3</v>
      </c>
      <c r="EG109" s="230">
        <v>1922637</v>
      </c>
      <c r="EH109" s="230">
        <v>2546473</v>
      </c>
      <c r="EI109" s="229">
        <v>-0.245</v>
      </c>
      <c r="EJ109" s="229">
        <v>0.51339999999999997</v>
      </c>
      <c r="EK109" s="228">
        <v>451.49</v>
      </c>
      <c r="EL109" s="228">
        <v>223.69</v>
      </c>
      <c r="EM109" s="228">
        <v>196.18</v>
      </c>
      <c r="EN109" s="228">
        <v>58.21</v>
      </c>
      <c r="EO109" s="228">
        <v>871.35</v>
      </c>
      <c r="EP109" s="231">
        <v>1324.11</v>
      </c>
      <c r="EQ109" s="228">
        <v>-452.76</v>
      </c>
      <c r="ER109" s="229">
        <v>-0.34189999999999998</v>
      </c>
      <c r="ES109" s="228">
        <v>366.18</v>
      </c>
      <c r="ET109" s="228">
        <v>237.33</v>
      </c>
      <c r="EU109" s="231">
        <v>1446.9</v>
      </c>
      <c r="EV109" s="231">
        <v>75294901</v>
      </c>
      <c r="EW109" s="231">
        <v>2050.4</v>
      </c>
      <c r="EX109" s="231">
        <v>2062.06</v>
      </c>
      <c r="EY109" s="228">
        <v>-11.66</v>
      </c>
      <c r="EZ109" s="229">
        <v>-5.7000000000000002E-3</v>
      </c>
      <c r="FA109" s="229">
        <v>0.51190000000000002</v>
      </c>
      <c r="FB109" s="227" t="s">
        <v>693</v>
      </c>
      <c r="FC109">
        <f t="shared" si="1"/>
        <v>44</v>
      </c>
    </row>
    <row r="110" spans="1:159" ht="17.25" thickBot="1" x14ac:dyDescent="0.3">
      <c r="A110" s="226">
        <v>46129</v>
      </c>
      <c r="B110" s="227" t="s">
        <v>227</v>
      </c>
      <c r="C110" s="227" t="s">
        <v>244</v>
      </c>
      <c r="D110" s="228">
        <v>675</v>
      </c>
      <c r="E110" s="228">
        <v>11</v>
      </c>
      <c r="F110" s="231">
        <v>1240.2</v>
      </c>
      <c r="G110" s="231">
        <v>1217.3</v>
      </c>
      <c r="H110" s="228">
        <v>22.9</v>
      </c>
      <c r="I110" s="229">
        <v>1.8800000000000001E-2</v>
      </c>
      <c r="J110" s="231">
        <v>1240.3</v>
      </c>
      <c r="K110" s="231">
        <v>1214.9000000000001</v>
      </c>
      <c r="L110" s="228">
        <v>25.4</v>
      </c>
      <c r="M110" s="229">
        <v>2.0899999999999998E-2</v>
      </c>
      <c r="N110" s="231">
        <v>1240.2</v>
      </c>
      <c r="O110" s="231">
        <v>1217.3</v>
      </c>
      <c r="P110" s="228">
        <v>22.9</v>
      </c>
      <c r="Q110" s="229">
        <v>1.8800000000000001E-2</v>
      </c>
      <c r="R110" s="231">
        <v>1247.5999999999999</v>
      </c>
      <c r="S110" s="231">
        <v>1224.2</v>
      </c>
      <c r="T110" s="228">
        <v>23.4</v>
      </c>
      <c r="U110" s="229">
        <v>1.9099999999999999E-2</v>
      </c>
      <c r="V110" s="231">
        <v>1254.4000000000001</v>
      </c>
      <c r="W110" s="231">
        <v>1229.3</v>
      </c>
      <c r="X110" s="228">
        <v>25.1</v>
      </c>
      <c r="Y110" s="229">
        <v>2.0400000000000001E-2</v>
      </c>
      <c r="Z110" s="228">
        <v>-0.1</v>
      </c>
      <c r="AA110" s="228">
        <v>2.4</v>
      </c>
      <c r="AB110" s="228">
        <v>-2.5</v>
      </c>
      <c r="AC110" s="229">
        <v>-1E-4</v>
      </c>
      <c r="AD110" s="228">
        <v>-0.1</v>
      </c>
      <c r="AE110" s="228">
        <v>2.4</v>
      </c>
      <c r="AF110" s="228">
        <v>-2.5</v>
      </c>
      <c r="AG110" s="229">
        <v>-1E-4</v>
      </c>
      <c r="AH110" s="228">
        <v>7.3</v>
      </c>
      <c r="AI110" s="228">
        <v>9.3000000000000007</v>
      </c>
      <c r="AJ110" s="228">
        <v>-2</v>
      </c>
      <c r="AK110" s="229">
        <v>5.8999999999999999E-3</v>
      </c>
      <c r="AL110" s="228">
        <v>14.1</v>
      </c>
      <c r="AM110" s="228">
        <v>14.4</v>
      </c>
      <c r="AN110" s="228">
        <v>-0.3</v>
      </c>
      <c r="AO110" s="229">
        <v>1.14E-2</v>
      </c>
      <c r="AP110" s="231">
        <v>1231.95</v>
      </c>
      <c r="AQ110" s="231">
        <v>1242.3900000000001</v>
      </c>
      <c r="AR110" s="228">
        <v>0</v>
      </c>
      <c r="AS110" s="228">
        <v>669</v>
      </c>
      <c r="AT110" s="228">
        <v>502</v>
      </c>
      <c r="AU110" s="228">
        <v>167</v>
      </c>
      <c r="AV110" s="229">
        <v>0.33289999999999997</v>
      </c>
      <c r="AW110" s="228">
        <v>472</v>
      </c>
      <c r="AX110" s="228">
        <v>421</v>
      </c>
      <c r="AY110" s="228">
        <v>51</v>
      </c>
      <c r="AZ110" s="229">
        <v>0.1216</v>
      </c>
      <c r="BA110" s="228">
        <v>196</v>
      </c>
      <c r="BB110" s="228">
        <v>79</v>
      </c>
      <c r="BC110" s="228">
        <v>116</v>
      </c>
      <c r="BD110" s="229">
        <v>1.4678</v>
      </c>
      <c r="BE110" s="228">
        <v>1</v>
      </c>
      <c r="BF110" s="228">
        <v>2</v>
      </c>
      <c r="BG110" s="228">
        <v>0</v>
      </c>
      <c r="BH110" s="229">
        <v>-0.25</v>
      </c>
      <c r="BI110" s="230">
        <v>1333</v>
      </c>
      <c r="BJ110" s="230">
        <v>1038</v>
      </c>
      <c r="BK110" s="228">
        <v>295</v>
      </c>
      <c r="BL110" s="229">
        <v>0.28420000000000001</v>
      </c>
      <c r="BM110" s="228">
        <v>662</v>
      </c>
      <c r="BN110" s="228">
        <v>493</v>
      </c>
      <c r="BO110" s="228">
        <v>170</v>
      </c>
      <c r="BP110" s="229">
        <v>0.34410000000000002</v>
      </c>
      <c r="BQ110" s="230">
        <v>2665</v>
      </c>
      <c r="BR110" s="230">
        <v>2033</v>
      </c>
      <c r="BS110" s="228">
        <v>632</v>
      </c>
      <c r="BT110" s="229">
        <v>0.31069999999999998</v>
      </c>
      <c r="BU110" s="230">
        <v>1941439</v>
      </c>
      <c r="BV110" s="230">
        <v>2823610</v>
      </c>
      <c r="BW110" s="230">
        <v>-882171</v>
      </c>
      <c r="BX110" s="229">
        <v>-0.31240000000000001</v>
      </c>
      <c r="BY110" s="230">
        <v>6197</v>
      </c>
      <c r="BZ110" s="230">
        <v>6220</v>
      </c>
      <c r="CA110" s="228">
        <v>-23</v>
      </c>
      <c r="CB110" s="229">
        <v>-3.7000000000000002E-3</v>
      </c>
      <c r="CC110" s="230">
        <v>5404</v>
      </c>
      <c r="CD110" s="230">
        <v>5593</v>
      </c>
      <c r="CE110" s="228">
        <v>-189</v>
      </c>
      <c r="CF110" s="229">
        <v>-3.39E-2</v>
      </c>
      <c r="CG110" s="228">
        <v>780</v>
      </c>
      <c r="CH110" s="228">
        <v>614</v>
      </c>
      <c r="CI110" s="228">
        <v>166</v>
      </c>
      <c r="CJ110" s="229">
        <v>0.27110000000000001</v>
      </c>
      <c r="CK110" s="228">
        <v>12</v>
      </c>
      <c r="CL110" s="228">
        <v>12</v>
      </c>
      <c r="CM110" s="228">
        <v>0</v>
      </c>
      <c r="CN110" s="229">
        <v>6.7999999999999996E-3</v>
      </c>
      <c r="CO110" s="228">
        <v>716</v>
      </c>
      <c r="CP110" s="228">
        <v>831</v>
      </c>
      <c r="CQ110" s="228">
        <v>-115</v>
      </c>
      <c r="CR110" s="229">
        <v>-0.13789999999999999</v>
      </c>
      <c r="CS110" s="228">
        <v>689</v>
      </c>
      <c r="CT110" s="228">
        <v>680</v>
      </c>
      <c r="CU110" s="228">
        <v>9</v>
      </c>
      <c r="CV110" s="229">
        <v>1.38E-2</v>
      </c>
      <c r="CW110" s="230">
        <v>7602</v>
      </c>
      <c r="CX110" s="230">
        <v>7730</v>
      </c>
      <c r="CY110" s="228">
        <v>-128</v>
      </c>
      <c r="CZ110" s="229">
        <v>-1.66E-2</v>
      </c>
      <c r="DA110" s="228">
        <v>27.63</v>
      </c>
      <c r="DB110" s="228">
        <v>29.39</v>
      </c>
      <c r="DC110" s="228">
        <v>-1.76</v>
      </c>
      <c r="DD110" s="228">
        <v>-1.76</v>
      </c>
      <c r="DE110" s="228">
        <v>32.08</v>
      </c>
      <c r="DF110" s="228">
        <v>32.06</v>
      </c>
      <c r="DG110" s="228">
        <v>-4.45</v>
      </c>
      <c r="DH110" s="228">
        <v>0.02</v>
      </c>
      <c r="DI110" s="228">
        <v>26.39</v>
      </c>
      <c r="DJ110" s="228">
        <v>28.55</v>
      </c>
      <c r="DK110" s="228">
        <v>-2.16</v>
      </c>
      <c r="DL110" s="228">
        <v>-2.16</v>
      </c>
      <c r="DM110" s="228">
        <v>30.12</v>
      </c>
      <c r="DN110" s="228">
        <v>31.16</v>
      </c>
      <c r="DO110" s="228">
        <v>-1.04</v>
      </c>
      <c r="DP110" s="228">
        <v>-1.04</v>
      </c>
      <c r="DQ110" s="228">
        <v>0.96</v>
      </c>
      <c r="DR110" s="228">
        <v>0.82</v>
      </c>
      <c r="DS110" s="228">
        <v>0.14000000000000001</v>
      </c>
      <c r="DT110" s="229">
        <v>0.17069999999999999</v>
      </c>
      <c r="DU110" s="231">
        <v>1300</v>
      </c>
      <c r="DV110" s="231">
        <v>1100</v>
      </c>
      <c r="DW110" s="228">
        <v>0.5</v>
      </c>
      <c r="DX110" s="228">
        <v>0.47</v>
      </c>
      <c r="DY110" s="228">
        <v>0.03</v>
      </c>
      <c r="DZ110" s="229">
        <v>6.3799999999999996E-2</v>
      </c>
      <c r="EA110" s="229">
        <v>0.12790000000000001</v>
      </c>
      <c r="EB110" s="230">
        <v>5049000</v>
      </c>
      <c r="EC110" s="229">
        <v>6.0000000000000001E-3</v>
      </c>
      <c r="ED110" s="229">
        <v>0.12790000000000001</v>
      </c>
      <c r="EE110" s="228">
        <v>10.44</v>
      </c>
      <c r="EF110" s="229">
        <v>8.5000000000000006E-3</v>
      </c>
      <c r="EG110" s="230">
        <v>890179</v>
      </c>
      <c r="EH110" s="230">
        <v>1535729</v>
      </c>
      <c r="EI110" s="229">
        <v>-0.4204</v>
      </c>
      <c r="EJ110" s="229">
        <v>0.45850000000000002</v>
      </c>
      <c r="EK110" s="231">
        <v>1361.08</v>
      </c>
      <c r="EL110" s="228">
        <v>640.51</v>
      </c>
      <c r="EM110" s="228">
        <v>666.5</v>
      </c>
      <c r="EN110" s="228">
        <v>42.11</v>
      </c>
      <c r="EO110" s="231">
        <v>2668.09</v>
      </c>
      <c r="EP110" s="231">
        <v>2031.12</v>
      </c>
      <c r="EQ110" s="228">
        <v>636.97</v>
      </c>
      <c r="ER110" s="229">
        <v>0.31359999999999999</v>
      </c>
      <c r="ES110" s="228">
        <v>714.12</v>
      </c>
      <c r="ET110" s="228">
        <v>625.07000000000005</v>
      </c>
      <c r="EU110" s="231">
        <v>6201.52</v>
      </c>
      <c r="EV110" s="231">
        <v>133242960</v>
      </c>
      <c r="EW110" s="231">
        <v>7540.71</v>
      </c>
      <c r="EX110" s="231">
        <v>7543.29</v>
      </c>
      <c r="EY110" s="228">
        <v>-2.58</v>
      </c>
      <c r="EZ110" s="229">
        <v>-2.9999999999999997E-4</v>
      </c>
      <c r="FA110" s="229">
        <v>0.46</v>
      </c>
      <c r="FB110" s="227" t="s">
        <v>693</v>
      </c>
      <c r="FC110">
        <f t="shared" si="1"/>
        <v>793</v>
      </c>
    </row>
    <row r="111" spans="1:159" ht="17.25" thickBot="1" x14ac:dyDescent="0.3">
      <c r="A111" s="226">
        <v>46129</v>
      </c>
      <c r="B111" s="227" t="s">
        <v>168</v>
      </c>
      <c r="C111" s="227" t="s">
        <v>245</v>
      </c>
      <c r="D111" s="228">
        <v>1250</v>
      </c>
      <c r="E111" s="228">
        <v>11</v>
      </c>
      <c r="F111" s="228">
        <v>458.8</v>
      </c>
      <c r="G111" s="228">
        <v>458.95</v>
      </c>
      <c r="H111" s="228">
        <v>-0.15</v>
      </c>
      <c r="I111" s="229">
        <v>-2.9999999999999997E-4</v>
      </c>
      <c r="J111" s="228">
        <v>458.95</v>
      </c>
      <c r="K111" s="228">
        <v>459.65</v>
      </c>
      <c r="L111" s="228">
        <v>-0.7</v>
      </c>
      <c r="M111" s="229">
        <v>-1.5E-3</v>
      </c>
      <c r="N111" s="228">
        <v>458.8</v>
      </c>
      <c r="O111" s="228">
        <v>458.95</v>
      </c>
      <c r="P111" s="228">
        <v>-0.15</v>
      </c>
      <c r="Q111" s="229">
        <v>-2.9999999999999997E-4</v>
      </c>
      <c r="R111" s="228">
        <v>446.15</v>
      </c>
      <c r="S111" s="228">
        <v>447</v>
      </c>
      <c r="T111" s="228">
        <v>-0.85</v>
      </c>
      <c r="U111" s="229">
        <v>-1.9E-3</v>
      </c>
      <c r="V111" s="228">
        <v>436.85</v>
      </c>
      <c r="W111" s="228">
        <v>439.5</v>
      </c>
      <c r="X111" s="228">
        <v>-2.65</v>
      </c>
      <c r="Y111" s="229">
        <v>-6.0000000000000001E-3</v>
      </c>
      <c r="Z111" s="228">
        <v>-0.15</v>
      </c>
      <c r="AA111" s="228">
        <v>-0.7</v>
      </c>
      <c r="AB111" s="228">
        <v>0.55000000000000004</v>
      </c>
      <c r="AC111" s="229">
        <v>-2.9999999999999997E-4</v>
      </c>
      <c r="AD111" s="228">
        <v>-0.15</v>
      </c>
      <c r="AE111" s="228">
        <v>-0.7</v>
      </c>
      <c r="AF111" s="228">
        <v>0.55000000000000004</v>
      </c>
      <c r="AG111" s="229">
        <v>-2.9999999999999997E-4</v>
      </c>
      <c r="AH111" s="228">
        <v>-12.8</v>
      </c>
      <c r="AI111" s="228">
        <v>-12.65</v>
      </c>
      <c r="AJ111" s="228">
        <v>-0.15</v>
      </c>
      <c r="AK111" s="229">
        <v>-2.7900000000000001E-2</v>
      </c>
      <c r="AL111" s="228">
        <v>-22.1</v>
      </c>
      <c r="AM111" s="228">
        <v>-20.149999999999999</v>
      </c>
      <c r="AN111" s="228">
        <v>-1.95</v>
      </c>
      <c r="AO111" s="229">
        <v>-4.82E-2</v>
      </c>
      <c r="AP111" s="228">
        <v>457.73</v>
      </c>
      <c r="AQ111" s="228">
        <v>444.75</v>
      </c>
      <c r="AR111" s="228">
        <v>0</v>
      </c>
      <c r="AS111" s="228">
        <v>419</v>
      </c>
      <c r="AT111" s="228">
        <v>487</v>
      </c>
      <c r="AU111" s="228">
        <v>-68</v>
      </c>
      <c r="AV111" s="229">
        <v>-0.13919999999999999</v>
      </c>
      <c r="AW111" s="228">
        <v>303</v>
      </c>
      <c r="AX111" s="228">
        <v>310</v>
      </c>
      <c r="AY111" s="228">
        <v>-7</v>
      </c>
      <c r="AZ111" s="229">
        <v>-2.1999999999999999E-2</v>
      </c>
      <c r="BA111" s="228">
        <v>104</v>
      </c>
      <c r="BB111" s="228">
        <v>169</v>
      </c>
      <c r="BC111" s="228">
        <v>-65</v>
      </c>
      <c r="BD111" s="229">
        <v>-0.38469999999999999</v>
      </c>
      <c r="BE111" s="228">
        <v>12</v>
      </c>
      <c r="BF111" s="228">
        <v>7</v>
      </c>
      <c r="BG111" s="228">
        <v>4</v>
      </c>
      <c r="BH111" s="229">
        <v>0.5615</v>
      </c>
      <c r="BI111" s="230">
        <v>1004</v>
      </c>
      <c r="BJ111" s="228">
        <v>653</v>
      </c>
      <c r="BK111" s="228">
        <v>352</v>
      </c>
      <c r="BL111" s="229">
        <v>0.53849999999999998</v>
      </c>
      <c r="BM111" s="228">
        <v>394</v>
      </c>
      <c r="BN111" s="228">
        <v>256</v>
      </c>
      <c r="BO111" s="228">
        <v>138</v>
      </c>
      <c r="BP111" s="229">
        <v>0.53820000000000001</v>
      </c>
      <c r="BQ111" s="230">
        <v>1818</v>
      </c>
      <c r="BR111" s="230">
        <v>1396</v>
      </c>
      <c r="BS111" s="228">
        <v>422</v>
      </c>
      <c r="BT111" s="229">
        <v>0.30199999999999999</v>
      </c>
      <c r="BU111" s="230">
        <v>2866144</v>
      </c>
      <c r="BV111" s="230">
        <v>2196468</v>
      </c>
      <c r="BW111" s="230">
        <v>669676</v>
      </c>
      <c r="BX111" s="229">
        <v>0.3049</v>
      </c>
      <c r="BY111" s="230">
        <v>2352</v>
      </c>
      <c r="BZ111" s="230">
        <v>2301</v>
      </c>
      <c r="CA111" s="228">
        <v>52</v>
      </c>
      <c r="CB111" s="229">
        <v>2.24E-2</v>
      </c>
      <c r="CC111" s="230">
        <v>1688</v>
      </c>
      <c r="CD111" s="230">
        <v>1682</v>
      </c>
      <c r="CE111" s="228">
        <v>7</v>
      </c>
      <c r="CF111" s="229">
        <v>3.8999999999999998E-3</v>
      </c>
      <c r="CG111" s="228">
        <v>635</v>
      </c>
      <c r="CH111" s="228">
        <v>593</v>
      </c>
      <c r="CI111" s="228">
        <v>42</v>
      </c>
      <c r="CJ111" s="229">
        <v>7.1499999999999994E-2</v>
      </c>
      <c r="CK111" s="228">
        <v>29</v>
      </c>
      <c r="CL111" s="228">
        <v>27</v>
      </c>
      <c r="CM111" s="228">
        <v>3</v>
      </c>
      <c r="CN111" s="229">
        <v>9.9400000000000002E-2</v>
      </c>
      <c r="CO111" s="228">
        <v>695</v>
      </c>
      <c r="CP111" s="228">
        <v>634</v>
      </c>
      <c r="CQ111" s="228">
        <v>61</v>
      </c>
      <c r="CR111" s="229">
        <v>9.6199999999999994E-2</v>
      </c>
      <c r="CS111" s="228">
        <v>447</v>
      </c>
      <c r="CT111" s="228">
        <v>416</v>
      </c>
      <c r="CU111" s="228">
        <v>32</v>
      </c>
      <c r="CV111" s="229">
        <v>7.5899999999999995E-2</v>
      </c>
      <c r="CW111" s="230">
        <v>3495</v>
      </c>
      <c r="CX111" s="230">
        <v>3351</v>
      </c>
      <c r="CY111" s="228">
        <v>144</v>
      </c>
      <c r="CZ111" s="229">
        <v>4.2999999999999997E-2</v>
      </c>
      <c r="DA111" s="228">
        <v>34.49</v>
      </c>
      <c r="DB111" s="228">
        <v>34.86</v>
      </c>
      <c r="DC111" s="228">
        <v>-0.37</v>
      </c>
      <c r="DD111" s="228">
        <v>-0.37</v>
      </c>
      <c r="DE111" s="228">
        <v>38.11</v>
      </c>
      <c r="DF111" s="228">
        <v>38.21</v>
      </c>
      <c r="DG111" s="228">
        <v>-3.62</v>
      </c>
      <c r="DH111" s="228">
        <v>-0.1</v>
      </c>
      <c r="DI111" s="228">
        <v>33.81</v>
      </c>
      <c r="DJ111" s="228">
        <v>33.79</v>
      </c>
      <c r="DK111" s="228">
        <v>0.02</v>
      </c>
      <c r="DL111" s="228">
        <v>0.02</v>
      </c>
      <c r="DM111" s="228">
        <v>36.200000000000003</v>
      </c>
      <c r="DN111" s="228">
        <v>37.57</v>
      </c>
      <c r="DO111" s="228">
        <v>-1.37</v>
      </c>
      <c r="DP111" s="228">
        <v>-1.37</v>
      </c>
      <c r="DQ111" s="228">
        <v>0.64</v>
      </c>
      <c r="DR111" s="228">
        <v>0.66</v>
      </c>
      <c r="DS111" s="228">
        <v>-0.02</v>
      </c>
      <c r="DT111" s="229">
        <v>-3.0300000000000001E-2</v>
      </c>
      <c r="DU111" s="228">
        <v>500</v>
      </c>
      <c r="DV111" s="228">
        <v>420</v>
      </c>
      <c r="DW111" s="228">
        <v>0.39</v>
      </c>
      <c r="DX111" s="228">
        <v>0.39</v>
      </c>
      <c r="DY111" s="228">
        <v>0</v>
      </c>
      <c r="DZ111" s="229">
        <v>0</v>
      </c>
      <c r="EA111" s="229">
        <v>0.2823</v>
      </c>
      <c r="EB111" s="230">
        <v>13493750</v>
      </c>
      <c r="EC111" s="229">
        <v>-2.76E-2</v>
      </c>
      <c r="ED111" s="229">
        <v>0.2823</v>
      </c>
      <c r="EE111" s="228">
        <v>-12.98</v>
      </c>
      <c r="EF111" s="229">
        <v>-2.8400000000000002E-2</v>
      </c>
      <c r="EG111" s="230">
        <v>754300</v>
      </c>
      <c r="EH111" s="230">
        <v>771212</v>
      </c>
      <c r="EI111" s="229">
        <v>-2.1899999999999999E-2</v>
      </c>
      <c r="EJ111" s="229">
        <v>0.26319999999999999</v>
      </c>
      <c r="EK111" s="231">
        <v>1051.68</v>
      </c>
      <c r="EL111" s="228">
        <v>388.07</v>
      </c>
      <c r="EM111" s="228">
        <v>414.68</v>
      </c>
      <c r="EN111" s="228">
        <v>72.95</v>
      </c>
      <c r="EO111" s="231">
        <v>1854.43</v>
      </c>
      <c r="EP111" s="231">
        <v>1414.4</v>
      </c>
      <c r="EQ111" s="228">
        <v>440.03</v>
      </c>
      <c r="ER111" s="229">
        <v>0.31109999999999999</v>
      </c>
      <c r="ES111" s="228">
        <v>713.26</v>
      </c>
      <c r="ET111" s="228">
        <v>421.98</v>
      </c>
      <c r="EU111" s="231">
        <v>2333.54</v>
      </c>
      <c r="EV111" s="231">
        <v>58777851</v>
      </c>
      <c r="EW111" s="231">
        <v>3468.78</v>
      </c>
      <c r="EX111" s="231">
        <v>3326.93</v>
      </c>
      <c r="EY111" s="228">
        <v>141.85</v>
      </c>
      <c r="EZ111" s="229">
        <v>4.2599999999999999E-2</v>
      </c>
      <c r="FA111" s="229">
        <v>1.2959000000000001</v>
      </c>
      <c r="FB111" s="227" t="s">
        <v>566</v>
      </c>
      <c r="FC111">
        <f t="shared" si="1"/>
        <v>664</v>
      </c>
    </row>
    <row r="112" spans="1:159" ht="17.25" thickBot="1" x14ac:dyDescent="0.3">
      <c r="A112" s="226">
        <v>46129</v>
      </c>
      <c r="B112" s="227" t="s">
        <v>168</v>
      </c>
      <c r="C112" s="227" t="s">
        <v>581</v>
      </c>
      <c r="D112" s="228">
        <v>1175</v>
      </c>
      <c r="E112" s="228">
        <v>11</v>
      </c>
      <c r="F112" s="228">
        <v>427.95</v>
      </c>
      <c r="G112" s="228">
        <v>441.8</v>
      </c>
      <c r="H112" s="228">
        <v>-13.85</v>
      </c>
      <c r="I112" s="229">
        <v>-3.1300000000000001E-2</v>
      </c>
      <c r="J112" s="228">
        <v>426.85</v>
      </c>
      <c r="K112" s="228">
        <v>440.3</v>
      </c>
      <c r="L112" s="228">
        <v>-13.45</v>
      </c>
      <c r="M112" s="229">
        <v>-3.0499999999999999E-2</v>
      </c>
      <c r="N112" s="228">
        <v>427.95</v>
      </c>
      <c r="O112" s="228">
        <v>441.8</v>
      </c>
      <c r="P112" s="228">
        <v>-13.85</v>
      </c>
      <c r="Q112" s="229">
        <v>-3.1300000000000001E-2</v>
      </c>
      <c r="R112" s="228">
        <v>429.8</v>
      </c>
      <c r="S112" s="228">
        <v>444</v>
      </c>
      <c r="T112" s="228">
        <v>-14.2</v>
      </c>
      <c r="U112" s="229">
        <v>-3.2000000000000001E-2</v>
      </c>
      <c r="V112" s="228">
        <v>432.6</v>
      </c>
      <c r="W112" s="228">
        <v>448.15</v>
      </c>
      <c r="X112" s="228">
        <v>-15.55</v>
      </c>
      <c r="Y112" s="229">
        <v>-3.4700000000000002E-2</v>
      </c>
      <c r="Z112" s="228">
        <v>1.1000000000000001</v>
      </c>
      <c r="AA112" s="228">
        <v>1.5</v>
      </c>
      <c r="AB112" s="228">
        <v>-0.4</v>
      </c>
      <c r="AC112" s="229">
        <v>2.5999999999999999E-3</v>
      </c>
      <c r="AD112" s="228">
        <v>1.1000000000000001</v>
      </c>
      <c r="AE112" s="228">
        <v>1.5</v>
      </c>
      <c r="AF112" s="228">
        <v>-0.4</v>
      </c>
      <c r="AG112" s="229">
        <v>2.5999999999999999E-3</v>
      </c>
      <c r="AH112" s="228">
        <v>2.95</v>
      </c>
      <c r="AI112" s="228">
        <v>3.7</v>
      </c>
      <c r="AJ112" s="228">
        <v>-0.75</v>
      </c>
      <c r="AK112" s="229">
        <v>6.8999999999999999E-3</v>
      </c>
      <c r="AL112" s="228">
        <v>5.75</v>
      </c>
      <c r="AM112" s="228">
        <v>7.85</v>
      </c>
      <c r="AN112" s="228">
        <v>-2.1</v>
      </c>
      <c r="AO112" s="229">
        <v>1.35E-2</v>
      </c>
      <c r="AP112" s="228">
        <v>425.75</v>
      </c>
      <c r="AQ112" s="228">
        <v>426.22</v>
      </c>
      <c r="AR112" s="228">
        <v>0</v>
      </c>
      <c r="AS112" s="228">
        <v>752</v>
      </c>
      <c r="AT112" s="228">
        <v>154</v>
      </c>
      <c r="AU112" s="228">
        <v>598</v>
      </c>
      <c r="AV112" s="229">
        <v>3.8727</v>
      </c>
      <c r="AW112" s="228">
        <v>648</v>
      </c>
      <c r="AX112" s="228">
        <v>125</v>
      </c>
      <c r="AY112" s="228">
        <v>523</v>
      </c>
      <c r="AZ112" s="229">
        <v>4.1856</v>
      </c>
      <c r="BA112" s="228">
        <v>95</v>
      </c>
      <c r="BB112" s="228">
        <v>28</v>
      </c>
      <c r="BC112" s="228">
        <v>67</v>
      </c>
      <c r="BD112" s="229">
        <v>2.4123000000000001</v>
      </c>
      <c r="BE112" s="228">
        <v>10</v>
      </c>
      <c r="BF112" s="228">
        <v>2</v>
      </c>
      <c r="BG112" s="228">
        <v>8</v>
      </c>
      <c r="BH112" s="229">
        <v>4.7647000000000004</v>
      </c>
      <c r="BI112" s="230">
        <v>3219</v>
      </c>
      <c r="BJ112" s="228">
        <v>412</v>
      </c>
      <c r="BK112" s="230">
        <v>2807</v>
      </c>
      <c r="BL112" s="229">
        <v>6.8060999999999998</v>
      </c>
      <c r="BM112" s="230">
        <v>2363</v>
      </c>
      <c r="BN112" s="228">
        <v>313</v>
      </c>
      <c r="BO112" s="230">
        <v>2051</v>
      </c>
      <c r="BP112" s="229">
        <v>6.5571999999999999</v>
      </c>
      <c r="BQ112" s="230">
        <v>6335</v>
      </c>
      <c r="BR112" s="228">
        <v>880</v>
      </c>
      <c r="BS112" s="230">
        <v>5456</v>
      </c>
      <c r="BT112" s="229">
        <v>6.2026000000000003</v>
      </c>
      <c r="BU112" s="230">
        <v>17746306</v>
      </c>
      <c r="BV112" s="230">
        <v>5342087</v>
      </c>
      <c r="BW112" s="230">
        <v>12404219</v>
      </c>
      <c r="BX112" s="229">
        <v>2.3220000000000001</v>
      </c>
      <c r="BY112" s="230">
        <v>1125</v>
      </c>
      <c r="BZ112" s="230">
        <v>1055</v>
      </c>
      <c r="CA112" s="228">
        <v>70</v>
      </c>
      <c r="CB112" s="229">
        <v>6.6000000000000003E-2</v>
      </c>
      <c r="CC112" s="230">
        <v>1050</v>
      </c>
      <c r="CD112" s="230">
        <v>1012</v>
      </c>
      <c r="CE112" s="228">
        <v>38</v>
      </c>
      <c r="CF112" s="229">
        <v>3.7999999999999999E-2</v>
      </c>
      <c r="CG112" s="228">
        <v>69</v>
      </c>
      <c r="CH112" s="228">
        <v>40</v>
      </c>
      <c r="CI112" s="228">
        <v>29</v>
      </c>
      <c r="CJ112" s="229">
        <v>0.71550000000000002</v>
      </c>
      <c r="CK112" s="228">
        <v>5</v>
      </c>
      <c r="CL112" s="228">
        <v>3</v>
      </c>
      <c r="CM112" s="228">
        <v>2</v>
      </c>
      <c r="CN112" s="229">
        <v>0.78690000000000004</v>
      </c>
      <c r="CO112" s="228">
        <v>599</v>
      </c>
      <c r="CP112" s="228">
        <v>303</v>
      </c>
      <c r="CQ112" s="228">
        <v>295</v>
      </c>
      <c r="CR112" s="229">
        <v>0.9748</v>
      </c>
      <c r="CS112" s="228">
        <v>318</v>
      </c>
      <c r="CT112" s="228">
        <v>242</v>
      </c>
      <c r="CU112" s="228">
        <v>76</v>
      </c>
      <c r="CV112" s="229">
        <v>0.31480000000000002</v>
      </c>
      <c r="CW112" s="230">
        <v>2041</v>
      </c>
      <c r="CX112" s="230">
        <v>1600</v>
      </c>
      <c r="CY112" s="228">
        <v>441</v>
      </c>
      <c r="CZ112" s="229">
        <v>0.27579999999999999</v>
      </c>
      <c r="DA112" s="228">
        <v>41.1</v>
      </c>
      <c r="DB112" s="228">
        <v>37.229999999999997</v>
      </c>
      <c r="DC112" s="228">
        <v>3.87</v>
      </c>
      <c r="DD112" s="228">
        <v>3.87</v>
      </c>
      <c r="DE112" s="228">
        <v>52.46</v>
      </c>
      <c r="DF112" s="228">
        <v>52.42</v>
      </c>
      <c r="DG112" s="228">
        <v>-11.36</v>
      </c>
      <c r="DH112" s="228">
        <v>0.04</v>
      </c>
      <c r="DI112" s="228">
        <v>40.15</v>
      </c>
      <c r="DJ112" s="228">
        <v>36.93</v>
      </c>
      <c r="DK112" s="228">
        <v>3.22</v>
      </c>
      <c r="DL112" s="228">
        <v>3.22</v>
      </c>
      <c r="DM112" s="228">
        <v>42.38</v>
      </c>
      <c r="DN112" s="228">
        <v>37.619999999999997</v>
      </c>
      <c r="DO112" s="228">
        <v>4.76</v>
      </c>
      <c r="DP112" s="228">
        <v>4.76</v>
      </c>
      <c r="DQ112" s="228">
        <v>0.53</v>
      </c>
      <c r="DR112" s="228">
        <v>0.8</v>
      </c>
      <c r="DS112" s="228">
        <v>-0.27</v>
      </c>
      <c r="DT112" s="229">
        <v>-0.33750000000000002</v>
      </c>
      <c r="DU112" s="228">
        <v>450</v>
      </c>
      <c r="DV112" s="228">
        <v>420</v>
      </c>
      <c r="DW112" s="228">
        <v>0.73</v>
      </c>
      <c r="DX112" s="228">
        <v>0.76</v>
      </c>
      <c r="DY112" s="228">
        <v>-0.03</v>
      </c>
      <c r="DZ112" s="229">
        <v>-3.95E-2</v>
      </c>
      <c r="EA112" s="229">
        <v>6.6100000000000006E-2</v>
      </c>
      <c r="EB112" s="230">
        <v>1009325</v>
      </c>
      <c r="EC112" s="229">
        <v>4.3E-3</v>
      </c>
      <c r="ED112" s="229">
        <v>6.6100000000000006E-2</v>
      </c>
      <c r="EE112" s="228">
        <v>0.47</v>
      </c>
      <c r="EF112" s="229">
        <v>1.1000000000000001E-3</v>
      </c>
      <c r="EG112" s="230">
        <v>4303003</v>
      </c>
      <c r="EH112" s="230">
        <v>1866158</v>
      </c>
      <c r="EI112" s="229">
        <v>1.3058000000000001</v>
      </c>
      <c r="EJ112" s="229">
        <v>0.24249999999999999</v>
      </c>
      <c r="EK112" s="231">
        <v>3380.85</v>
      </c>
      <c r="EL112" s="231">
        <v>2332.7600000000002</v>
      </c>
      <c r="EM112" s="228">
        <v>748.75</v>
      </c>
      <c r="EN112" s="228">
        <v>23.23</v>
      </c>
      <c r="EO112" s="231">
        <v>6462.37</v>
      </c>
      <c r="EP112" s="228">
        <v>926.33</v>
      </c>
      <c r="EQ112" s="231">
        <v>5536.04</v>
      </c>
      <c r="ER112" s="229">
        <v>5.9763000000000002</v>
      </c>
      <c r="ES112" s="228">
        <v>619.66</v>
      </c>
      <c r="ET112" s="228">
        <v>304.83</v>
      </c>
      <c r="EU112" s="231">
        <v>1124.9100000000001</v>
      </c>
      <c r="EV112" s="231">
        <v>57686748</v>
      </c>
      <c r="EW112" s="231">
        <v>2049.4</v>
      </c>
      <c r="EX112" s="231">
        <v>1634.67</v>
      </c>
      <c r="EY112" s="228">
        <v>414.73</v>
      </c>
      <c r="EZ112" s="229">
        <v>0.25369999999999998</v>
      </c>
      <c r="FA112" s="229">
        <v>0.82689999999999997</v>
      </c>
      <c r="FB112" s="227" t="s">
        <v>566</v>
      </c>
      <c r="FC112">
        <f t="shared" si="1"/>
        <v>75</v>
      </c>
    </row>
    <row r="113" spans="1:159" ht="17.25" thickBot="1" x14ac:dyDescent="0.3">
      <c r="A113" s="226">
        <v>46129</v>
      </c>
      <c r="B113" s="227" t="s">
        <v>184</v>
      </c>
      <c r="C113" s="227" t="s">
        <v>674</v>
      </c>
      <c r="D113" s="228">
        <v>100</v>
      </c>
      <c r="E113" s="228">
        <v>11</v>
      </c>
      <c r="F113" s="231">
        <v>4208.7</v>
      </c>
      <c r="G113" s="231">
        <v>4211.6000000000004</v>
      </c>
      <c r="H113" s="228">
        <v>-2.9</v>
      </c>
      <c r="I113" s="229">
        <v>-6.9999999999999999E-4</v>
      </c>
      <c r="J113" s="231">
        <v>4214.3999999999996</v>
      </c>
      <c r="K113" s="231">
        <v>4202.2</v>
      </c>
      <c r="L113" s="228">
        <v>12.2</v>
      </c>
      <c r="M113" s="229">
        <v>2.8999999999999998E-3</v>
      </c>
      <c r="N113" s="231">
        <v>4208.7</v>
      </c>
      <c r="O113" s="231">
        <v>4211.6000000000004</v>
      </c>
      <c r="P113" s="228">
        <v>-2.9</v>
      </c>
      <c r="Q113" s="229">
        <v>-6.9999999999999999E-4</v>
      </c>
      <c r="R113" s="231">
        <v>4173.1000000000004</v>
      </c>
      <c r="S113" s="231">
        <v>4172.6000000000004</v>
      </c>
      <c r="T113" s="228">
        <v>0.5</v>
      </c>
      <c r="U113" s="229">
        <v>1E-4</v>
      </c>
      <c r="V113" s="231">
        <v>4157.1000000000004</v>
      </c>
      <c r="W113" s="231">
        <v>4160.7</v>
      </c>
      <c r="X113" s="228">
        <v>-3.6</v>
      </c>
      <c r="Y113" s="229">
        <v>-8.9999999999999998E-4</v>
      </c>
      <c r="Z113" s="228">
        <v>-5.7</v>
      </c>
      <c r="AA113" s="228">
        <v>9.4</v>
      </c>
      <c r="AB113" s="228">
        <v>-15.1</v>
      </c>
      <c r="AC113" s="229">
        <v>-1.4E-3</v>
      </c>
      <c r="AD113" s="228">
        <v>-5.7</v>
      </c>
      <c r="AE113" s="228">
        <v>9.4</v>
      </c>
      <c r="AF113" s="228">
        <v>-15.1</v>
      </c>
      <c r="AG113" s="229">
        <v>-1.4E-3</v>
      </c>
      <c r="AH113" s="228">
        <v>-41.3</v>
      </c>
      <c r="AI113" s="228">
        <v>-29.6</v>
      </c>
      <c r="AJ113" s="228">
        <v>-11.7</v>
      </c>
      <c r="AK113" s="229">
        <v>-9.7999999999999997E-3</v>
      </c>
      <c r="AL113" s="228">
        <v>-57.3</v>
      </c>
      <c r="AM113" s="228">
        <v>-41.5</v>
      </c>
      <c r="AN113" s="228">
        <v>-15.8</v>
      </c>
      <c r="AO113" s="229">
        <v>-1.3599999999999999E-2</v>
      </c>
      <c r="AP113" s="231">
        <v>4196.96</v>
      </c>
      <c r="AQ113" s="231">
        <v>4154.7</v>
      </c>
      <c r="AR113" s="228">
        <v>0</v>
      </c>
      <c r="AS113" s="228">
        <v>299</v>
      </c>
      <c r="AT113" s="228">
        <v>636</v>
      </c>
      <c r="AU113" s="228">
        <v>-337</v>
      </c>
      <c r="AV113" s="229">
        <v>-0.52959999999999996</v>
      </c>
      <c r="AW113" s="228">
        <v>226</v>
      </c>
      <c r="AX113" s="228">
        <v>525</v>
      </c>
      <c r="AY113" s="228">
        <v>-299</v>
      </c>
      <c r="AZ113" s="229">
        <v>-0.56899999999999995</v>
      </c>
      <c r="BA113" s="228">
        <v>65</v>
      </c>
      <c r="BB113" s="228">
        <v>100</v>
      </c>
      <c r="BC113" s="228">
        <v>-35</v>
      </c>
      <c r="BD113" s="229">
        <v>-0.34910000000000002</v>
      </c>
      <c r="BE113" s="228">
        <v>8</v>
      </c>
      <c r="BF113" s="228">
        <v>11</v>
      </c>
      <c r="BG113" s="228">
        <v>-3</v>
      </c>
      <c r="BH113" s="229">
        <v>-0.2989</v>
      </c>
      <c r="BI113" s="230">
        <v>1040</v>
      </c>
      <c r="BJ113" s="230">
        <v>3158</v>
      </c>
      <c r="BK113" s="230">
        <v>-2119</v>
      </c>
      <c r="BL113" s="229">
        <v>-0.67079999999999995</v>
      </c>
      <c r="BM113" s="228">
        <v>672</v>
      </c>
      <c r="BN113" s="230">
        <v>1417</v>
      </c>
      <c r="BO113" s="228">
        <v>-745</v>
      </c>
      <c r="BP113" s="229">
        <v>-0.52590000000000003</v>
      </c>
      <c r="BQ113" s="230">
        <v>2011</v>
      </c>
      <c r="BR113" s="230">
        <v>5212</v>
      </c>
      <c r="BS113" s="230">
        <v>-3201</v>
      </c>
      <c r="BT113" s="229">
        <v>-0.61419999999999997</v>
      </c>
      <c r="BU113" s="230">
        <v>1287216</v>
      </c>
      <c r="BV113" s="230">
        <v>2436656</v>
      </c>
      <c r="BW113" s="230">
        <v>-1149440</v>
      </c>
      <c r="BX113" s="229">
        <v>-0.47170000000000001</v>
      </c>
      <c r="BY113" s="230">
        <v>1439</v>
      </c>
      <c r="BZ113" s="230">
        <v>1420</v>
      </c>
      <c r="CA113" s="228">
        <v>19</v>
      </c>
      <c r="CB113" s="229">
        <v>1.34E-2</v>
      </c>
      <c r="CC113" s="230">
        <v>1210</v>
      </c>
      <c r="CD113" s="230">
        <v>1212</v>
      </c>
      <c r="CE113" s="228">
        <v>-2</v>
      </c>
      <c r="CF113" s="229">
        <v>-1.5E-3</v>
      </c>
      <c r="CG113" s="228">
        <v>204</v>
      </c>
      <c r="CH113" s="228">
        <v>186</v>
      </c>
      <c r="CI113" s="228">
        <v>18</v>
      </c>
      <c r="CJ113" s="229">
        <v>9.5799999999999996E-2</v>
      </c>
      <c r="CK113" s="228">
        <v>25</v>
      </c>
      <c r="CL113" s="228">
        <v>22</v>
      </c>
      <c r="CM113" s="228">
        <v>3</v>
      </c>
      <c r="CN113" s="229">
        <v>0.13730000000000001</v>
      </c>
      <c r="CO113" s="228">
        <v>637</v>
      </c>
      <c r="CP113" s="228">
        <v>608</v>
      </c>
      <c r="CQ113" s="228">
        <v>29</v>
      </c>
      <c r="CR113" s="229">
        <v>4.7300000000000002E-2</v>
      </c>
      <c r="CS113" s="228">
        <v>508</v>
      </c>
      <c r="CT113" s="228">
        <v>512</v>
      </c>
      <c r="CU113" s="228">
        <v>-4</v>
      </c>
      <c r="CV113" s="229">
        <v>-7.1000000000000004E-3</v>
      </c>
      <c r="CW113" s="230">
        <v>2585</v>
      </c>
      <c r="CX113" s="230">
        <v>2540</v>
      </c>
      <c r="CY113" s="228">
        <v>44</v>
      </c>
      <c r="CZ113" s="229">
        <v>1.7399999999999999E-2</v>
      </c>
      <c r="DA113" s="228">
        <v>48.16</v>
      </c>
      <c r="DB113" s="228">
        <v>46.64</v>
      </c>
      <c r="DC113" s="228">
        <v>1.52</v>
      </c>
      <c r="DD113" s="228">
        <v>1.52</v>
      </c>
      <c r="DE113" s="228">
        <v>61.15</v>
      </c>
      <c r="DF113" s="228">
        <v>61.3</v>
      </c>
      <c r="DG113" s="228">
        <v>-12.99</v>
      </c>
      <c r="DH113" s="228">
        <v>-0.15</v>
      </c>
      <c r="DI113" s="228">
        <v>44.41</v>
      </c>
      <c r="DJ113" s="228">
        <v>45.09</v>
      </c>
      <c r="DK113" s="228">
        <v>-0.68</v>
      </c>
      <c r="DL113" s="228">
        <v>-0.68</v>
      </c>
      <c r="DM113" s="228">
        <v>53.97</v>
      </c>
      <c r="DN113" s="228">
        <v>50.09</v>
      </c>
      <c r="DO113" s="228">
        <v>3.88</v>
      </c>
      <c r="DP113" s="228">
        <v>3.88</v>
      </c>
      <c r="DQ113" s="228">
        <v>0.8</v>
      </c>
      <c r="DR113" s="228">
        <v>0.84</v>
      </c>
      <c r="DS113" s="228">
        <v>-0.04</v>
      </c>
      <c r="DT113" s="229">
        <v>-4.7600000000000003E-2</v>
      </c>
      <c r="DU113" s="231">
        <v>4200</v>
      </c>
      <c r="DV113" s="231">
        <v>4000</v>
      </c>
      <c r="DW113" s="228">
        <v>0.65</v>
      </c>
      <c r="DX113" s="228">
        <v>0.45</v>
      </c>
      <c r="DY113" s="228">
        <v>0.2</v>
      </c>
      <c r="DZ113" s="229">
        <v>0.44440000000000002</v>
      </c>
      <c r="EA113" s="229">
        <v>0.15909999999999999</v>
      </c>
      <c r="EB113" s="230">
        <v>494500</v>
      </c>
      <c r="EC113" s="229">
        <v>-8.5000000000000006E-3</v>
      </c>
      <c r="ED113" s="229">
        <v>0.15909999999999999</v>
      </c>
      <c r="EE113" s="228">
        <v>-42.26</v>
      </c>
      <c r="EF113" s="229">
        <v>-1.01E-2</v>
      </c>
      <c r="EG113" s="230">
        <v>269383</v>
      </c>
      <c r="EH113" s="230">
        <v>480921</v>
      </c>
      <c r="EI113" s="229">
        <v>-0.43990000000000001</v>
      </c>
      <c r="EJ113" s="229">
        <v>0.20930000000000001</v>
      </c>
      <c r="EK113" s="231">
        <v>1088.95</v>
      </c>
      <c r="EL113" s="228">
        <v>622.65</v>
      </c>
      <c r="EM113" s="228">
        <v>297.74</v>
      </c>
      <c r="EN113" s="228">
        <v>102.06</v>
      </c>
      <c r="EO113" s="231">
        <v>2009.34</v>
      </c>
      <c r="EP113" s="231">
        <v>5247.1</v>
      </c>
      <c r="EQ113" s="231">
        <v>-3237.76</v>
      </c>
      <c r="ER113" s="229">
        <v>-0.61709999999999998</v>
      </c>
      <c r="ES113" s="228">
        <v>613.79999999999995</v>
      </c>
      <c r="ET113" s="228">
        <v>449.01</v>
      </c>
      <c r="EU113" s="231">
        <v>1437.26</v>
      </c>
      <c r="EV113" s="231">
        <v>4679418</v>
      </c>
      <c r="EW113" s="231">
        <v>2500.0700000000002</v>
      </c>
      <c r="EX113" s="231">
        <v>2452.35</v>
      </c>
      <c r="EY113" s="228">
        <v>47.72</v>
      </c>
      <c r="EZ113" s="229">
        <v>1.95E-2</v>
      </c>
      <c r="FA113" s="229">
        <v>1.3124</v>
      </c>
      <c r="FB113" s="227" t="s">
        <v>566</v>
      </c>
      <c r="FC113">
        <f t="shared" si="1"/>
        <v>229</v>
      </c>
    </row>
    <row r="114" spans="1:159" ht="17.25" thickBot="1" x14ac:dyDescent="0.3">
      <c r="A114" s="226">
        <v>46129</v>
      </c>
      <c r="B114" s="227" t="s">
        <v>161</v>
      </c>
      <c r="C114" s="227" t="s">
        <v>609</v>
      </c>
      <c r="D114" s="228">
        <v>175</v>
      </c>
      <c r="E114" s="228">
        <v>11</v>
      </c>
      <c r="F114" s="231">
        <v>4823.5</v>
      </c>
      <c r="G114" s="231">
        <v>4648.8999999999996</v>
      </c>
      <c r="H114" s="228">
        <v>174.6</v>
      </c>
      <c r="I114" s="229">
        <v>3.7600000000000001E-2</v>
      </c>
      <c r="J114" s="231">
        <v>4839.3</v>
      </c>
      <c r="K114" s="231">
        <v>4647.3999999999996</v>
      </c>
      <c r="L114" s="228">
        <v>191.9</v>
      </c>
      <c r="M114" s="229">
        <v>4.1300000000000003E-2</v>
      </c>
      <c r="N114" s="231">
        <v>4823.5</v>
      </c>
      <c r="O114" s="231">
        <v>4648.8999999999996</v>
      </c>
      <c r="P114" s="228">
        <v>174.6</v>
      </c>
      <c r="Q114" s="229">
        <v>3.7600000000000001E-2</v>
      </c>
      <c r="R114" s="231">
        <v>4732.8</v>
      </c>
      <c r="S114" s="231">
        <v>4566.6000000000004</v>
      </c>
      <c r="T114" s="228">
        <v>166.2</v>
      </c>
      <c r="U114" s="229">
        <v>3.6400000000000002E-2</v>
      </c>
      <c r="V114" s="231">
        <v>4719</v>
      </c>
      <c r="W114" s="231">
        <v>4545.3999999999996</v>
      </c>
      <c r="X114" s="228">
        <v>173.6</v>
      </c>
      <c r="Y114" s="229">
        <v>3.8199999999999998E-2</v>
      </c>
      <c r="Z114" s="228">
        <v>-15.8</v>
      </c>
      <c r="AA114" s="228">
        <v>1.5</v>
      </c>
      <c r="AB114" s="228">
        <v>-17.3</v>
      </c>
      <c r="AC114" s="229">
        <v>-3.3E-3</v>
      </c>
      <c r="AD114" s="228">
        <v>-15.8</v>
      </c>
      <c r="AE114" s="228">
        <v>1.5</v>
      </c>
      <c r="AF114" s="228">
        <v>-17.3</v>
      </c>
      <c r="AG114" s="229">
        <v>-3.3E-3</v>
      </c>
      <c r="AH114" s="228">
        <v>-106.5</v>
      </c>
      <c r="AI114" s="228">
        <v>-80.8</v>
      </c>
      <c r="AJ114" s="228">
        <v>-25.7</v>
      </c>
      <c r="AK114" s="229">
        <v>-2.1999999999999999E-2</v>
      </c>
      <c r="AL114" s="228">
        <v>-120.3</v>
      </c>
      <c r="AM114" s="228">
        <v>-102</v>
      </c>
      <c r="AN114" s="228">
        <v>-18.3</v>
      </c>
      <c r="AO114" s="229">
        <v>-2.4899999999999999E-2</v>
      </c>
      <c r="AP114" s="231">
        <v>4791.3100000000004</v>
      </c>
      <c r="AQ114" s="231">
        <v>4699.12</v>
      </c>
      <c r="AR114" s="228">
        <v>0</v>
      </c>
      <c r="AS114" s="228">
        <v>373</v>
      </c>
      <c r="AT114" s="228">
        <v>360</v>
      </c>
      <c r="AU114" s="228">
        <v>13</v>
      </c>
      <c r="AV114" s="229">
        <v>3.5200000000000002E-2</v>
      </c>
      <c r="AW114" s="228">
        <v>282</v>
      </c>
      <c r="AX114" s="228">
        <v>260</v>
      </c>
      <c r="AY114" s="228">
        <v>23</v>
      </c>
      <c r="AZ114" s="229">
        <v>8.72E-2</v>
      </c>
      <c r="BA114" s="228">
        <v>87</v>
      </c>
      <c r="BB114" s="228">
        <v>99</v>
      </c>
      <c r="BC114" s="228">
        <v>-12</v>
      </c>
      <c r="BD114" s="229">
        <v>-0.1168</v>
      </c>
      <c r="BE114" s="228">
        <v>3</v>
      </c>
      <c r="BF114" s="228">
        <v>1</v>
      </c>
      <c r="BG114" s="228">
        <v>2</v>
      </c>
      <c r="BH114" s="229">
        <v>1.2666999999999999</v>
      </c>
      <c r="BI114" s="230">
        <v>1782</v>
      </c>
      <c r="BJ114" s="228">
        <v>678</v>
      </c>
      <c r="BK114" s="230">
        <v>1104</v>
      </c>
      <c r="BL114" s="229">
        <v>1.6287</v>
      </c>
      <c r="BM114" s="228">
        <v>504</v>
      </c>
      <c r="BN114" s="228">
        <v>143</v>
      </c>
      <c r="BO114" s="228">
        <v>361</v>
      </c>
      <c r="BP114" s="229">
        <v>2.5167999999999999</v>
      </c>
      <c r="BQ114" s="230">
        <v>2659</v>
      </c>
      <c r="BR114" s="230">
        <v>1181</v>
      </c>
      <c r="BS114" s="230">
        <v>1478</v>
      </c>
      <c r="BT114" s="229">
        <v>1.2511000000000001</v>
      </c>
      <c r="BU114" s="230">
        <v>513070</v>
      </c>
      <c r="BV114" s="230">
        <v>350059</v>
      </c>
      <c r="BW114" s="230">
        <v>163011</v>
      </c>
      <c r="BX114" s="229">
        <v>0.4657</v>
      </c>
      <c r="BY114" s="230">
        <v>1124</v>
      </c>
      <c r="BZ114" s="230">
        <v>1115</v>
      </c>
      <c r="CA114" s="228">
        <v>9</v>
      </c>
      <c r="CB114" s="229">
        <v>8.3999999999999995E-3</v>
      </c>
      <c r="CC114" s="228">
        <v>886</v>
      </c>
      <c r="CD114" s="228">
        <v>910</v>
      </c>
      <c r="CE114" s="228">
        <v>-23</v>
      </c>
      <c r="CF114" s="229">
        <v>-2.5700000000000001E-2</v>
      </c>
      <c r="CG114" s="228">
        <v>236</v>
      </c>
      <c r="CH114" s="228">
        <v>202</v>
      </c>
      <c r="CI114" s="228">
        <v>34</v>
      </c>
      <c r="CJ114" s="229">
        <v>0.16850000000000001</v>
      </c>
      <c r="CK114" s="228">
        <v>2</v>
      </c>
      <c r="CL114" s="228">
        <v>3</v>
      </c>
      <c r="CM114" s="228">
        <v>-1</v>
      </c>
      <c r="CN114" s="229">
        <v>-0.3947</v>
      </c>
      <c r="CO114" s="228">
        <v>335</v>
      </c>
      <c r="CP114" s="228">
        <v>306</v>
      </c>
      <c r="CQ114" s="228">
        <v>29</v>
      </c>
      <c r="CR114" s="229">
        <v>9.3100000000000002E-2</v>
      </c>
      <c r="CS114" s="228">
        <v>233</v>
      </c>
      <c r="CT114" s="228">
        <v>221</v>
      </c>
      <c r="CU114" s="228">
        <v>12</v>
      </c>
      <c r="CV114" s="229">
        <v>5.4899999999999997E-2</v>
      </c>
      <c r="CW114" s="230">
        <v>1693</v>
      </c>
      <c r="CX114" s="230">
        <v>1642</v>
      </c>
      <c r="CY114" s="228">
        <v>50</v>
      </c>
      <c r="CZ114" s="229">
        <v>3.0499999999999999E-2</v>
      </c>
      <c r="DA114" s="228">
        <v>37.26</v>
      </c>
      <c r="DB114" s="228">
        <v>39.47</v>
      </c>
      <c r="DC114" s="228">
        <v>-2.21</v>
      </c>
      <c r="DD114" s="228">
        <v>-2.21</v>
      </c>
      <c r="DE114" s="228">
        <v>46.63</v>
      </c>
      <c r="DF114" s="228">
        <v>46.48</v>
      </c>
      <c r="DG114" s="228">
        <v>-9.3699999999999992</v>
      </c>
      <c r="DH114" s="228">
        <v>0.15</v>
      </c>
      <c r="DI114" s="228">
        <v>36.229999999999997</v>
      </c>
      <c r="DJ114" s="228">
        <v>38.97</v>
      </c>
      <c r="DK114" s="228">
        <v>-2.74</v>
      </c>
      <c r="DL114" s="228">
        <v>-2.74</v>
      </c>
      <c r="DM114" s="228">
        <v>40.92</v>
      </c>
      <c r="DN114" s="228">
        <v>41.84</v>
      </c>
      <c r="DO114" s="228">
        <v>-0.92</v>
      </c>
      <c r="DP114" s="228">
        <v>-0.92</v>
      </c>
      <c r="DQ114" s="228">
        <v>0.7</v>
      </c>
      <c r="DR114" s="228">
        <v>0.72</v>
      </c>
      <c r="DS114" s="228">
        <v>-0.02</v>
      </c>
      <c r="DT114" s="229">
        <v>-2.7799999999999998E-2</v>
      </c>
      <c r="DU114" s="231">
        <v>5000</v>
      </c>
      <c r="DV114" s="231">
        <v>4500</v>
      </c>
      <c r="DW114" s="228">
        <v>0.28000000000000003</v>
      </c>
      <c r="DX114" s="228">
        <v>0.21</v>
      </c>
      <c r="DY114" s="228">
        <v>7.0000000000000007E-2</v>
      </c>
      <c r="DZ114" s="229">
        <v>0.33329999999999999</v>
      </c>
      <c r="EA114" s="229">
        <v>0.21160000000000001</v>
      </c>
      <c r="EB114" s="230">
        <v>425250</v>
      </c>
      <c r="EC114" s="229">
        <v>-1.8800000000000001E-2</v>
      </c>
      <c r="ED114" s="229">
        <v>0.21160000000000001</v>
      </c>
      <c r="EE114" s="228">
        <v>-92.19</v>
      </c>
      <c r="EF114" s="229">
        <v>-1.9199999999999998E-2</v>
      </c>
      <c r="EG114" s="230">
        <v>170840</v>
      </c>
      <c r="EH114" s="230">
        <v>141377</v>
      </c>
      <c r="EI114" s="229">
        <v>0.2084</v>
      </c>
      <c r="EJ114" s="229">
        <v>0.33300000000000002</v>
      </c>
      <c r="EK114" s="231">
        <v>1838.23</v>
      </c>
      <c r="EL114" s="228">
        <v>490.09</v>
      </c>
      <c r="EM114" s="228">
        <v>368.25</v>
      </c>
      <c r="EN114" s="228">
        <v>31.06</v>
      </c>
      <c r="EO114" s="231">
        <v>2696.57</v>
      </c>
      <c r="EP114" s="231">
        <v>1158.56</v>
      </c>
      <c r="EQ114" s="231">
        <v>1538.01</v>
      </c>
      <c r="ER114" s="229">
        <v>1.3274999999999999</v>
      </c>
      <c r="ES114" s="228">
        <v>321.89</v>
      </c>
      <c r="ET114" s="228">
        <v>210</v>
      </c>
      <c r="EU114" s="231">
        <v>1119.6300000000001</v>
      </c>
      <c r="EV114" s="231">
        <v>9320940</v>
      </c>
      <c r="EW114" s="231">
        <v>1651.51</v>
      </c>
      <c r="EX114" s="231">
        <v>1553.85</v>
      </c>
      <c r="EY114" s="228">
        <v>97.66</v>
      </c>
      <c r="EZ114" s="229">
        <v>6.2899999999999998E-2</v>
      </c>
      <c r="FA114" s="229">
        <v>0.3765</v>
      </c>
      <c r="FB114" s="227" t="s">
        <v>555</v>
      </c>
      <c r="FC114">
        <f t="shared" si="1"/>
        <v>238</v>
      </c>
    </row>
    <row r="115" spans="1:159" ht="17.25" thickBot="1" x14ac:dyDescent="0.3">
      <c r="A115" s="226">
        <v>46129</v>
      </c>
      <c r="B115" s="227" t="s">
        <v>175</v>
      </c>
      <c r="C115" s="227" t="s">
        <v>681</v>
      </c>
      <c r="D115" s="228">
        <v>500</v>
      </c>
      <c r="E115" s="228">
        <v>11</v>
      </c>
      <c r="F115" s="228">
        <v>977.6</v>
      </c>
      <c r="G115" s="228">
        <v>953.35</v>
      </c>
      <c r="H115" s="228">
        <v>24.25</v>
      </c>
      <c r="I115" s="229">
        <v>2.5399999999999999E-2</v>
      </c>
      <c r="J115" s="228">
        <v>976</v>
      </c>
      <c r="K115" s="228">
        <v>955.9</v>
      </c>
      <c r="L115" s="228">
        <v>20.100000000000001</v>
      </c>
      <c r="M115" s="229">
        <v>2.1000000000000001E-2</v>
      </c>
      <c r="N115" s="228">
        <v>977.6</v>
      </c>
      <c r="O115" s="228">
        <v>953.35</v>
      </c>
      <c r="P115" s="228">
        <v>24.25</v>
      </c>
      <c r="Q115" s="229">
        <v>2.5399999999999999E-2</v>
      </c>
      <c r="R115" s="228">
        <v>957.5</v>
      </c>
      <c r="S115" s="228">
        <v>935.3</v>
      </c>
      <c r="T115" s="228">
        <v>22.2</v>
      </c>
      <c r="U115" s="229">
        <v>2.3699999999999999E-2</v>
      </c>
      <c r="V115" s="228">
        <v>947.7</v>
      </c>
      <c r="W115" s="228">
        <v>930</v>
      </c>
      <c r="X115" s="228">
        <v>17.7</v>
      </c>
      <c r="Y115" s="229">
        <v>1.9E-2</v>
      </c>
      <c r="Z115" s="228">
        <v>1.6</v>
      </c>
      <c r="AA115" s="228">
        <v>-2.5499999999999998</v>
      </c>
      <c r="AB115" s="228">
        <v>4.1500000000000004</v>
      </c>
      <c r="AC115" s="229">
        <v>1.6000000000000001E-3</v>
      </c>
      <c r="AD115" s="228">
        <v>1.6</v>
      </c>
      <c r="AE115" s="228">
        <v>-2.5499999999999998</v>
      </c>
      <c r="AF115" s="228">
        <v>4.1500000000000004</v>
      </c>
      <c r="AG115" s="229">
        <v>1.6000000000000001E-3</v>
      </c>
      <c r="AH115" s="228">
        <v>-18.5</v>
      </c>
      <c r="AI115" s="228">
        <v>-20.6</v>
      </c>
      <c r="AJ115" s="228">
        <v>2.1</v>
      </c>
      <c r="AK115" s="229">
        <v>-1.9E-2</v>
      </c>
      <c r="AL115" s="228">
        <v>-28.3</v>
      </c>
      <c r="AM115" s="228">
        <v>-25.9</v>
      </c>
      <c r="AN115" s="228">
        <v>-2.4</v>
      </c>
      <c r="AO115" s="229">
        <v>-2.9000000000000001E-2</v>
      </c>
      <c r="AP115" s="228">
        <v>968.32</v>
      </c>
      <c r="AQ115" s="228">
        <v>946.55</v>
      </c>
      <c r="AR115" s="228">
        <v>0</v>
      </c>
      <c r="AS115" s="228">
        <v>176</v>
      </c>
      <c r="AT115" s="228">
        <v>244</v>
      </c>
      <c r="AU115" s="228">
        <v>-68</v>
      </c>
      <c r="AV115" s="229">
        <v>-0.2782</v>
      </c>
      <c r="AW115" s="228">
        <v>131</v>
      </c>
      <c r="AX115" s="228">
        <v>194</v>
      </c>
      <c r="AY115" s="228">
        <v>-62</v>
      </c>
      <c r="AZ115" s="229">
        <v>-0.3211</v>
      </c>
      <c r="BA115" s="228">
        <v>41</v>
      </c>
      <c r="BB115" s="228">
        <v>46</v>
      </c>
      <c r="BC115" s="228">
        <v>-4</v>
      </c>
      <c r="BD115" s="229">
        <v>-9.3899999999999997E-2</v>
      </c>
      <c r="BE115" s="228">
        <v>3</v>
      </c>
      <c r="BF115" s="228">
        <v>5</v>
      </c>
      <c r="BG115" s="228">
        <v>-2</v>
      </c>
      <c r="BH115" s="229">
        <v>-0.3039</v>
      </c>
      <c r="BI115" s="228">
        <v>617</v>
      </c>
      <c r="BJ115" s="228">
        <v>659</v>
      </c>
      <c r="BK115" s="228">
        <v>-42</v>
      </c>
      <c r="BL115" s="229">
        <v>-6.3700000000000007E-2</v>
      </c>
      <c r="BM115" s="228">
        <v>158</v>
      </c>
      <c r="BN115" s="228">
        <v>131</v>
      </c>
      <c r="BO115" s="228">
        <v>27</v>
      </c>
      <c r="BP115" s="229">
        <v>0.20349999999999999</v>
      </c>
      <c r="BQ115" s="228">
        <v>951</v>
      </c>
      <c r="BR115" s="230">
        <v>1034</v>
      </c>
      <c r="BS115" s="228">
        <v>-83</v>
      </c>
      <c r="BT115" s="229">
        <v>-8.0600000000000005E-2</v>
      </c>
      <c r="BU115" s="230">
        <v>2169365</v>
      </c>
      <c r="BV115" s="230">
        <v>1754053</v>
      </c>
      <c r="BW115" s="230">
        <v>415312</v>
      </c>
      <c r="BX115" s="229">
        <v>0.23680000000000001</v>
      </c>
      <c r="BY115" s="228">
        <v>356</v>
      </c>
      <c r="BZ115" s="228">
        <v>336</v>
      </c>
      <c r="CA115" s="228">
        <v>20</v>
      </c>
      <c r="CB115" s="229">
        <v>5.9400000000000001E-2</v>
      </c>
      <c r="CC115" s="228">
        <v>288</v>
      </c>
      <c r="CD115" s="228">
        <v>278</v>
      </c>
      <c r="CE115" s="228">
        <v>10</v>
      </c>
      <c r="CF115" s="229">
        <v>3.5200000000000002E-2</v>
      </c>
      <c r="CG115" s="228">
        <v>62</v>
      </c>
      <c r="CH115" s="228">
        <v>53</v>
      </c>
      <c r="CI115" s="228">
        <v>9</v>
      </c>
      <c r="CJ115" s="229">
        <v>0.1613</v>
      </c>
      <c r="CK115" s="228">
        <v>7</v>
      </c>
      <c r="CL115" s="228">
        <v>5</v>
      </c>
      <c r="CM115" s="228">
        <v>2</v>
      </c>
      <c r="CN115" s="229">
        <v>0.31480000000000002</v>
      </c>
      <c r="CO115" s="228">
        <v>244</v>
      </c>
      <c r="CP115" s="228">
        <v>185</v>
      </c>
      <c r="CQ115" s="228">
        <v>59</v>
      </c>
      <c r="CR115" s="229">
        <v>0.32150000000000001</v>
      </c>
      <c r="CS115" s="228">
        <v>122</v>
      </c>
      <c r="CT115" s="228">
        <v>95</v>
      </c>
      <c r="CU115" s="228">
        <v>27</v>
      </c>
      <c r="CV115" s="229">
        <v>0.28760000000000002</v>
      </c>
      <c r="CW115" s="228">
        <v>723</v>
      </c>
      <c r="CX115" s="228">
        <v>616</v>
      </c>
      <c r="CY115" s="228">
        <v>107</v>
      </c>
      <c r="CZ115" s="229">
        <v>0.17319999999999999</v>
      </c>
      <c r="DA115" s="228">
        <v>38.229999999999997</v>
      </c>
      <c r="DB115" s="228">
        <v>39.74</v>
      </c>
      <c r="DC115" s="228">
        <v>-1.51</v>
      </c>
      <c r="DD115" s="228">
        <v>-1.51</v>
      </c>
      <c r="DE115" s="228">
        <v>50.35</v>
      </c>
      <c r="DF115" s="228">
        <v>50.36</v>
      </c>
      <c r="DG115" s="228">
        <v>-12.12</v>
      </c>
      <c r="DH115" s="228">
        <v>-0.01</v>
      </c>
      <c r="DI115" s="228">
        <v>37.76</v>
      </c>
      <c r="DJ115" s="228">
        <v>39.1</v>
      </c>
      <c r="DK115" s="228">
        <v>-1.34</v>
      </c>
      <c r="DL115" s="228">
        <v>-1.34</v>
      </c>
      <c r="DM115" s="228">
        <v>40.07</v>
      </c>
      <c r="DN115" s="228">
        <v>42.92</v>
      </c>
      <c r="DO115" s="228">
        <v>-2.85</v>
      </c>
      <c r="DP115" s="228">
        <v>-2.85</v>
      </c>
      <c r="DQ115" s="228">
        <v>0.5</v>
      </c>
      <c r="DR115" s="228">
        <v>0.51</v>
      </c>
      <c r="DS115" s="228">
        <v>-0.01</v>
      </c>
      <c r="DT115" s="229">
        <v>-1.9599999999999999E-2</v>
      </c>
      <c r="DU115" s="231">
        <v>1000</v>
      </c>
      <c r="DV115" s="228">
        <v>920</v>
      </c>
      <c r="DW115" s="228">
        <v>0.26</v>
      </c>
      <c r="DX115" s="228">
        <v>0.2</v>
      </c>
      <c r="DY115" s="228">
        <v>0.06</v>
      </c>
      <c r="DZ115" s="229">
        <v>0.3</v>
      </c>
      <c r="EA115" s="229">
        <v>0.1923</v>
      </c>
      <c r="EB115" s="230">
        <v>596500</v>
      </c>
      <c r="EC115" s="229">
        <v>-2.06E-2</v>
      </c>
      <c r="ED115" s="229">
        <v>0.1923</v>
      </c>
      <c r="EE115" s="228">
        <v>-21.77</v>
      </c>
      <c r="EF115" s="229">
        <v>-2.2499999999999999E-2</v>
      </c>
      <c r="EG115" s="230">
        <v>876764</v>
      </c>
      <c r="EH115" s="230">
        <v>504692</v>
      </c>
      <c r="EI115" s="229">
        <v>0.73719999999999997</v>
      </c>
      <c r="EJ115" s="229">
        <v>0.4042</v>
      </c>
      <c r="EK115" s="228">
        <v>638.84</v>
      </c>
      <c r="EL115" s="228">
        <v>151.41999999999999</v>
      </c>
      <c r="EM115" s="228">
        <v>173.72</v>
      </c>
      <c r="EN115" s="228">
        <v>29.32</v>
      </c>
      <c r="EO115" s="228">
        <v>963.98</v>
      </c>
      <c r="EP115" s="231">
        <v>1034.46</v>
      </c>
      <c r="EQ115" s="228">
        <v>-70.489999999999995</v>
      </c>
      <c r="ER115" s="229">
        <v>-6.8099999999999994E-2</v>
      </c>
      <c r="ES115" s="228">
        <v>247.15</v>
      </c>
      <c r="ET115" s="228">
        <v>114.56</v>
      </c>
      <c r="EU115" s="228">
        <v>354.81</v>
      </c>
      <c r="EV115" s="231">
        <v>19953342</v>
      </c>
      <c r="EW115" s="228">
        <v>716.53</v>
      </c>
      <c r="EX115" s="228">
        <v>598.21</v>
      </c>
      <c r="EY115" s="228">
        <v>118.32</v>
      </c>
      <c r="EZ115" s="229">
        <v>0.1978</v>
      </c>
      <c r="FA115" s="229">
        <v>0.3705</v>
      </c>
      <c r="FB115" s="227" t="s">
        <v>555</v>
      </c>
      <c r="FC115">
        <f t="shared" si="1"/>
        <v>68</v>
      </c>
    </row>
    <row r="116" spans="1:159" ht="17.25" thickBot="1" x14ac:dyDescent="0.3">
      <c r="A116" s="226">
        <v>46129</v>
      </c>
      <c r="B116" s="227" t="s">
        <v>172</v>
      </c>
      <c r="C116" s="227" t="s">
        <v>246</v>
      </c>
      <c r="D116" s="228">
        <v>2000</v>
      </c>
      <c r="E116" s="228">
        <v>11</v>
      </c>
      <c r="F116" s="228">
        <v>383.6</v>
      </c>
      <c r="G116" s="228">
        <v>379.1</v>
      </c>
      <c r="H116" s="228">
        <v>4.5</v>
      </c>
      <c r="I116" s="229">
        <v>1.1900000000000001E-2</v>
      </c>
      <c r="J116" s="228">
        <v>383.6</v>
      </c>
      <c r="K116" s="228">
        <v>379.15</v>
      </c>
      <c r="L116" s="228">
        <v>4.45</v>
      </c>
      <c r="M116" s="229">
        <v>1.17E-2</v>
      </c>
      <c r="N116" s="228">
        <v>383.6</v>
      </c>
      <c r="O116" s="228">
        <v>379.1</v>
      </c>
      <c r="P116" s="228">
        <v>4.5</v>
      </c>
      <c r="Q116" s="229">
        <v>1.1900000000000001E-2</v>
      </c>
      <c r="R116" s="228">
        <v>385.35</v>
      </c>
      <c r="S116" s="228">
        <v>381.5</v>
      </c>
      <c r="T116" s="228">
        <v>3.85</v>
      </c>
      <c r="U116" s="229">
        <v>1.01E-2</v>
      </c>
      <c r="V116" s="228">
        <v>388.45</v>
      </c>
      <c r="W116" s="228">
        <v>383.45</v>
      </c>
      <c r="X116" s="228">
        <v>5</v>
      </c>
      <c r="Y116" s="229">
        <v>1.2999999999999999E-2</v>
      </c>
      <c r="Z116" s="228">
        <v>0</v>
      </c>
      <c r="AA116" s="228">
        <v>-0.05</v>
      </c>
      <c r="AB116" s="228">
        <v>0.05</v>
      </c>
      <c r="AC116" s="229">
        <v>0</v>
      </c>
      <c r="AD116" s="228">
        <v>0</v>
      </c>
      <c r="AE116" s="228">
        <v>-0.05</v>
      </c>
      <c r="AF116" s="228">
        <v>0.05</v>
      </c>
      <c r="AG116" s="229">
        <v>0</v>
      </c>
      <c r="AH116" s="228">
        <v>1.75</v>
      </c>
      <c r="AI116" s="228">
        <v>2.35</v>
      </c>
      <c r="AJ116" s="228">
        <v>-0.6</v>
      </c>
      <c r="AK116" s="229">
        <v>4.5999999999999999E-3</v>
      </c>
      <c r="AL116" s="228">
        <v>4.8499999999999996</v>
      </c>
      <c r="AM116" s="228">
        <v>4.3</v>
      </c>
      <c r="AN116" s="228">
        <v>0.55000000000000004</v>
      </c>
      <c r="AO116" s="229">
        <v>1.26E-2</v>
      </c>
      <c r="AP116" s="228">
        <v>383.4</v>
      </c>
      <c r="AQ116" s="228">
        <v>385.24</v>
      </c>
      <c r="AR116" s="228">
        <v>0</v>
      </c>
      <c r="AS116" s="228">
        <v>917</v>
      </c>
      <c r="AT116" s="228">
        <v>903</v>
      </c>
      <c r="AU116" s="228">
        <v>14</v>
      </c>
      <c r="AV116" s="229">
        <v>1.5299999999999999E-2</v>
      </c>
      <c r="AW116" s="228">
        <v>675</v>
      </c>
      <c r="AX116" s="228">
        <v>688</v>
      </c>
      <c r="AY116" s="228">
        <v>-13</v>
      </c>
      <c r="AZ116" s="229">
        <v>-1.89E-2</v>
      </c>
      <c r="BA116" s="228">
        <v>83</v>
      </c>
      <c r="BB116" s="228">
        <v>90</v>
      </c>
      <c r="BC116" s="228">
        <v>-6</v>
      </c>
      <c r="BD116" s="229">
        <v>-7.0999999999999994E-2</v>
      </c>
      <c r="BE116" s="228">
        <v>159</v>
      </c>
      <c r="BF116" s="228">
        <v>126</v>
      </c>
      <c r="BG116" s="228">
        <v>33</v>
      </c>
      <c r="BH116" s="229">
        <v>0.26390000000000002</v>
      </c>
      <c r="BI116" s="230">
        <v>1076</v>
      </c>
      <c r="BJ116" s="230">
        <v>1406</v>
      </c>
      <c r="BK116" s="228">
        <v>-331</v>
      </c>
      <c r="BL116" s="229">
        <v>-0.2351</v>
      </c>
      <c r="BM116" s="228">
        <v>654</v>
      </c>
      <c r="BN116" s="228">
        <v>747</v>
      </c>
      <c r="BO116" s="228">
        <v>-93</v>
      </c>
      <c r="BP116" s="229">
        <v>-0.12509999999999999</v>
      </c>
      <c r="BQ116" s="230">
        <v>2646</v>
      </c>
      <c r="BR116" s="230">
        <v>3056</v>
      </c>
      <c r="BS116" s="228">
        <v>-410</v>
      </c>
      <c r="BT116" s="229">
        <v>-0.13420000000000001</v>
      </c>
      <c r="BU116" s="230">
        <v>11976142</v>
      </c>
      <c r="BV116" s="230">
        <v>13945459</v>
      </c>
      <c r="BW116" s="230">
        <v>-1969317</v>
      </c>
      <c r="BX116" s="229">
        <v>-0.14119999999999999</v>
      </c>
      <c r="BY116" s="230">
        <v>8344</v>
      </c>
      <c r="BZ116" s="230">
        <v>8493</v>
      </c>
      <c r="CA116" s="228">
        <v>-150</v>
      </c>
      <c r="CB116" s="229">
        <v>-1.7600000000000001E-2</v>
      </c>
      <c r="CC116" s="230">
        <v>6568</v>
      </c>
      <c r="CD116" s="230">
        <v>6915</v>
      </c>
      <c r="CE116" s="228">
        <v>-347</v>
      </c>
      <c r="CF116" s="229">
        <v>-5.0099999999999999E-2</v>
      </c>
      <c r="CG116" s="230">
        <v>1297</v>
      </c>
      <c r="CH116" s="230">
        <v>1255</v>
      </c>
      <c r="CI116" s="228">
        <v>42</v>
      </c>
      <c r="CJ116" s="229">
        <v>3.3799999999999997E-2</v>
      </c>
      <c r="CK116" s="228">
        <v>478</v>
      </c>
      <c r="CL116" s="228">
        <v>324</v>
      </c>
      <c r="CM116" s="228">
        <v>155</v>
      </c>
      <c r="CN116" s="229">
        <v>0.47810000000000002</v>
      </c>
      <c r="CO116" s="230">
        <v>1182</v>
      </c>
      <c r="CP116" s="230">
        <v>1226</v>
      </c>
      <c r="CQ116" s="228">
        <v>-43</v>
      </c>
      <c r="CR116" s="229">
        <v>-3.5200000000000002E-2</v>
      </c>
      <c r="CS116" s="230">
        <v>1063</v>
      </c>
      <c r="CT116" s="230">
        <v>1028</v>
      </c>
      <c r="CU116" s="228">
        <v>35</v>
      </c>
      <c r="CV116" s="229">
        <v>3.4299999999999997E-2</v>
      </c>
      <c r="CW116" s="230">
        <v>10590</v>
      </c>
      <c r="CX116" s="230">
        <v>10747</v>
      </c>
      <c r="CY116" s="228">
        <v>-157</v>
      </c>
      <c r="CZ116" s="229">
        <v>-1.46E-2</v>
      </c>
      <c r="DA116" s="228">
        <v>27.3</v>
      </c>
      <c r="DB116" s="228">
        <v>27.95</v>
      </c>
      <c r="DC116" s="228">
        <v>-0.65</v>
      </c>
      <c r="DD116" s="228">
        <v>-0.65</v>
      </c>
      <c r="DE116" s="228">
        <v>27.35</v>
      </c>
      <c r="DF116" s="228">
        <v>27.38</v>
      </c>
      <c r="DG116" s="228">
        <v>-0.05</v>
      </c>
      <c r="DH116" s="228">
        <v>-0.03</v>
      </c>
      <c r="DI116" s="228">
        <v>26.74</v>
      </c>
      <c r="DJ116" s="228">
        <v>28.23</v>
      </c>
      <c r="DK116" s="228">
        <v>-1.49</v>
      </c>
      <c r="DL116" s="228">
        <v>-1.49</v>
      </c>
      <c r="DM116" s="228">
        <v>28.23</v>
      </c>
      <c r="DN116" s="228">
        <v>27.41</v>
      </c>
      <c r="DO116" s="228">
        <v>0.82</v>
      </c>
      <c r="DP116" s="228">
        <v>0.82</v>
      </c>
      <c r="DQ116" s="228">
        <v>0.9</v>
      </c>
      <c r="DR116" s="228">
        <v>0.84</v>
      </c>
      <c r="DS116" s="228">
        <v>0.06</v>
      </c>
      <c r="DT116" s="229">
        <v>7.1400000000000005E-2</v>
      </c>
      <c r="DU116" s="228">
        <v>370</v>
      </c>
      <c r="DV116" s="228">
        <v>335</v>
      </c>
      <c r="DW116" s="228">
        <v>0.61</v>
      </c>
      <c r="DX116" s="228">
        <v>0.53</v>
      </c>
      <c r="DY116" s="228">
        <v>0.08</v>
      </c>
      <c r="DZ116" s="229">
        <v>0.15090000000000001</v>
      </c>
      <c r="EA116" s="229">
        <v>0.21279999999999999</v>
      </c>
      <c r="EB116" s="230">
        <v>41152000</v>
      </c>
      <c r="EC116" s="229">
        <v>4.5999999999999999E-3</v>
      </c>
      <c r="ED116" s="229">
        <v>0.21279999999999999</v>
      </c>
      <c r="EE116" s="228">
        <v>1.84</v>
      </c>
      <c r="EF116" s="229">
        <v>4.7999999999999996E-3</v>
      </c>
      <c r="EG116" s="230">
        <v>8135992</v>
      </c>
      <c r="EH116" s="230">
        <v>7092092</v>
      </c>
      <c r="EI116" s="229">
        <v>0.1472</v>
      </c>
      <c r="EJ116" s="229">
        <v>0.67930000000000001</v>
      </c>
      <c r="EK116" s="231">
        <v>1109.17</v>
      </c>
      <c r="EL116" s="228">
        <v>646.26</v>
      </c>
      <c r="EM116" s="228">
        <v>918.76</v>
      </c>
      <c r="EN116" s="228">
        <v>120.3</v>
      </c>
      <c r="EO116" s="231">
        <v>2674.18</v>
      </c>
      <c r="EP116" s="231">
        <v>3102.39</v>
      </c>
      <c r="EQ116" s="228">
        <v>-428.21</v>
      </c>
      <c r="ER116" s="229">
        <v>-0.13800000000000001</v>
      </c>
      <c r="ES116" s="231">
        <v>1197.04</v>
      </c>
      <c r="ET116" s="228">
        <v>993.91</v>
      </c>
      <c r="EU116" s="231">
        <v>8355.8799999999992</v>
      </c>
      <c r="EV116" s="231">
        <v>882793124</v>
      </c>
      <c r="EW116" s="231">
        <v>10546.84</v>
      </c>
      <c r="EX116" s="231">
        <v>10602.01</v>
      </c>
      <c r="EY116" s="228">
        <v>-55.17</v>
      </c>
      <c r="EZ116" s="229">
        <v>-5.1999999999999998E-3</v>
      </c>
      <c r="FA116" s="229">
        <v>0.31269999999999998</v>
      </c>
      <c r="FB116" s="227" t="s">
        <v>693</v>
      </c>
      <c r="FC116">
        <f t="shared" si="1"/>
        <v>1776</v>
      </c>
    </row>
    <row r="117" spans="1:159" ht="17.25" thickBot="1" x14ac:dyDescent="0.3">
      <c r="A117" s="226">
        <v>46129</v>
      </c>
      <c r="B117" s="227" t="s">
        <v>221</v>
      </c>
      <c r="C117" s="227" t="s">
        <v>576</v>
      </c>
      <c r="D117" s="228">
        <v>425</v>
      </c>
      <c r="E117" s="228">
        <v>11</v>
      </c>
      <c r="F117" s="228">
        <v>747.85</v>
      </c>
      <c r="G117" s="228">
        <v>748.3</v>
      </c>
      <c r="H117" s="228">
        <v>-0.45</v>
      </c>
      <c r="I117" s="229">
        <v>-5.9999999999999995E-4</v>
      </c>
      <c r="J117" s="228">
        <v>747.8</v>
      </c>
      <c r="K117" s="228">
        <v>746.25</v>
      </c>
      <c r="L117" s="228">
        <v>1.55</v>
      </c>
      <c r="M117" s="229">
        <v>2.0999999999999999E-3</v>
      </c>
      <c r="N117" s="228">
        <v>747.85</v>
      </c>
      <c r="O117" s="228">
        <v>748.3</v>
      </c>
      <c r="P117" s="228">
        <v>-0.45</v>
      </c>
      <c r="Q117" s="229">
        <v>-5.9999999999999995E-4</v>
      </c>
      <c r="R117" s="228">
        <v>751.2</v>
      </c>
      <c r="S117" s="228">
        <v>751.95</v>
      </c>
      <c r="T117" s="228">
        <v>-0.75</v>
      </c>
      <c r="U117" s="229">
        <v>-1E-3</v>
      </c>
      <c r="V117" s="228">
        <v>755.8</v>
      </c>
      <c r="W117" s="228">
        <v>755.6</v>
      </c>
      <c r="X117" s="228">
        <v>0.2</v>
      </c>
      <c r="Y117" s="229">
        <v>2.9999999999999997E-4</v>
      </c>
      <c r="Z117" s="228">
        <v>0.05</v>
      </c>
      <c r="AA117" s="228">
        <v>2.0499999999999998</v>
      </c>
      <c r="AB117" s="228">
        <v>-2</v>
      </c>
      <c r="AC117" s="229">
        <v>1E-4</v>
      </c>
      <c r="AD117" s="228">
        <v>0.05</v>
      </c>
      <c r="AE117" s="228">
        <v>2.0499999999999998</v>
      </c>
      <c r="AF117" s="228">
        <v>-2</v>
      </c>
      <c r="AG117" s="229">
        <v>1E-4</v>
      </c>
      <c r="AH117" s="228">
        <v>3.4</v>
      </c>
      <c r="AI117" s="228">
        <v>5.7</v>
      </c>
      <c r="AJ117" s="228">
        <v>-2.2999999999999998</v>
      </c>
      <c r="AK117" s="229">
        <v>4.4999999999999997E-3</v>
      </c>
      <c r="AL117" s="228">
        <v>8</v>
      </c>
      <c r="AM117" s="228">
        <v>9.35</v>
      </c>
      <c r="AN117" s="228">
        <v>-1.35</v>
      </c>
      <c r="AO117" s="229">
        <v>1.0699999999999999E-2</v>
      </c>
      <c r="AP117" s="228">
        <v>747.43</v>
      </c>
      <c r="AQ117" s="228">
        <v>751.54</v>
      </c>
      <c r="AR117" s="228">
        <v>0</v>
      </c>
      <c r="AS117" s="228">
        <v>102</v>
      </c>
      <c r="AT117" s="228">
        <v>172</v>
      </c>
      <c r="AU117" s="228">
        <v>-70</v>
      </c>
      <c r="AV117" s="229">
        <v>-0.40579999999999999</v>
      </c>
      <c r="AW117" s="228">
        <v>85</v>
      </c>
      <c r="AX117" s="228">
        <v>148</v>
      </c>
      <c r="AY117" s="228">
        <v>-64</v>
      </c>
      <c r="AZ117" s="229">
        <v>-0.42859999999999998</v>
      </c>
      <c r="BA117" s="228">
        <v>15</v>
      </c>
      <c r="BB117" s="228">
        <v>22</v>
      </c>
      <c r="BC117" s="228">
        <v>-7</v>
      </c>
      <c r="BD117" s="229">
        <v>-0.30690000000000001</v>
      </c>
      <c r="BE117" s="228">
        <v>2</v>
      </c>
      <c r="BF117" s="228">
        <v>2</v>
      </c>
      <c r="BG117" s="228">
        <v>0</v>
      </c>
      <c r="BH117" s="229">
        <v>0.25419999999999998</v>
      </c>
      <c r="BI117" s="228">
        <v>337</v>
      </c>
      <c r="BJ117" s="228">
        <v>666</v>
      </c>
      <c r="BK117" s="228">
        <v>-328</v>
      </c>
      <c r="BL117" s="229">
        <v>-0.49320000000000003</v>
      </c>
      <c r="BM117" s="228">
        <v>140</v>
      </c>
      <c r="BN117" s="228">
        <v>225</v>
      </c>
      <c r="BO117" s="228">
        <v>-85</v>
      </c>
      <c r="BP117" s="229">
        <v>-0.37690000000000001</v>
      </c>
      <c r="BQ117" s="228">
        <v>580</v>
      </c>
      <c r="BR117" s="230">
        <v>1063</v>
      </c>
      <c r="BS117" s="228">
        <v>-483</v>
      </c>
      <c r="BT117" s="229">
        <v>-0.45440000000000003</v>
      </c>
      <c r="BU117" s="230">
        <v>1654766</v>
      </c>
      <c r="BV117" s="230">
        <v>2716201</v>
      </c>
      <c r="BW117" s="230">
        <v>-1061435</v>
      </c>
      <c r="BX117" s="229">
        <v>-0.39079999999999998</v>
      </c>
      <c r="BY117" s="228">
        <v>518</v>
      </c>
      <c r="BZ117" s="228">
        <v>517</v>
      </c>
      <c r="CA117" s="228">
        <v>0</v>
      </c>
      <c r="CB117" s="229">
        <v>4.0000000000000002E-4</v>
      </c>
      <c r="CC117" s="228">
        <v>482</v>
      </c>
      <c r="CD117" s="228">
        <v>485</v>
      </c>
      <c r="CE117" s="228">
        <v>-3</v>
      </c>
      <c r="CF117" s="229">
        <v>-6.0000000000000001E-3</v>
      </c>
      <c r="CG117" s="228">
        <v>30</v>
      </c>
      <c r="CH117" s="228">
        <v>28</v>
      </c>
      <c r="CI117" s="228">
        <v>2</v>
      </c>
      <c r="CJ117" s="229">
        <v>7.3899999999999993E-2</v>
      </c>
      <c r="CK117" s="228">
        <v>6</v>
      </c>
      <c r="CL117" s="228">
        <v>5</v>
      </c>
      <c r="CM117" s="228">
        <v>1</v>
      </c>
      <c r="CN117" s="229">
        <v>0.20480000000000001</v>
      </c>
      <c r="CO117" s="228">
        <v>272</v>
      </c>
      <c r="CP117" s="228">
        <v>254</v>
      </c>
      <c r="CQ117" s="228">
        <v>19</v>
      </c>
      <c r="CR117" s="229">
        <v>7.3300000000000004E-2</v>
      </c>
      <c r="CS117" s="228">
        <v>173</v>
      </c>
      <c r="CT117" s="228">
        <v>163</v>
      </c>
      <c r="CU117" s="228">
        <v>10</v>
      </c>
      <c r="CV117" s="229">
        <v>6.1899999999999997E-2</v>
      </c>
      <c r="CW117" s="228">
        <v>963</v>
      </c>
      <c r="CX117" s="228">
        <v>934</v>
      </c>
      <c r="CY117" s="228">
        <v>29</v>
      </c>
      <c r="CZ117" s="229">
        <v>3.09E-2</v>
      </c>
      <c r="DA117" s="228">
        <v>41.25</v>
      </c>
      <c r="DB117" s="228">
        <v>41.88</v>
      </c>
      <c r="DC117" s="228">
        <v>-0.63</v>
      </c>
      <c r="DD117" s="228">
        <v>-0.63</v>
      </c>
      <c r="DE117" s="228">
        <v>45.07</v>
      </c>
      <c r="DF117" s="228">
        <v>45.19</v>
      </c>
      <c r="DG117" s="228">
        <v>-3.82</v>
      </c>
      <c r="DH117" s="228">
        <v>-0.12</v>
      </c>
      <c r="DI117" s="228">
        <v>39.96</v>
      </c>
      <c r="DJ117" s="228">
        <v>41.15</v>
      </c>
      <c r="DK117" s="228">
        <v>-1.19</v>
      </c>
      <c r="DL117" s="228">
        <v>-1.19</v>
      </c>
      <c r="DM117" s="228">
        <v>44.36</v>
      </c>
      <c r="DN117" s="228">
        <v>44.06</v>
      </c>
      <c r="DO117" s="228">
        <v>0.3</v>
      </c>
      <c r="DP117" s="228">
        <v>0.3</v>
      </c>
      <c r="DQ117" s="228">
        <v>0.64</v>
      </c>
      <c r="DR117" s="228">
        <v>0.64</v>
      </c>
      <c r="DS117" s="228">
        <v>0</v>
      </c>
      <c r="DT117" s="229">
        <v>0</v>
      </c>
      <c r="DU117" s="228">
        <v>800</v>
      </c>
      <c r="DV117" s="228">
        <v>700</v>
      </c>
      <c r="DW117" s="228">
        <v>0.42</v>
      </c>
      <c r="DX117" s="228">
        <v>0.34</v>
      </c>
      <c r="DY117" s="228">
        <v>0.08</v>
      </c>
      <c r="DZ117" s="229">
        <v>0.23530000000000001</v>
      </c>
      <c r="EA117" s="229">
        <v>6.9400000000000003E-2</v>
      </c>
      <c r="EB117" s="230">
        <v>438600</v>
      </c>
      <c r="EC117" s="229">
        <v>4.4999999999999997E-3</v>
      </c>
      <c r="ED117" s="229">
        <v>6.9400000000000003E-2</v>
      </c>
      <c r="EE117" s="228">
        <v>4.1100000000000003</v>
      </c>
      <c r="EF117" s="229">
        <v>5.4999999999999997E-3</v>
      </c>
      <c r="EG117" s="230">
        <v>602162</v>
      </c>
      <c r="EH117" s="230">
        <v>733024</v>
      </c>
      <c r="EI117" s="229">
        <v>-0.17849999999999999</v>
      </c>
      <c r="EJ117" s="229">
        <v>0.3639</v>
      </c>
      <c r="EK117" s="228">
        <v>356.1</v>
      </c>
      <c r="EL117" s="228">
        <v>136.6</v>
      </c>
      <c r="EM117" s="228">
        <v>102.21</v>
      </c>
      <c r="EN117" s="228">
        <v>33.25</v>
      </c>
      <c r="EO117" s="228">
        <v>594.9</v>
      </c>
      <c r="EP117" s="231">
        <v>1084.69</v>
      </c>
      <c r="EQ117" s="228">
        <v>-489.79</v>
      </c>
      <c r="ER117" s="229">
        <v>-0.45150000000000001</v>
      </c>
      <c r="ES117" s="228">
        <v>273.85000000000002</v>
      </c>
      <c r="ET117" s="228">
        <v>158.72999999999999</v>
      </c>
      <c r="EU117" s="228">
        <v>517.83000000000004</v>
      </c>
      <c r="EV117" s="231">
        <v>24611073</v>
      </c>
      <c r="EW117" s="228">
        <v>950.41</v>
      </c>
      <c r="EX117" s="228">
        <v>921.09</v>
      </c>
      <c r="EY117" s="228">
        <v>29.32</v>
      </c>
      <c r="EZ117" s="229">
        <v>3.1800000000000002E-2</v>
      </c>
      <c r="FA117" s="229">
        <v>0.52310000000000001</v>
      </c>
      <c r="FB117" s="227" t="s">
        <v>566</v>
      </c>
      <c r="FC117">
        <f t="shared" si="1"/>
        <v>36</v>
      </c>
    </row>
    <row r="118" spans="1:159" ht="17.25" thickBot="1" x14ac:dyDescent="0.3">
      <c r="A118" s="226">
        <v>46129</v>
      </c>
      <c r="B118" s="227" t="s">
        <v>170</v>
      </c>
      <c r="C118" s="227" t="s">
        <v>535</v>
      </c>
      <c r="D118" s="228">
        <v>850</v>
      </c>
      <c r="E118" s="228">
        <v>11</v>
      </c>
      <c r="F118" s="231">
        <v>1137.7</v>
      </c>
      <c r="G118" s="231">
        <v>1131</v>
      </c>
      <c r="H118" s="228">
        <v>6.7</v>
      </c>
      <c r="I118" s="229">
        <v>5.8999999999999999E-3</v>
      </c>
      <c r="J118" s="231">
        <v>1135.75</v>
      </c>
      <c r="K118" s="231">
        <v>1128.3499999999999</v>
      </c>
      <c r="L118" s="228">
        <v>7.4</v>
      </c>
      <c r="M118" s="229">
        <v>6.6E-3</v>
      </c>
      <c r="N118" s="231">
        <v>1137.7</v>
      </c>
      <c r="O118" s="231">
        <v>1131</v>
      </c>
      <c r="P118" s="228">
        <v>6.7</v>
      </c>
      <c r="Q118" s="229">
        <v>5.8999999999999999E-3</v>
      </c>
      <c r="R118" s="231">
        <v>1144.0999999999999</v>
      </c>
      <c r="S118" s="231">
        <v>1137.05</v>
      </c>
      <c r="T118" s="228">
        <v>7.05</v>
      </c>
      <c r="U118" s="229">
        <v>6.1999999999999998E-3</v>
      </c>
      <c r="V118" s="231">
        <v>1150</v>
      </c>
      <c r="W118" s="231">
        <v>1143.55</v>
      </c>
      <c r="X118" s="228">
        <v>6.45</v>
      </c>
      <c r="Y118" s="229">
        <v>5.5999999999999999E-3</v>
      </c>
      <c r="Z118" s="228">
        <v>1.95</v>
      </c>
      <c r="AA118" s="228">
        <v>2.65</v>
      </c>
      <c r="AB118" s="228">
        <v>-0.7</v>
      </c>
      <c r="AC118" s="229">
        <v>1.6999999999999999E-3</v>
      </c>
      <c r="AD118" s="228">
        <v>1.95</v>
      </c>
      <c r="AE118" s="228">
        <v>2.65</v>
      </c>
      <c r="AF118" s="228">
        <v>-0.7</v>
      </c>
      <c r="AG118" s="229">
        <v>1.6999999999999999E-3</v>
      </c>
      <c r="AH118" s="228">
        <v>8.35</v>
      </c>
      <c r="AI118" s="228">
        <v>8.6999999999999993</v>
      </c>
      <c r="AJ118" s="228">
        <v>-0.35</v>
      </c>
      <c r="AK118" s="229">
        <v>7.4000000000000003E-3</v>
      </c>
      <c r="AL118" s="228">
        <v>14.25</v>
      </c>
      <c r="AM118" s="228">
        <v>15.2</v>
      </c>
      <c r="AN118" s="228">
        <v>-0.95</v>
      </c>
      <c r="AO118" s="229">
        <v>1.2500000000000001E-2</v>
      </c>
      <c r="AP118" s="231">
        <v>1135.52</v>
      </c>
      <c r="AQ118" s="231">
        <v>1141.8499999999999</v>
      </c>
      <c r="AR118" s="228">
        <v>0</v>
      </c>
      <c r="AS118" s="228">
        <v>245</v>
      </c>
      <c r="AT118" s="228">
        <v>258</v>
      </c>
      <c r="AU118" s="228">
        <v>-13</v>
      </c>
      <c r="AV118" s="229">
        <v>-4.9200000000000001E-2</v>
      </c>
      <c r="AW118" s="228">
        <v>212</v>
      </c>
      <c r="AX118" s="228">
        <v>224</v>
      </c>
      <c r="AY118" s="228">
        <v>-12</v>
      </c>
      <c r="AZ118" s="229">
        <v>-5.2999999999999999E-2</v>
      </c>
      <c r="BA118" s="228">
        <v>29</v>
      </c>
      <c r="BB118" s="228">
        <v>30</v>
      </c>
      <c r="BC118" s="228">
        <v>-1</v>
      </c>
      <c r="BD118" s="229">
        <v>-2.87E-2</v>
      </c>
      <c r="BE118" s="228">
        <v>3</v>
      </c>
      <c r="BF118" s="228">
        <v>3</v>
      </c>
      <c r="BG118" s="228">
        <v>0</v>
      </c>
      <c r="BH118" s="229">
        <v>3.4500000000000003E-2</v>
      </c>
      <c r="BI118" s="228">
        <v>736</v>
      </c>
      <c r="BJ118" s="228">
        <v>594</v>
      </c>
      <c r="BK118" s="228">
        <v>143</v>
      </c>
      <c r="BL118" s="229">
        <v>0.24010000000000001</v>
      </c>
      <c r="BM118" s="228">
        <v>406</v>
      </c>
      <c r="BN118" s="228">
        <v>351</v>
      </c>
      <c r="BO118" s="228">
        <v>55</v>
      </c>
      <c r="BP118" s="229">
        <v>0.15790000000000001</v>
      </c>
      <c r="BQ118" s="230">
        <v>1388</v>
      </c>
      <c r="BR118" s="230">
        <v>1202</v>
      </c>
      <c r="BS118" s="228">
        <v>185</v>
      </c>
      <c r="BT118" s="229">
        <v>0.15409999999999999</v>
      </c>
      <c r="BU118" s="230">
        <v>1300161</v>
      </c>
      <c r="BV118" s="230">
        <v>1282216</v>
      </c>
      <c r="BW118" s="230">
        <v>17945</v>
      </c>
      <c r="BX118" s="229">
        <v>1.4E-2</v>
      </c>
      <c r="BY118" s="230">
        <v>2024</v>
      </c>
      <c r="BZ118" s="230">
        <v>2035</v>
      </c>
      <c r="CA118" s="228">
        <v>-12</v>
      </c>
      <c r="CB118" s="229">
        <v>-5.7000000000000002E-3</v>
      </c>
      <c r="CC118" s="230">
        <v>1914</v>
      </c>
      <c r="CD118" s="230">
        <v>1934</v>
      </c>
      <c r="CE118" s="228">
        <v>-20</v>
      </c>
      <c r="CF118" s="229">
        <v>-1.0500000000000001E-2</v>
      </c>
      <c r="CG118" s="228">
        <v>103</v>
      </c>
      <c r="CH118" s="228">
        <v>95</v>
      </c>
      <c r="CI118" s="228">
        <v>8</v>
      </c>
      <c r="CJ118" s="229">
        <v>8.6499999999999994E-2</v>
      </c>
      <c r="CK118" s="228">
        <v>6</v>
      </c>
      <c r="CL118" s="228">
        <v>6</v>
      </c>
      <c r="CM118" s="228">
        <v>1</v>
      </c>
      <c r="CN118" s="229">
        <v>0.1186</v>
      </c>
      <c r="CO118" s="228">
        <v>615</v>
      </c>
      <c r="CP118" s="228">
        <v>598</v>
      </c>
      <c r="CQ118" s="228">
        <v>17</v>
      </c>
      <c r="CR118" s="229">
        <v>2.8299999999999999E-2</v>
      </c>
      <c r="CS118" s="228">
        <v>544</v>
      </c>
      <c r="CT118" s="228">
        <v>529</v>
      </c>
      <c r="CU118" s="228">
        <v>15</v>
      </c>
      <c r="CV118" s="229">
        <v>2.8899999999999999E-2</v>
      </c>
      <c r="CW118" s="230">
        <v>3183</v>
      </c>
      <c r="CX118" s="230">
        <v>3162</v>
      </c>
      <c r="CY118" s="228">
        <v>21</v>
      </c>
      <c r="CZ118" s="229">
        <v>6.4999999999999997E-3</v>
      </c>
      <c r="DA118" s="228">
        <v>29.86</v>
      </c>
      <c r="DB118" s="228">
        <v>31.62</v>
      </c>
      <c r="DC118" s="228">
        <v>-1.76</v>
      </c>
      <c r="DD118" s="228">
        <v>-1.76</v>
      </c>
      <c r="DE118" s="228">
        <v>39.46</v>
      </c>
      <c r="DF118" s="228">
        <v>39.549999999999997</v>
      </c>
      <c r="DG118" s="228">
        <v>-9.6</v>
      </c>
      <c r="DH118" s="228">
        <v>-0.09</v>
      </c>
      <c r="DI118" s="228">
        <v>28.29</v>
      </c>
      <c r="DJ118" s="228">
        <v>30.34</v>
      </c>
      <c r="DK118" s="228">
        <v>-2.0499999999999998</v>
      </c>
      <c r="DL118" s="228">
        <v>-2.0499999999999998</v>
      </c>
      <c r="DM118" s="228">
        <v>32.700000000000003</v>
      </c>
      <c r="DN118" s="228">
        <v>33.770000000000003</v>
      </c>
      <c r="DO118" s="228">
        <v>-1.07</v>
      </c>
      <c r="DP118" s="228">
        <v>-1.07</v>
      </c>
      <c r="DQ118" s="228">
        <v>0.88</v>
      </c>
      <c r="DR118" s="228">
        <v>0.88</v>
      </c>
      <c r="DS118" s="228">
        <v>0</v>
      </c>
      <c r="DT118" s="229">
        <v>0</v>
      </c>
      <c r="DU118" s="231">
        <v>1100</v>
      </c>
      <c r="DV118" s="231">
        <v>1050</v>
      </c>
      <c r="DW118" s="228">
        <v>0.55000000000000004</v>
      </c>
      <c r="DX118" s="228">
        <v>0.59</v>
      </c>
      <c r="DY118" s="228">
        <v>-0.04</v>
      </c>
      <c r="DZ118" s="229">
        <v>-6.7799999999999999E-2</v>
      </c>
      <c r="EA118" s="229">
        <v>5.4199999999999998E-2</v>
      </c>
      <c r="EB118" s="230">
        <v>885700</v>
      </c>
      <c r="EC118" s="229">
        <v>5.5999999999999999E-3</v>
      </c>
      <c r="ED118" s="229">
        <v>5.4199999999999998E-2</v>
      </c>
      <c r="EE118" s="228">
        <v>6.33</v>
      </c>
      <c r="EF118" s="229">
        <v>5.5999999999999999E-3</v>
      </c>
      <c r="EG118" s="230">
        <v>614579</v>
      </c>
      <c r="EH118" s="230">
        <v>567307</v>
      </c>
      <c r="EI118" s="229">
        <v>8.3299999999999999E-2</v>
      </c>
      <c r="EJ118" s="229">
        <v>0.47270000000000001</v>
      </c>
      <c r="EK118" s="228">
        <v>761.64</v>
      </c>
      <c r="EL118" s="228">
        <v>394.27</v>
      </c>
      <c r="EM118" s="228">
        <v>244.59</v>
      </c>
      <c r="EN118" s="228">
        <v>29.23</v>
      </c>
      <c r="EO118" s="231">
        <v>1400.5</v>
      </c>
      <c r="EP118" s="231">
        <v>1207</v>
      </c>
      <c r="EQ118" s="228">
        <v>193.5</v>
      </c>
      <c r="ER118" s="229">
        <v>0.1603</v>
      </c>
      <c r="ES118" s="228">
        <v>605.63</v>
      </c>
      <c r="ET118" s="228">
        <v>493.57</v>
      </c>
      <c r="EU118" s="231">
        <v>2024.19</v>
      </c>
      <c r="EV118" s="231">
        <v>58713729</v>
      </c>
      <c r="EW118" s="231">
        <v>3123.39</v>
      </c>
      <c r="EX118" s="231">
        <v>3086.9</v>
      </c>
      <c r="EY118" s="228">
        <v>36.49</v>
      </c>
      <c r="EZ118" s="229">
        <v>1.18E-2</v>
      </c>
      <c r="FA118" s="229">
        <v>0.47649999999999998</v>
      </c>
      <c r="FB118" s="227" t="s">
        <v>693</v>
      </c>
      <c r="FC118">
        <f t="shared" si="1"/>
        <v>110</v>
      </c>
    </row>
    <row r="119" spans="1:159" ht="17.25" thickBot="1" x14ac:dyDescent="0.3">
      <c r="A119" s="226">
        <v>46129</v>
      </c>
      <c r="B119" s="227" t="s">
        <v>175</v>
      </c>
      <c r="C119" s="227" t="s">
        <v>248</v>
      </c>
      <c r="D119" s="228">
        <v>1000</v>
      </c>
      <c r="E119" s="228">
        <v>11</v>
      </c>
      <c r="F119" s="228">
        <v>539.75</v>
      </c>
      <c r="G119" s="228">
        <v>534.79999999999995</v>
      </c>
      <c r="H119" s="228">
        <v>4.95</v>
      </c>
      <c r="I119" s="229">
        <v>9.2999999999999992E-3</v>
      </c>
      <c r="J119" s="228">
        <v>540</v>
      </c>
      <c r="K119" s="228">
        <v>534.85</v>
      </c>
      <c r="L119" s="228">
        <v>5.15</v>
      </c>
      <c r="M119" s="229">
        <v>9.5999999999999992E-3</v>
      </c>
      <c r="N119" s="228">
        <v>539.75</v>
      </c>
      <c r="O119" s="228">
        <v>534.79999999999995</v>
      </c>
      <c r="P119" s="228">
        <v>4.95</v>
      </c>
      <c r="Q119" s="229">
        <v>9.2999999999999992E-3</v>
      </c>
      <c r="R119" s="228">
        <v>543.15</v>
      </c>
      <c r="S119" s="228">
        <v>537.9</v>
      </c>
      <c r="T119" s="228">
        <v>5.25</v>
      </c>
      <c r="U119" s="229">
        <v>9.7999999999999997E-3</v>
      </c>
      <c r="V119" s="228">
        <v>545.45000000000005</v>
      </c>
      <c r="W119" s="228">
        <v>541.25</v>
      </c>
      <c r="X119" s="228">
        <v>4.2</v>
      </c>
      <c r="Y119" s="229">
        <v>7.7999999999999996E-3</v>
      </c>
      <c r="Z119" s="228">
        <v>-0.25</v>
      </c>
      <c r="AA119" s="228">
        <v>-0.05</v>
      </c>
      <c r="AB119" s="228">
        <v>-0.2</v>
      </c>
      <c r="AC119" s="229">
        <v>-5.0000000000000001E-4</v>
      </c>
      <c r="AD119" s="228">
        <v>-0.25</v>
      </c>
      <c r="AE119" s="228">
        <v>-0.05</v>
      </c>
      <c r="AF119" s="228">
        <v>-0.2</v>
      </c>
      <c r="AG119" s="229">
        <v>-5.0000000000000001E-4</v>
      </c>
      <c r="AH119" s="228">
        <v>3.15</v>
      </c>
      <c r="AI119" s="228">
        <v>3.05</v>
      </c>
      <c r="AJ119" s="228">
        <v>0.1</v>
      </c>
      <c r="AK119" s="229">
        <v>5.7999999999999996E-3</v>
      </c>
      <c r="AL119" s="228">
        <v>5.45</v>
      </c>
      <c r="AM119" s="228">
        <v>6.4</v>
      </c>
      <c r="AN119" s="228">
        <v>-0.95</v>
      </c>
      <c r="AO119" s="229">
        <v>1.01E-2</v>
      </c>
      <c r="AP119" s="228">
        <v>538.22</v>
      </c>
      <c r="AQ119" s="228">
        <v>540.9</v>
      </c>
      <c r="AR119" s="228">
        <v>0</v>
      </c>
      <c r="AS119" s="228">
        <v>121</v>
      </c>
      <c r="AT119" s="228">
        <v>141</v>
      </c>
      <c r="AU119" s="228">
        <v>-20</v>
      </c>
      <c r="AV119" s="229">
        <v>-0.1429</v>
      </c>
      <c r="AW119" s="228">
        <v>103</v>
      </c>
      <c r="AX119" s="228">
        <v>128</v>
      </c>
      <c r="AY119" s="228">
        <v>-25</v>
      </c>
      <c r="AZ119" s="229">
        <v>-0.1948</v>
      </c>
      <c r="BA119" s="228">
        <v>18</v>
      </c>
      <c r="BB119" s="228">
        <v>13</v>
      </c>
      <c r="BC119" s="228">
        <v>5</v>
      </c>
      <c r="BD119" s="229">
        <v>0.36820000000000003</v>
      </c>
      <c r="BE119" s="228">
        <v>1</v>
      </c>
      <c r="BF119" s="228">
        <v>1</v>
      </c>
      <c r="BG119" s="228">
        <v>0</v>
      </c>
      <c r="BH119" s="229">
        <v>-7.6899999999999996E-2</v>
      </c>
      <c r="BI119" s="228">
        <v>296</v>
      </c>
      <c r="BJ119" s="228">
        <v>416</v>
      </c>
      <c r="BK119" s="228">
        <v>-120</v>
      </c>
      <c r="BL119" s="229">
        <v>-0.28910000000000002</v>
      </c>
      <c r="BM119" s="228">
        <v>99</v>
      </c>
      <c r="BN119" s="228">
        <v>148</v>
      </c>
      <c r="BO119" s="228">
        <v>-49</v>
      </c>
      <c r="BP119" s="229">
        <v>-0.33179999999999998</v>
      </c>
      <c r="BQ119" s="228">
        <v>516</v>
      </c>
      <c r="BR119" s="228">
        <v>706</v>
      </c>
      <c r="BS119" s="228">
        <v>-190</v>
      </c>
      <c r="BT119" s="229">
        <v>-0.26879999999999998</v>
      </c>
      <c r="BU119" s="230">
        <v>1230527</v>
      </c>
      <c r="BV119" s="230">
        <v>1558081</v>
      </c>
      <c r="BW119" s="230">
        <v>-327554</v>
      </c>
      <c r="BX119" s="229">
        <v>-0.2102</v>
      </c>
      <c r="BY119" s="230">
        <v>1736</v>
      </c>
      <c r="BZ119" s="230">
        <v>1756</v>
      </c>
      <c r="CA119" s="228">
        <v>-20</v>
      </c>
      <c r="CB119" s="229">
        <v>-1.1299999999999999E-2</v>
      </c>
      <c r="CC119" s="230">
        <v>1679</v>
      </c>
      <c r="CD119" s="230">
        <v>1707</v>
      </c>
      <c r="CE119" s="228">
        <v>-28</v>
      </c>
      <c r="CF119" s="229">
        <v>-1.6299999999999999E-2</v>
      </c>
      <c r="CG119" s="228">
        <v>55</v>
      </c>
      <c r="CH119" s="228">
        <v>47</v>
      </c>
      <c r="CI119" s="228">
        <v>8</v>
      </c>
      <c r="CJ119" s="229">
        <v>0.16270000000000001</v>
      </c>
      <c r="CK119" s="228">
        <v>2</v>
      </c>
      <c r="CL119" s="228">
        <v>2</v>
      </c>
      <c r="CM119" s="228">
        <v>0</v>
      </c>
      <c r="CN119" s="229">
        <v>0.1212</v>
      </c>
      <c r="CO119" s="228">
        <v>317</v>
      </c>
      <c r="CP119" s="228">
        <v>314</v>
      </c>
      <c r="CQ119" s="228">
        <v>2</v>
      </c>
      <c r="CR119" s="229">
        <v>6.8999999999999999E-3</v>
      </c>
      <c r="CS119" s="228">
        <v>308</v>
      </c>
      <c r="CT119" s="228">
        <v>297</v>
      </c>
      <c r="CU119" s="228">
        <v>11</v>
      </c>
      <c r="CV119" s="229">
        <v>3.5799999999999998E-2</v>
      </c>
      <c r="CW119" s="230">
        <v>2360</v>
      </c>
      <c r="CX119" s="230">
        <v>2368</v>
      </c>
      <c r="CY119" s="228">
        <v>-7</v>
      </c>
      <c r="CZ119" s="229">
        <v>-3.0000000000000001E-3</v>
      </c>
      <c r="DA119" s="228">
        <v>27.05</v>
      </c>
      <c r="DB119" s="228">
        <v>29.55</v>
      </c>
      <c r="DC119" s="228">
        <v>-2.5</v>
      </c>
      <c r="DD119" s="228">
        <v>-2.5</v>
      </c>
      <c r="DE119" s="228">
        <v>33.19</v>
      </c>
      <c r="DF119" s="228">
        <v>33.25</v>
      </c>
      <c r="DG119" s="228">
        <v>-6.14</v>
      </c>
      <c r="DH119" s="228">
        <v>-0.06</v>
      </c>
      <c r="DI119" s="228">
        <v>26.28</v>
      </c>
      <c r="DJ119" s="228">
        <v>29.19</v>
      </c>
      <c r="DK119" s="228">
        <v>-2.91</v>
      </c>
      <c r="DL119" s="228">
        <v>-2.91</v>
      </c>
      <c r="DM119" s="228">
        <v>29.35</v>
      </c>
      <c r="DN119" s="228">
        <v>30.56</v>
      </c>
      <c r="DO119" s="228">
        <v>-1.21</v>
      </c>
      <c r="DP119" s="228">
        <v>-1.21</v>
      </c>
      <c r="DQ119" s="228">
        <v>0.97</v>
      </c>
      <c r="DR119" s="228">
        <v>0.94</v>
      </c>
      <c r="DS119" s="228">
        <v>0.03</v>
      </c>
      <c r="DT119" s="229">
        <v>3.1899999999999998E-2</v>
      </c>
      <c r="DU119" s="228">
        <v>550</v>
      </c>
      <c r="DV119" s="228">
        <v>480</v>
      </c>
      <c r="DW119" s="228">
        <v>0.34</v>
      </c>
      <c r="DX119" s="228">
        <v>0.36</v>
      </c>
      <c r="DY119" s="228">
        <v>-0.02</v>
      </c>
      <c r="DZ119" s="229">
        <v>-5.5599999999999997E-2</v>
      </c>
      <c r="EA119" s="229">
        <v>3.2899999999999999E-2</v>
      </c>
      <c r="EB119" s="230">
        <v>912000</v>
      </c>
      <c r="EC119" s="229">
        <v>6.3E-3</v>
      </c>
      <c r="ED119" s="229">
        <v>3.2899999999999999E-2</v>
      </c>
      <c r="EE119" s="228">
        <v>2.68</v>
      </c>
      <c r="EF119" s="229">
        <v>5.0000000000000001E-3</v>
      </c>
      <c r="EG119" s="230">
        <v>641164</v>
      </c>
      <c r="EH119" s="230">
        <v>863183</v>
      </c>
      <c r="EI119" s="229">
        <v>-0.25719999999999998</v>
      </c>
      <c r="EJ119" s="229">
        <v>0.52100000000000002</v>
      </c>
      <c r="EK119" s="228">
        <v>304.52</v>
      </c>
      <c r="EL119" s="228">
        <v>97.2</v>
      </c>
      <c r="EM119" s="228">
        <v>120.87</v>
      </c>
      <c r="EN119" s="228">
        <v>23.83</v>
      </c>
      <c r="EO119" s="228">
        <v>522.59</v>
      </c>
      <c r="EP119" s="228">
        <v>717.62</v>
      </c>
      <c r="EQ119" s="228">
        <v>-195.03</v>
      </c>
      <c r="ER119" s="229">
        <v>-0.27179999999999999</v>
      </c>
      <c r="ES119" s="228">
        <v>319.06</v>
      </c>
      <c r="ET119" s="228">
        <v>288.45</v>
      </c>
      <c r="EU119" s="231">
        <v>1736.58</v>
      </c>
      <c r="EV119" s="231">
        <v>45183075</v>
      </c>
      <c r="EW119" s="231">
        <v>2344.1</v>
      </c>
      <c r="EX119" s="231">
        <v>2334.5100000000002</v>
      </c>
      <c r="EY119" s="228">
        <v>9.59</v>
      </c>
      <c r="EZ119" s="229">
        <v>4.1000000000000003E-3</v>
      </c>
      <c r="FA119" s="229">
        <v>0.96789999999999998</v>
      </c>
      <c r="FB119" s="227" t="s">
        <v>693</v>
      </c>
      <c r="FC119">
        <f t="shared" si="1"/>
        <v>57</v>
      </c>
    </row>
    <row r="120" spans="1:159" ht="17.25" thickBot="1" x14ac:dyDescent="0.3">
      <c r="A120" s="226">
        <v>46129</v>
      </c>
      <c r="B120" s="227" t="s">
        <v>175</v>
      </c>
      <c r="C120" s="227" t="s">
        <v>606</v>
      </c>
      <c r="D120" s="228">
        <v>700</v>
      </c>
      <c r="E120" s="228">
        <v>11</v>
      </c>
      <c r="F120" s="228">
        <v>844.15</v>
      </c>
      <c r="G120" s="228">
        <v>839.8</v>
      </c>
      <c r="H120" s="228">
        <v>4.3499999999999996</v>
      </c>
      <c r="I120" s="229">
        <v>5.1999999999999998E-3</v>
      </c>
      <c r="J120" s="228">
        <v>842.2</v>
      </c>
      <c r="K120" s="228">
        <v>841.65</v>
      </c>
      <c r="L120" s="228">
        <v>0.55000000000000004</v>
      </c>
      <c r="M120" s="229">
        <v>6.9999999999999999E-4</v>
      </c>
      <c r="N120" s="228">
        <v>844.15</v>
      </c>
      <c r="O120" s="228">
        <v>839.8</v>
      </c>
      <c r="P120" s="228">
        <v>4.3499999999999996</v>
      </c>
      <c r="Q120" s="229">
        <v>5.1999999999999998E-3</v>
      </c>
      <c r="R120" s="228">
        <v>840</v>
      </c>
      <c r="S120" s="228">
        <v>834.9</v>
      </c>
      <c r="T120" s="228">
        <v>5.0999999999999996</v>
      </c>
      <c r="U120" s="229">
        <v>6.1000000000000004E-3</v>
      </c>
      <c r="V120" s="228">
        <v>837.15</v>
      </c>
      <c r="W120" s="228">
        <v>833.5</v>
      </c>
      <c r="X120" s="228">
        <v>3.65</v>
      </c>
      <c r="Y120" s="229">
        <v>4.4000000000000003E-3</v>
      </c>
      <c r="Z120" s="228">
        <v>1.95</v>
      </c>
      <c r="AA120" s="228">
        <v>-1.85</v>
      </c>
      <c r="AB120" s="228">
        <v>3.8</v>
      </c>
      <c r="AC120" s="229">
        <v>2.3E-3</v>
      </c>
      <c r="AD120" s="228">
        <v>1.95</v>
      </c>
      <c r="AE120" s="228">
        <v>-1.85</v>
      </c>
      <c r="AF120" s="228">
        <v>3.8</v>
      </c>
      <c r="AG120" s="229">
        <v>2.3E-3</v>
      </c>
      <c r="AH120" s="228">
        <v>-2.2000000000000002</v>
      </c>
      <c r="AI120" s="228">
        <v>-6.75</v>
      </c>
      <c r="AJ120" s="228">
        <v>4.55</v>
      </c>
      <c r="AK120" s="229">
        <v>-2.5999999999999999E-3</v>
      </c>
      <c r="AL120" s="228">
        <v>-5.05</v>
      </c>
      <c r="AM120" s="228">
        <v>-8.15</v>
      </c>
      <c r="AN120" s="228">
        <v>3.1</v>
      </c>
      <c r="AO120" s="229">
        <v>-6.0000000000000001E-3</v>
      </c>
      <c r="AP120" s="228">
        <v>838.92</v>
      </c>
      <c r="AQ120" s="228">
        <v>833.78</v>
      </c>
      <c r="AR120" s="228">
        <v>0</v>
      </c>
      <c r="AS120" s="228">
        <v>165</v>
      </c>
      <c r="AT120" s="228">
        <v>205</v>
      </c>
      <c r="AU120" s="228">
        <v>-39</v>
      </c>
      <c r="AV120" s="229">
        <v>-0.19220000000000001</v>
      </c>
      <c r="AW120" s="228">
        <v>107</v>
      </c>
      <c r="AX120" s="228">
        <v>144</v>
      </c>
      <c r="AY120" s="228">
        <v>-37</v>
      </c>
      <c r="AZ120" s="229">
        <v>-0.25669999999999998</v>
      </c>
      <c r="BA120" s="228">
        <v>53</v>
      </c>
      <c r="BB120" s="228">
        <v>53</v>
      </c>
      <c r="BC120" s="228">
        <v>0</v>
      </c>
      <c r="BD120" s="229">
        <v>0</v>
      </c>
      <c r="BE120" s="228">
        <v>6</v>
      </c>
      <c r="BF120" s="228">
        <v>8</v>
      </c>
      <c r="BG120" s="228">
        <v>-2</v>
      </c>
      <c r="BH120" s="229">
        <v>-0.29499999999999998</v>
      </c>
      <c r="BI120" s="228">
        <v>436</v>
      </c>
      <c r="BJ120" s="228">
        <v>591</v>
      </c>
      <c r="BK120" s="228">
        <v>-156</v>
      </c>
      <c r="BL120" s="229">
        <v>-0.26300000000000001</v>
      </c>
      <c r="BM120" s="228">
        <v>203</v>
      </c>
      <c r="BN120" s="228">
        <v>217</v>
      </c>
      <c r="BO120" s="228">
        <v>-14</v>
      </c>
      <c r="BP120" s="229">
        <v>-6.3399999999999998E-2</v>
      </c>
      <c r="BQ120" s="228">
        <v>805</v>
      </c>
      <c r="BR120" s="230">
        <v>1014</v>
      </c>
      <c r="BS120" s="228">
        <v>-209</v>
      </c>
      <c r="BT120" s="229">
        <v>-0.2059</v>
      </c>
      <c r="BU120" s="230">
        <v>1471020</v>
      </c>
      <c r="BV120" s="230">
        <v>2649922</v>
      </c>
      <c r="BW120" s="230">
        <v>-1178902</v>
      </c>
      <c r="BX120" s="229">
        <v>-0.44490000000000002</v>
      </c>
      <c r="BY120" s="228">
        <v>876</v>
      </c>
      <c r="BZ120" s="228">
        <v>864</v>
      </c>
      <c r="CA120" s="228">
        <v>12</v>
      </c>
      <c r="CB120" s="229">
        <v>1.43E-2</v>
      </c>
      <c r="CC120" s="228">
        <v>711</v>
      </c>
      <c r="CD120" s="228">
        <v>722</v>
      </c>
      <c r="CE120" s="228">
        <v>-11</v>
      </c>
      <c r="CF120" s="229">
        <v>-1.54E-2</v>
      </c>
      <c r="CG120" s="228">
        <v>148</v>
      </c>
      <c r="CH120" s="228">
        <v>124</v>
      </c>
      <c r="CI120" s="228">
        <v>23</v>
      </c>
      <c r="CJ120" s="229">
        <v>0.18729999999999999</v>
      </c>
      <c r="CK120" s="228">
        <v>18</v>
      </c>
      <c r="CL120" s="228">
        <v>18</v>
      </c>
      <c r="CM120" s="228">
        <v>0</v>
      </c>
      <c r="CN120" s="229">
        <v>9.9000000000000008E-3</v>
      </c>
      <c r="CO120" s="228">
        <v>617</v>
      </c>
      <c r="CP120" s="228">
        <v>528</v>
      </c>
      <c r="CQ120" s="228">
        <v>89</v>
      </c>
      <c r="CR120" s="229">
        <v>0.16869999999999999</v>
      </c>
      <c r="CS120" s="228">
        <v>364</v>
      </c>
      <c r="CT120" s="228">
        <v>335</v>
      </c>
      <c r="CU120" s="228">
        <v>29</v>
      </c>
      <c r="CV120" s="229">
        <v>8.7099999999999997E-2</v>
      </c>
      <c r="CW120" s="230">
        <v>1858</v>
      </c>
      <c r="CX120" s="230">
        <v>1727</v>
      </c>
      <c r="CY120" s="228">
        <v>131</v>
      </c>
      <c r="CZ120" s="229">
        <v>7.5600000000000001E-2</v>
      </c>
      <c r="DA120" s="228">
        <v>31.73</v>
      </c>
      <c r="DB120" s="228">
        <v>31.55</v>
      </c>
      <c r="DC120" s="228">
        <v>0.18</v>
      </c>
      <c r="DD120" s="228">
        <v>0.18</v>
      </c>
      <c r="DE120" s="228">
        <v>33.31</v>
      </c>
      <c r="DF120" s="228">
        <v>33.39</v>
      </c>
      <c r="DG120" s="228">
        <v>-1.58</v>
      </c>
      <c r="DH120" s="228">
        <v>-0.08</v>
      </c>
      <c r="DI120" s="228">
        <v>30.65</v>
      </c>
      <c r="DJ120" s="228">
        <v>31.25</v>
      </c>
      <c r="DK120" s="228">
        <v>-0.6</v>
      </c>
      <c r="DL120" s="228">
        <v>-0.6</v>
      </c>
      <c r="DM120" s="228">
        <v>34.06</v>
      </c>
      <c r="DN120" s="228">
        <v>32.369999999999997</v>
      </c>
      <c r="DO120" s="228">
        <v>1.69</v>
      </c>
      <c r="DP120" s="228">
        <v>1.69</v>
      </c>
      <c r="DQ120" s="228">
        <v>0.59</v>
      </c>
      <c r="DR120" s="228">
        <v>0.63</v>
      </c>
      <c r="DS120" s="228">
        <v>-0.04</v>
      </c>
      <c r="DT120" s="229">
        <v>-6.3500000000000001E-2</v>
      </c>
      <c r="DU120" s="228">
        <v>840</v>
      </c>
      <c r="DV120" s="228">
        <v>800</v>
      </c>
      <c r="DW120" s="228">
        <v>0.47</v>
      </c>
      <c r="DX120" s="228">
        <v>0.37</v>
      </c>
      <c r="DY120" s="228">
        <v>0.1</v>
      </c>
      <c r="DZ120" s="229">
        <v>0.27029999999999998</v>
      </c>
      <c r="EA120" s="229">
        <v>0.18909999999999999</v>
      </c>
      <c r="EB120" s="230">
        <v>1684900</v>
      </c>
      <c r="EC120" s="229">
        <v>-4.8999999999999998E-3</v>
      </c>
      <c r="ED120" s="229">
        <v>0.18909999999999999</v>
      </c>
      <c r="EE120" s="228">
        <v>-5.14</v>
      </c>
      <c r="EF120" s="229">
        <v>-6.1000000000000004E-3</v>
      </c>
      <c r="EG120" s="230">
        <v>590697</v>
      </c>
      <c r="EH120" s="230">
        <v>1132196</v>
      </c>
      <c r="EI120" s="229">
        <v>-0.4783</v>
      </c>
      <c r="EJ120" s="229">
        <v>0.40160000000000001</v>
      </c>
      <c r="EK120" s="228">
        <v>452.73</v>
      </c>
      <c r="EL120" s="228">
        <v>195.09</v>
      </c>
      <c r="EM120" s="228">
        <v>164.06</v>
      </c>
      <c r="EN120" s="228">
        <v>42.63</v>
      </c>
      <c r="EO120" s="228">
        <v>811.89</v>
      </c>
      <c r="EP120" s="231">
        <v>1038.44</v>
      </c>
      <c r="EQ120" s="228">
        <v>-226.55</v>
      </c>
      <c r="ER120" s="229">
        <v>-0.21820000000000001</v>
      </c>
      <c r="ES120" s="228">
        <v>618.72</v>
      </c>
      <c r="ET120" s="228">
        <v>338.15</v>
      </c>
      <c r="EU120" s="228">
        <v>875.38</v>
      </c>
      <c r="EV120" s="231">
        <v>33206238</v>
      </c>
      <c r="EW120" s="231">
        <v>1832.24</v>
      </c>
      <c r="EX120" s="231">
        <v>1696.4</v>
      </c>
      <c r="EY120" s="228">
        <v>135.84</v>
      </c>
      <c r="EZ120" s="229">
        <v>8.0100000000000005E-2</v>
      </c>
      <c r="FA120" s="229">
        <v>0.66290000000000004</v>
      </c>
      <c r="FB120" s="227" t="s">
        <v>555</v>
      </c>
      <c r="FC120">
        <f t="shared" si="1"/>
        <v>165</v>
      </c>
    </row>
    <row r="121" spans="1:159" ht="17.25" thickBot="1" x14ac:dyDescent="0.3">
      <c r="A121" s="226">
        <v>46129</v>
      </c>
      <c r="B121" s="227" t="s">
        <v>206</v>
      </c>
      <c r="C121" s="227" t="s">
        <v>587</v>
      </c>
      <c r="D121" s="228">
        <v>450</v>
      </c>
      <c r="E121" s="228">
        <v>11</v>
      </c>
      <c r="F121" s="228">
        <v>872.85</v>
      </c>
      <c r="G121" s="228">
        <v>875.65</v>
      </c>
      <c r="H121" s="228">
        <v>-2.8</v>
      </c>
      <c r="I121" s="229">
        <v>-3.2000000000000002E-3</v>
      </c>
      <c r="J121" s="228">
        <v>872.55</v>
      </c>
      <c r="K121" s="228">
        <v>873.5</v>
      </c>
      <c r="L121" s="228">
        <v>-0.95</v>
      </c>
      <c r="M121" s="229">
        <v>-1.1000000000000001E-3</v>
      </c>
      <c r="N121" s="228">
        <v>872.85</v>
      </c>
      <c r="O121" s="228">
        <v>875.65</v>
      </c>
      <c r="P121" s="228">
        <v>-2.8</v>
      </c>
      <c r="Q121" s="229">
        <v>-3.2000000000000002E-3</v>
      </c>
      <c r="R121" s="228">
        <v>877.4</v>
      </c>
      <c r="S121" s="228">
        <v>880.25</v>
      </c>
      <c r="T121" s="228">
        <v>-2.85</v>
      </c>
      <c r="U121" s="229">
        <v>-3.2000000000000002E-3</v>
      </c>
      <c r="V121" s="228">
        <v>883.2</v>
      </c>
      <c r="W121" s="228">
        <v>884</v>
      </c>
      <c r="X121" s="228">
        <v>-0.8</v>
      </c>
      <c r="Y121" s="229">
        <v>-8.9999999999999998E-4</v>
      </c>
      <c r="Z121" s="228">
        <v>0.3</v>
      </c>
      <c r="AA121" s="228">
        <v>2.15</v>
      </c>
      <c r="AB121" s="228">
        <v>-1.85</v>
      </c>
      <c r="AC121" s="229">
        <v>2.9999999999999997E-4</v>
      </c>
      <c r="AD121" s="228">
        <v>0.3</v>
      </c>
      <c r="AE121" s="228">
        <v>2.15</v>
      </c>
      <c r="AF121" s="228">
        <v>-1.85</v>
      </c>
      <c r="AG121" s="229">
        <v>2.9999999999999997E-4</v>
      </c>
      <c r="AH121" s="228">
        <v>4.8499999999999996</v>
      </c>
      <c r="AI121" s="228">
        <v>6.75</v>
      </c>
      <c r="AJ121" s="228">
        <v>-1.9</v>
      </c>
      <c r="AK121" s="229">
        <v>5.5999999999999999E-3</v>
      </c>
      <c r="AL121" s="228">
        <v>10.65</v>
      </c>
      <c r="AM121" s="228">
        <v>10.5</v>
      </c>
      <c r="AN121" s="228">
        <v>0.15</v>
      </c>
      <c r="AO121" s="229">
        <v>1.2200000000000001E-2</v>
      </c>
      <c r="AP121" s="228">
        <v>867.82</v>
      </c>
      <c r="AQ121" s="228">
        <v>869.52</v>
      </c>
      <c r="AR121" s="228">
        <v>0</v>
      </c>
      <c r="AS121" s="228">
        <v>270</v>
      </c>
      <c r="AT121" s="228">
        <v>484</v>
      </c>
      <c r="AU121" s="228">
        <v>-214</v>
      </c>
      <c r="AV121" s="229">
        <v>-0.44280000000000003</v>
      </c>
      <c r="AW121" s="228">
        <v>245</v>
      </c>
      <c r="AX121" s="228">
        <v>408</v>
      </c>
      <c r="AY121" s="228">
        <v>-164</v>
      </c>
      <c r="AZ121" s="229">
        <v>-0.40050000000000002</v>
      </c>
      <c r="BA121" s="228">
        <v>23</v>
      </c>
      <c r="BB121" s="228">
        <v>18</v>
      </c>
      <c r="BC121" s="228">
        <v>5</v>
      </c>
      <c r="BD121" s="229">
        <v>0.27139999999999997</v>
      </c>
      <c r="BE121" s="228">
        <v>2</v>
      </c>
      <c r="BF121" s="228">
        <v>57</v>
      </c>
      <c r="BG121" s="228">
        <v>-56</v>
      </c>
      <c r="BH121" s="229">
        <v>-0.97260000000000002</v>
      </c>
      <c r="BI121" s="228">
        <v>573</v>
      </c>
      <c r="BJ121" s="228">
        <v>591</v>
      </c>
      <c r="BK121" s="228">
        <v>-18</v>
      </c>
      <c r="BL121" s="229">
        <v>-3.0300000000000001E-2</v>
      </c>
      <c r="BM121" s="228">
        <v>471</v>
      </c>
      <c r="BN121" s="228">
        <v>463</v>
      </c>
      <c r="BO121" s="228">
        <v>8</v>
      </c>
      <c r="BP121" s="229">
        <v>1.7100000000000001E-2</v>
      </c>
      <c r="BQ121" s="230">
        <v>1313</v>
      </c>
      <c r="BR121" s="230">
        <v>1538</v>
      </c>
      <c r="BS121" s="228">
        <v>-224</v>
      </c>
      <c r="BT121" s="229">
        <v>-0.1459</v>
      </c>
      <c r="BU121" s="230">
        <v>2488053</v>
      </c>
      <c r="BV121" s="230">
        <v>3757227</v>
      </c>
      <c r="BW121" s="230">
        <v>-1269174</v>
      </c>
      <c r="BX121" s="229">
        <v>-0.33779999999999999</v>
      </c>
      <c r="BY121" s="230">
        <v>1682</v>
      </c>
      <c r="BZ121" s="230">
        <v>1743</v>
      </c>
      <c r="CA121" s="228">
        <v>-61</v>
      </c>
      <c r="CB121" s="229">
        <v>-3.5000000000000003E-2</v>
      </c>
      <c r="CC121" s="230">
        <v>1508</v>
      </c>
      <c r="CD121" s="230">
        <v>1577</v>
      </c>
      <c r="CE121" s="228">
        <v>-69</v>
      </c>
      <c r="CF121" s="229">
        <v>-4.3499999999999997E-2</v>
      </c>
      <c r="CG121" s="228">
        <v>115</v>
      </c>
      <c r="CH121" s="228">
        <v>108</v>
      </c>
      <c r="CI121" s="228">
        <v>7</v>
      </c>
      <c r="CJ121" s="229">
        <v>6.6799999999999998E-2</v>
      </c>
      <c r="CK121" s="228">
        <v>59</v>
      </c>
      <c r="CL121" s="228">
        <v>58</v>
      </c>
      <c r="CM121" s="228">
        <v>0</v>
      </c>
      <c r="CN121" s="229">
        <v>8.0999999999999996E-3</v>
      </c>
      <c r="CO121" s="228">
        <v>535</v>
      </c>
      <c r="CP121" s="228">
        <v>524</v>
      </c>
      <c r="CQ121" s="228">
        <v>11</v>
      </c>
      <c r="CR121" s="229">
        <v>2.12E-2</v>
      </c>
      <c r="CS121" s="228">
        <v>451</v>
      </c>
      <c r="CT121" s="228">
        <v>487</v>
      </c>
      <c r="CU121" s="228">
        <v>-37</v>
      </c>
      <c r="CV121" s="229">
        <v>-7.51E-2</v>
      </c>
      <c r="CW121" s="230">
        <v>2668</v>
      </c>
      <c r="CX121" s="230">
        <v>2755</v>
      </c>
      <c r="CY121" s="228">
        <v>-86</v>
      </c>
      <c r="CZ121" s="229">
        <v>-3.1399999999999997E-2</v>
      </c>
      <c r="DA121" s="228">
        <v>43.8</v>
      </c>
      <c r="DB121" s="228">
        <v>44.86</v>
      </c>
      <c r="DC121" s="228">
        <v>-1.06</v>
      </c>
      <c r="DD121" s="228">
        <v>-1.06</v>
      </c>
      <c r="DE121" s="228">
        <v>47.79</v>
      </c>
      <c r="DF121" s="228">
        <v>47.91</v>
      </c>
      <c r="DG121" s="228">
        <v>-3.99</v>
      </c>
      <c r="DH121" s="228">
        <v>-0.12</v>
      </c>
      <c r="DI121" s="228">
        <v>42.01</v>
      </c>
      <c r="DJ121" s="228">
        <v>43.53</v>
      </c>
      <c r="DK121" s="228">
        <v>-1.52</v>
      </c>
      <c r="DL121" s="228">
        <v>-1.52</v>
      </c>
      <c r="DM121" s="228">
        <v>45.98</v>
      </c>
      <c r="DN121" s="228">
        <v>46.57</v>
      </c>
      <c r="DO121" s="228">
        <v>-0.59</v>
      </c>
      <c r="DP121" s="228">
        <v>-0.59</v>
      </c>
      <c r="DQ121" s="228">
        <v>0.84</v>
      </c>
      <c r="DR121" s="228">
        <v>0.93</v>
      </c>
      <c r="DS121" s="228">
        <v>-0.09</v>
      </c>
      <c r="DT121" s="229">
        <v>-9.6799999999999997E-2</v>
      </c>
      <c r="DU121" s="228">
        <v>720</v>
      </c>
      <c r="DV121" s="228">
        <v>800</v>
      </c>
      <c r="DW121" s="228">
        <v>0.82</v>
      </c>
      <c r="DX121" s="228">
        <v>0.78</v>
      </c>
      <c r="DY121" s="228">
        <v>0.04</v>
      </c>
      <c r="DZ121" s="229">
        <v>5.1299999999999998E-2</v>
      </c>
      <c r="EA121" s="229">
        <v>0.1032</v>
      </c>
      <c r="EB121" s="230">
        <v>1901250</v>
      </c>
      <c r="EC121" s="229">
        <v>5.1999999999999998E-3</v>
      </c>
      <c r="ED121" s="229">
        <v>0.1032</v>
      </c>
      <c r="EE121" s="228">
        <v>1.7</v>
      </c>
      <c r="EF121" s="229">
        <v>2E-3</v>
      </c>
      <c r="EG121" s="230">
        <v>987011</v>
      </c>
      <c r="EH121" s="230">
        <v>1747458</v>
      </c>
      <c r="EI121" s="229">
        <v>-0.43519999999999998</v>
      </c>
      <c r="EJ121" s="229">
        <v>0.3967</v>
      </c>
      <c r="EK121" s="228">
        <v>593.88</v>
      </c>
      <c r="EL121" s="228">
        <v>456.05</v>
      </c>
      <c r="EM121" s="228">
        <v>268.23</v>
      </c>
      <c r="EN121" s="228">
        <v>108.62</v>
      </c>
      <c r="EO121" s="231">
        <v>1318.16</v>
      </c>
      <c r="EP121" s="231">
        <v>1538.69</v>
      </c>
      <c r="EQ121" s="228">
        <v>-220.52</v>
      </c>
      <c r="ER121" s="229">
        <v>-0.14330000000000001</v>
      </c>
      <c r="ES121" s="228">
        <v>509.03</v>
      </c>
      <c r="ET121" s="228">
        <v>397.53</v>
      </c>
      <c r="EU121" s="231">
        <v>1683.11</v>
      </c>
      <c r="EV121" s="231">
        <v>42165698</v>
      </c>
      <c r="EW121" s="231">
        <v>2589.67</v>
      </c>
      <c r="EX121" s="231">
        <v>2671.48</v>
      </c>
      <c r="EY121" s="228">
        <v>-81.81</v>
      </c>
      <c r="EZ121" s="229">
        <v>-3.0599999999999999E-2</v>
      </c>
      <c r="FA121" s="229">
        <v>0.72499999999999998</v>
      </c>
      <c r="FB121" s="227" t="s">
        <v>567</v>
      </c>
      <c r="FC121">
        <f t="shared" si="1"/>
        <v>174</v>
      </c>
    </row>
    <row r="122" spans="1:159" ht="17.25" thickBot="1" x14ac:dyDescent="0.3">
      <c r="A122" s="226">
        <v>46129</v>
      </c>
      <c r="B122" s="227" t="s">
        <v>184</v>
      </c>
      <c r="C122" s="227" t="s">
        <v>249</v>
      </c>
      <c r="D122" s="228">
        <v>175</v>
      </c>
      <c r="E122" s="228">
        <v>11</v>
      </c>
      <c r="F122" s="231">
        <v>4106.8999999999996</v>
      </c>
      <c r="G122" s="231">
        <v>4118</v>
      </c>
      <c r="H122" s="228">
        <v>-11.1</v>
      </c>
      <c r="I122" s="229">
        <v>-2.7000000000000001E-3</v>
      </c>
      <c r="J122" s="231">
        <v>4096.1000000000004</v>
      </c>
      <c r="K122" s="231">
        <v>4119.8</v>
      </c>
      <c r="L122" s="228">
        <v>-23.7</v>
      </c>
      <c r="M122" s="229">
        <v>-5.7999999999999996E-3</v>
      </c>
      <c r="N122" s="231">
        <v>4106.8999999999996</v>
      </c>
      <c r="O122" s="231">
        <v>4118</v>
      </c>
      <c r="P122" s="228">
        <v>-11.1</v>
      </c>
      <c r="Q122" s="229">
        <v>-2.7000000000000001E-3</v>
      </c>
      <c r="R122" s="231">
        <v>4128.7</v>
      </c>
      <c r="S122" s="231">
        <v>4140.7</v>
      </c>
      <c r="T122" s="228">
        <v>-12</v>
      </c>
      <c r="U122" s="229">
        <v>-2.8999999999999998E-3</v>
      </c>
      <c r="V122" s="231">
        <v>4124.8999999999996</v>
      </c>
      <c r="W122" s="231">
        <v>4133.1000000000004</v>
      </c>
      <c r="X122" s="228">
        <v>-8.1999999999999993</v>
      </c>
      <c r="Y122" s="229">
        <v>-2E-3</v>
      </c>
      <c r="Z122" s="228">
        <v>10.8</v>
      </c>
      <c r="AA122" s="228">
        <v>-1.8</v>
      </c>
      <c r="AB122" s="228">
        <v>12.6</v>
      </c>
      <c r="AC122" s="229">
        <v>2.5999999999999999E-3</v>
      </c>
      <c r="AD122" s="228">
        <v>10.8</v>
      </c>
      <c r="AE122" s="228">
        <v>-1.8</v>
      </c>
      <c r="AF122" s="228">
        <v>12.6</v>
      </c>
      <c r="AG122" s="229">
        <v>2.5999999999999999E-3</v>
      </c>
      <c r="AH122" s="228">
        <v>32.6</v>
      </c>
      <c r="AI122" s="228">
        <v>20.9</v>
      </c>
      <c r="AJ122" s="228">
        <v>11.7</v>
      </c>
      <c r="AK122" s="229">
        <v>8.0000000000000002E-3</v>
      </c>
      <c r="AL122" s="228">
        <v>28.8</v>
      </c>
      <c r="AM122" s="228">
        <v>13.3</v>
      </c>
      <c r="AN122" s="228">
        <v>15.5</v>
      </c>
      <c r="AO122" s="229">
        <v>7.0000000000000001E-3</v>
      </c>
      <c r="AP122" s="231">
        <v>4110.46</v>
      </c>
      <c r="AQ122" s="231">
        <v>4129.63</v>
      </c>
      <c r="AR122" s="228">
        <v>0</v>
      </c>
      <c r="AS122" s="228">
        <v>803</v>
      </c>
      <c r="AT122" s="230">
        <v>1159</v>
      </c>
      <c r="AU122" s="228">
        <v>-357</v>
      </c>
      <c r="AV122" s="229">
        <v>-0.30769999999999997</v>
      </c>
      <c r="AW122" s="228">
        <v>604</v>
      </c>
      <c r="AX122" s="230">
        <v>1028</v>
      </c>
      <c r="AY122" s="228">
        <v>-424</v>
      </c>
      <c r="AZ122" s="229">
        <v>-0.41239999999999999</v>
      </c>
      <c r="BA122" s="228">
        <v>188</v>
      </c>
      <c r="BB122" s="228">
        <v>109</v>
      </c>
      <c r="BC122" s="228">
        <v>79</v>
      </c>
      <c r="BD122" s="229">
        <v>0.72430000000000005</v>
      </c>
      <c r="BE122" s="228">
        <v>10</v>
      </c>
      <c r="BF122" s="228">
        <v>22</v>
      </c>
      <c r="BG122" s="228">
        <v>-11</v>
      </c>
      <c r="BH122" s="229">
        <v>-0.52129999999999999</v>
      </c>
      <c r="BI122" s="230">
        <v>2537</v>
      </c>
      <c r="BJ122" s="230">
        <v>4453</v>
      </c>
      <c r="BK122" s="230">
        <v>-1917</v>
      </c>
      <c r="BL122" s="229">
        <v>-0.4304</v>
      </c>
      <c r="BM122" s="230">
        <v>2281</v>
      </c>
      <c r="BN122" s="230">
        <v>2606</v>
      </c>
      <c r="BO122" s="228">
        <v>-326</v>
      </c>
      <c r="BP122" s="229">
        <v>-0.125</v>
      </c>
      <c r="BQ122" s="230">
        <v>5620</v>
      </c>
      <c r="BR122" s="230">
        <v>8219</v>
      </c>
      <c r="BS122" s="230">
        <v>-2599</v>
      </c>
      <c r="BT122" s="229">
        <v>-0.31619999999999998</v>
      </c>
      <c r="BU122" s="230">
        <v>2940508</v>
      </c>
      <c r="BV122" s="230">
        <v>5526361</v>
      </c>
      <c r="BW122" s="230">
        <v>-2585853</v>
      </c>
      <c r="BX122" s="229">
        <v>-0.46789999999999998</v>
      </c>
      <c r="BY122" s="230">
        <v>6096</v>
      </c>
      <c r="BZ122" s="230">
        <v>6137</v>
      </c>
      <c r="CA122" s="228">
        <v>-41</v>
      </c>
      <c r="CB122" s="229">
        <v>-6.7000000000000002E-3</v>
      </c>
      <c r="CC122" s="230">
        <v>4996</v>
      </c>
      <c r="CD122" s="230">
        <v>5131</v>
      </c>
      <c r="CE122" s="228">
        <v>-134</v>
      </c>
      <c r="CF122" s="229">
        <v>-2.6200000000000001E-2</v>
      </c>
      <c r="CG122" s="230">
        <v>1014</v>
      </c>
      <c r="CH122" s="228">
        <v>922</v>
      </c>
      <c r="CI122" s="228">
        <v>92</v>
      </c>
      <c r="CJ122" s="229">
        <v>0.1002</v>
      </c>
      <c r="CK122" s="228">
        <v>86</v>
      </c>
      <c r="CL122" s="228">
        <v>85</v>
      </c>
      <c r="CM122" s="228">
        <v>1</v>
      </c>
      <c r="CN122" s="229">
        <v>8.3999999999999995E-3</v>
      </c>
      <c r="CO122" s="230">
        <v>3798</v>
      </c>
      <c r="CP122" s="230">
        <v>3776</v>
      </c>
      <c r="CQ122" s="228">
        <v>22</v>
      </c>
      <c r="CR122" s="229">
        <v>5.8999999999999999E-3</v>
      </c>
      <c r="CS122" s="230">
        <v>3376</v>
      </c>
      <c r="CT122" s="230">
        <v>3288</v>
      </c>
      <c r="CU122" s="228">
        <v>89</v>
      </c>
      <c r="CV122" s="229">
        <v>2.69E-2</v>
      </c>
      <c r="CW122" s="230">
        <v>13271</v>
      </c>
      <c r="CX122" s="230">
        <v>13201</v>
      </c>
      <c r="CY122" s="228">
        <v>70</v>
      </c>
      <c r="CZ122" s="229">
        <v>5.3E-3</v>
      </c>
      <c r="DA122" s="228">
        <v>29.77</v>
      </c>
      <c r="DB122" s="228">
        <v>29.28</v>
      </c>
      <c r="DC122" s="228">
        <v>0.49</v>
      </c>
      <c r="DD122" s="228">
        <v>0.49</v>
      </c>
      <c r="DE122" s="228">
        <v>34.020000000000003</v>
      </c>
      <c r="DF122" s="228">
        <v>34.090000000000003</v>
      </c>
      <c r="DG122" s="228">
        <v>-4.25</v>
      </c>
      <c r="DH122" s="228">
        <v>-7.0000000000000007E-2</v>
      </c>
      <c r="DI122" s="228">
        <v>27.83</v>
      </c>
      <c r="DJ122" s="228">
        <v>27.45</v>
      </c>
      <c r="DK122" s="228">
        <v>0.38</v>
      </c>
      <c r="DL122" s="228">
        <v>0.38</v>
      </c>
      <c r="DM122" s="228">
        <v>31.92</v>
      </c>
      <c r="DN122" s="228">
        <v>32.409999999999997</v>
      </c>
      <c r="DO122" s="228">
        <v>-0.49</v>
      </c>
      <c r="DP122" s="228">
        <v>-0.49</v>
      </c>
      <c r="DQ122" s="228">
        <v>0.89</v>
      </c>
      <c r="DR122" s="228">
        <v>0.87</v>
      </c>
      <c r="DS122" s="228">
        <v>0.02</v>
      </c>
      <c r="DT122" s="229">
        <v>2.3E-2</v>
      </c>
      <c r="DU122" s="231">
        <v>4000</v>
      </c>
      <c r="DV122" s="231">
        <v>4000</v>
      </c>
      <c r="DW122" s="228">
        <v>0.9</v>
      </c>
      <c r="DX122" s="228">
        <v>0.59</v>
      </c>
      <c r="DY122" s="228">
        <v>0.31</v>
      </c>
      <c r="DZ122" s="229">
        <v>0.52539999999999998</v>
      </c>
      <c r="EA122" s="229">
        <v>0.1804</v>
      </c>
      <c r="EB122" s="230">
        <v>2451400</v>
      </c>
      <c r="EC122" s="229">
        <v>5.3E-3</v>
      </c>
      <c r="ED122" s="229">
        <v>0.1804</v>
      </c>
      <c r="EE122" s="228">
        <v>19.170000000000002</v>
      </c>
      <c r="EF122" s="229">
        <v>4.7000000000000002E-3</v>
      </c>
      <c r="EG122" s="230">
        <v>1808575</v>
      </c>
      <c r="EH122" s="230">
        <v>3027847</v>
      </c>
      <c r="EI122" s="229">
        <v>-0.4027</v>
      </c>
      <c r="EJ122" s="229">
        <v>0.61509999999999998</v>
      </c>
      <c r="EK122" s="231">
        <v>2630.22</v>
      </c>
      <c r="EL122" s="231">
        <v>2204</v>
      </c>
      <c r="EM122" s="228">
        <v>804.27</v>
      </c>
      <c r="EN122" s="228">
        <v>163.81</v>
      </c>
      <c r="EO122" s="231">
        <v>5638.49</v>
      </c>
      <c r="EP122" s="231">
        <v>8321.08</v>
      </c>
      <c r="EQ122" s="231">
        <v>-2682.6</v>
      </c>
      <c r="ER122" s="229">
        <v>-0.32240000000000002</v>
      </c>
      <c r="ES122" s="231">
        <v>3717.22</v>
      </c>
      <c r="ET122" s="231">
        <v>3119.43</v>
      </c>
      <c r="EU122" s="231">
        <v>6101.98</v>
      </c>
      <c r="EV122" s="231">
        <v>136099497</v>
      </c>
      <c r="EW122" s="231">
        <v>12938.63</v>
      </c>
      <c r="EX122" s="231">
        <v>12885.17</v>
      </c>
      <c r="EY122" s="228">
        <v>53.46</v>
      </c>
      <c r="EZ122" s="229">
        <v>4.1000000000000003E-3</v>
      </c>
      <c r="FA122" s="229">
        <v>0.2374</v>
      </c>
      <c r="FB122" s="227" t="s">
        <v>567</v>
      </c>
      <c r="FC122">
        <f t="shared" si="1"/>
        <v>1100</v>
      </c>
    </row>
    <row r="123" spans="1:159" ht="17.25" thickBot="1" x14ac:dyDescent="0.3">
      <c r="A123" s="226">
        <v>46129</v>
      </c>
      <c r="B123" s="227" t="s">
        <v>175</v>
      </c>
      <c r="C123" s="227" t="s">
        <v>564</v>
      </c>
      <c r="D123" s="228">
        <v>2250</v>
      </c>
      <c r="E123" s="228">
        <v>11</v>
      </c>
      <c r="F123" s="228">
        <v>287.35000000000002</v>
      </c>
      <c r="G123" s="228">
        <v>280.79000000000002</v>
      </c>
      <c r="H123" s="228">
        <v>6.56</v>
      </c>
      <c r="I123" s="229">
        <v>2.3400000000000001E-2</v>
      </c>
      <c r="J123" s="228">
        <v>287.14</v>
      </c>
      <c r="K123" s="228">
        <v>280.41000000000003</v>
      </c>
      <c r="L123" s="228">
        <v>6.73</v>
      </c>
      <c r="M123" s="229">
        <v>2.4E-2</v>
      </c>
      <c r="N123" s="228">
        <v>287.35000000000002</v>
      </c>
      <c r="O123" s="228">
        <v>280.79000000000002</v>
      </c>
      <c r="P123" s="228">
        <v>6.56</v>
      </c>
      <c r="Q123" s="229">
        <v>2.3400000000000001E-2</v>
      </c>
      <c r="R123" s="228">
        <v>285.02999999999997</v>
      </c>
      <c r="S123" s="228">
        <v>279</v>
      </c>
      <c r="T123" s="228">
        <v>6.03</v>
      </c>
      <c r="U123" s="229">
        <v>2.1600000000000001E-2</v>
      </c>
      <c r="V123" s="228">
        <v>284.07</v>
      </c>
      <c r="W123" s="228">
        <v>277.99</v>
      </c>
      <c r="X123" s="228">
        <v>6.08</v>
      </c>
      <c r="Y123" s="229">
        <v>2.1899999999999999E-2</v>
      </c>
      <c r="Z123" s="228">
        <v>0.21</v>
      </c>
      <c r="AA123" s="228">
        <v>0.38</v>
      </c>
      <c r="AB123" s="228">
        <v>-0.17</v>
      </c>
      <c r="AC123" s="229">
        <v>6.9999999999999999E-4</v>
      </c>
      <c r="AD123" s="228">
        <v>0.21</v>
      </c>
      <c r="AE123" s="228">
        <v>0.38</v>
      </c>
      <c r="AF123" s="228">
        <v>-0.17</v>
      </c>
      <c r="AG123" s="229">
        <v>6.9999999999999999E-4</v>
      </c>
      <c r="AH123" s="228">
        <v>-2.11</v>
      </c>
      <c r="AI123" s="228">
        <v>-1.41</v>
      </c>
      <c r="AJ123" s="228">
        <v>-0.7</v>
      </c>
      <c r="AK123" s="229">
        <v>-7.3000000000000001E-3</v>
      </c>
      <c r="AL123" s="228">
        <v>-3.07</v>
      </c>
      <c r="AM123" s="228">
        <v>-2.42</v>
      </c>
      <c r="AN123" s="228">
        <v>-0.65</v>
      </c>
      <c r="AO123" s="229">
        <v>-1.0699999999999999E-2</v>
      </c>
      <c r="AP123" s="228">
        <v>285.18</v>
      </c>
      <c r="AQ123" s="228">
        <v>282.63</v>
      </c>
      <c r="AR123" s="228">
        <v>0</v>
      </c>
      <c r="AS123" s="228">
        <v>311</v>
      </c>
      <c r="AT123" s="228">
        <v>267</v>
      </c>
      <c r="AU123" s="228">
        <v>44</v>
      </c>
      <c r="AV123" s="229">
        <v>0.16539999999999999</v>
      </c>
      <c r="AW123" s="228">
        <v>258</v>
      </c>
      <c r="AX123" s="228">
        <v>230</v>
      </c>
      <c r="AY123" s="228">
        <v>28</v>
      </c>
      <c r="AZ123" s="229">
        <v>0.1236</v>
      </c>
      <c r="BA123" s="228">
        <v>49</v>
      </c>
      <c r="BB123" s="228">
        <v>33</v>
      </c>
      <c r="BC123" s="228">
        <v>16</v>
      </c>
      <c r="BD123" s="229">
        <v>0.4854</v>
      </c>
      <c r="BE123" s="228">
        <v>3</v>
      </c>
      <c r="BF123" s="228">
        <v>4</v>
      </c>
      <c r="BG123" s="228">
        <v>0</v>
      </c>
      <c r="BH123" s="229">
        <v>-0.125</v>
      </c>
      <c r="BI123" s="228">
        <v>613</v>
      </c>
      <c r="BJ123" s="228">
        <v>532</v>
      </c>
      <c r="BK123" s="228">
        <v>81</v>
      </c>
      <c r="BL123" s="229">
        <v>0.15210000000000001</v>
      </c>
      <c r="BM123" s="228">
        <v>373</v>
      </c>
      <c r="BN123" s="228">
        <v>183</v>
      </c>
      <c r="BO123" s="228">
        <v>190</v>
      </c>
      <c r="BP123" s="229">
        <v>1.0353000000000001</v>
      </c>
      <c r="BQ123" s="230">
        <v>1297</v>
      </c>
      <c r="BR123" s="228">
        <v>982</v>
      </c>
      <c r="BS123" s="228">
        <v>315</v>
      </c>
      <c r="BT123" s="229">
        <v>0.32040000000000002</v>
      </c>
      <c r="BU123" s="230">
        <v>3565619</v>
      </c>
      <c r="BV123" s="230">
        <v>5594260</v>
      </c>
      <c r="BW123" s="230">
        <v>-2028641</v>
      </c>
      <c r="BX123" s="229">
        <v>-0.36259999999999998</v>
      </c>
      <c r="BY123" s="230">
        <v>1519</v>
      </c>
      <c r="BZ123" s="230">
        <v>1566</v>
      </c>
      <c r="CA123" s="228">
        <v>-47</v>
      </c>
      <c r="CB123" s="229">
        <v>-3.0099999999999998E-2</v>
      </c>
      <c r="CC123" s="230">
        <v>1408</v>
      </c>
      <c r="CD123" s="230">
        <v>1474</v>
      </c>
      <c r="CE123" s="228">
        <v>-66</v>
      </c>
      <c r="CF123" s="229">
        <v>-4.4499999999999998E-2</v>
      </c>
      <c r="CG123" s="228">
        <v>103</v>
      </c>
      <c r="CH123" s="228">
        <v>86</v>
      </c>
      <c r="CI123" s="228">
        <v>18</v>
      </c>
      <c r="CJ123" s="229">
        <v>0.2077</v>
      </c>
      <c r="CK123" s="228">
        <v>7</v>
      </c>
      <c r="CL123" s="228">
        <v>7</v>
      </c>
      <c r="CM123" s="228">
        <v>1</v>
      </c>
      <c r="CN123" s="229">
        <v>9.5200000000000007E-2</v>
      </c>
      <c r="CO123" s="228">
        <v>543</v>
      </c>
      <c r="CP123" s="228">
        <v>566</v>
      </c>
      <c r="CQ123" s="228">
        <v>-22</v>
      </c>
      <c r="CR123" s="229">
        <v>-3.9100000000000003E-2</v>
      </c>
      <c r="CS123" s="228">
        <v>472</v>
      </c>
      <c r="CT123" s="228">
        <v>442</v>
      </c>
      <c r="CU123" s="228">
        <v>30</v>
      </c>
      <c r="CV123" s="229">
        <v>6.7400000000000002E-2</v>
      </c>
      <c r="CW123" s="230">
        <v>2535</v>
      </c>
      <c r="CX123" s="230">
        <v>2574</v>
      </c>
      <c r="CY123" s="228">
        <v>-39</v>
      </c>
      <c r="CZ123" s="229">
        <v>-1.5299999999999999E-2</v>
      </c>
      <c r="DA123" s="228">
        <v>40.04</v>
      </c>
      <c r="DB123" s="228">
        <v>42.06</v>
      </c>
      <c r="DC123" s="228">
        <v>-2.02</v>
      </c>
      <c r="DD123" s="228">
        <v>-2.02</v>
      </c>
      <c r="DE123" s="228">
        <v>41.7</v>
      </c>
      <c r="DF123" s="228">
        <v>41.69</v>
      </c>
      <c r="DG123" s="228">
        <v>-1.66</v>
      </c>
      <c r="DH123" s="228">
        <v>0.01</v>
      </c>
      <c r="DI123" s="228">
        <v>37.85</v>
      </c>
      <c r="DJ123" s="228">
        <v>41.01</v>
      </c>
      <c r="DK123" s="228">
        <v>-3.16</v>
      </c>
      <c r="DL123" s="228">
        <v>-3.16</v>
      </c>
      <c r="DM123" s="228">
        <v>43.65</v>
      </c>
      <c r="DN123" s="228">
        <v>45.12</v>
      </c>
      <c r="DO123" s="228">
        <v>-1.47</v>
      </c>
      <c r="DP123" s="228">
        <v>-1.47</v>
      </c>
      <c r="DQ123" s="228">
        <v>0.87</v>
      </c>
      <c r="DR123" s="228">
        <v>0.78</v>
      </c>
      <c r="DS123" s="228">
        <v>0.09</v>
      </c>
      <c r="DT123" s="229">
        <v>0.1154</v>
      </c>
      <c r="DU123" s="228">
        <v>300</v>
      </c>
      <c r="DV123" s="228">
        <v>300</v>
      </c>
      <c r="DW123" s="228">
        <v>0.61</v>
      </c>
      <c r="DX123" s="228">
        <v>0.34</v>
      </c>
      <c r="DY123" s="228">
        <v>0.27</v>
      </c>
      <c r="DZ123" s="229">
        <v>0.79410000000000003</v>
      </c>
      <c r="EA123" s="229">
        <v>7.2999999999999995E-2</v>
      </c>
      <c r="EB123" s="230">
        <v>3215250</v>
      </c>
      <c r="EC123" s="229">
        <v>-8.0999999999999996E-3</v>
      </c>
      <c r="ED123" s="229">
        <v>7.2999999999999995E-2</v>
      </c>
      <c r="EE123" s="228">
        <v>-2.5499999999999998</v>
      </c>
      <c r="EF123" s="229">
        <v>-8.8999999999999999E-3</v>
      </c>
      <c r="EG123" s="230">
        <v>1310818</v>
      </c>
      <c r="EH123" s="230">
        <v>2320823</v>
      </c>
      <c r="EI123" s="229">
        <v>-0.43519999999999998</v>
      </c>
      <c r="EJ123" s="229">
        <v>0.36759999999999998</v>
      </c>
      <c r="EK123" s="228">
        <v>639.51</v>
      </c>
      <c r="EL123" s="228">
        <v>357.69</v>
      </c>
      <c r="EM123" s="228">
        <v>307.83</v>
      </c>
      <c r="EN123" s="228">
        <v>39.97</v>
      </c>
      <c r="EO123" s="231">
        <v>1305.03</v>
      </c>
      <c r="EP123" s="228">
        <v>988.95</v>
      </c>
      <c r="EQ123" s="228">
        <v>316.07</v>
      </c>
      <c r="ER123" s="229">
        <v>0.3196</v>
      </c>
      <c r="ES123" s="228">
        <v>529.45000000000005</v>
      </c>
      <c r="ET123" s="228">
        <v>441.64</v>
      </c>
      <c r="EU123" s="231">
        <v>1518.12</v>
      </c>
      <c r="EV123" s="231">
        <v>127514625</v>
      </c>
      <c r="EW123" s="231">
        <v>2489.21</v>
      </c>
      <c r="EX123" s="231">
        <v>2490.42</v>
      </c>
      <c r="EY123" s="228">
        <v>-1.21</v>
      </c>
      <c r="EZ123" s="229">
        <v>-5.0000000000000001E-4</v>
      </c>
      <c r="FA123" s="229">
        <v>0.69179999999999997</v>
      </c>
      <c r="FB123" s="227" t="s">
        <v>693</v>
      </c>
      <c r="FC123">
        <f t="shared" si="1"/>
        <v>111</v>
      </c>
    </row>
    <row r="124" spans="1:159" ht="17.25" thickBot="1" x14ac:dyDescent="0.3">
      <c r="A124" s="226">
        <v>46129</v>
      </c>
      <c r="B124" s="227" t="s">
        <v>221</v>
      </c>
      <c r="C124" s="227" t="s">
        <v>692</v>
      </c>
      <c r="D124" s="228">
        <v>150</v>
      </c>
      <c r="E124" s="228">
        <v>11</v>
      </c>
      <c r="F124" s="231">
        <v>4691.8</v>
      </c>
      <c r="G124" s="231">
        <v>4633</v>
      </c>
      <c r="H124" s="228">
        <v>58.8</v>
      </c>
      <c r="I124" s="229">
        <v>1.2699999999999999E-2</v>
      </c>
      <c r="J124" s="231">
        <v>4753.6000000000004</v>
      </c>
      <c r="K124" s="231">
        <v>4730</v>
      </c>
      <c r="L124" s="228">
        <v>23.6</v>
      </c>
      <c r="M124" s="229">
        <v>5.0000000000000001E-3</v>
      </c>
      <c r="N124" s="231">
        <v>4691.8</v>
      </c>
      <c r="O124" s="231">
        <v>4633</v>
      </c>
      <c r="P124" s="228">
        <v>58.8</v>
      </c>
      <c r="Q124" s="229">
        <v>1.2699999999999999E-2</v>
      </c>
      <c r="R124" s="231">
        <v>4571.8999999999996</v>
      </c>
      <c r="S124" s="231">
        <v>4508.3999999999996</v>
      </c>
      <c r="T124" s="228">
        <v>63.5</v>
      </c>
      <c r="U124" s="229">
        <v>1.41E-2</v>
      </c>
      <c r="V124" s="231">
        <v>4492.3999999999996</v>
      </c>
      <c r="W124" s="231">
        <v>4434.8</v>
      </c>
      <c r="X124" s="228">
        <v>57.6</v>
      </c>
      <c r="Y124" s="229">
        <v>1.2999999999999999E-2</v>
      </c>
      <c r="Z124" s="228">
        <v>-61.8</v>
      </c>
      <c r="AA124" s="228">
        <v>-97</v>
      </c>
      <c r="AB124" s="228">
        <v>35.200000000000003</v>
      </c>
      <c r="AC124" s="229">
        <v>-1.2999999999999999E-2</v>
      </c>
      <c r="AD124" s="228">
        <v>-61.8</v>
      </c>
      <c r="AE124" s="228">
        <v>-97</v>
      </c>
      <c r="AF124" s="228">
        <v>35.200000000000003</v>
      </c>
      <c r="AG124" s="229">
        <v>-1.2999999999999999E-2</v>
      </c>
      <c r="AH124" s="228">
        <v>-181.7</v>
      </c>
      <c r="AI124" s="228">
        <v>-221.6</v>
      </c>
      <c r="AJ124" s="228">
        <v>39.9</v>
      </c>
      <c r="AK124" s="229">
        <v>-3.8199999999999998E-2</v>
      </c>
      <c r="AL124" s="228">
        <v>-261.2</v>
      </c>
      <c r="AM124" s="228">
        <v>-295.2</v>
      </c>
      <c r="AN124" s="228">
        <v>34</v>
      </c>
      <c r="AO124" s="229">
        <v>-5.4899999999999997E-2</v>
      </c>
      <c r="AP124" s="231">
        <v>4661.28</v>
      </c>
      <c r="AQ124" s="231">
        <v>4531.09</v>
      </c>
      <c r="AR124" s="228">
        <v>0</v>
      </c>
      <c r="AS124" s="228">
        <v>292</v>
      </c>
      <c r="AT124" s="228">
        <v>519</v>
      </c>
      <c r="AU124" s="228">
        <v>-227</v>
      </c>
      <c r="AV124" s="229">
        <v>-0.43769999999999998</v>
      </c>
      <c r="AW124" s="228">
        <v>211</v>
      </c>
      <c r="AX124" s="228">
        <v>332</v>
      </c>
      <c r="AY124" s="228">
        <v>-121</v>
      </c>
      <c r="AZ124" s="229">
        <v>-0.36559999999999998</v>
      </c>
      <c r="BA124" s="228">
        <v>78</v>
      </c>
      <c r="BB124" s="228">
        <v>182</v>
      </c>
      <c r="BC124" s="228">
        <v>-103</v>
      </c>
      <c r="BD124" s="229">
        <v>-0.56830000000000003</v>
      </c>
      <c r="BE124" s="228">
        <v>2</v>
      </c>
      <c r="BF124" s="228">
        <v>5</v>
      </c>
      <c r="BG124" s="228">
        <v>-2</v>
      </c>
      <c r="BH124" s="229">
        <v>-0.47760000000000002</v>
      </c>
      <c r="BI124" s="228">
        <v>649</v>
      </c>
      <c r="BJ124" s="230">
        <v>1239</v>
      </c>
      <c r="BK124" s="228">
        <v>-591</v>
      </c>
      <c r="BL124" s="229">
        <v>-0.47670000000000001</v>
      </c>
      <c r="BM124" s="228">
        <v>324</v>
      </c>
      <c r="BN124" s="228">
        <v>350</v>
      </c>
      <c r="BO124" s="228">
        <v>-26</v>
      </c>
      <c r="BP124" s="229">
        <v>-7.5200000000000003E-2</v>
      </c>
      <c r="BQ124" s="230">
        <v>1264</v>
      </c>
      <c r="BR124" s="230">
        <v>2108</v>
      </c>
      <c r="BS124" s="228">
        <v>-844</v>
      </c>
      <c r="BT124" s="229">
        <v>-0.40039999999999998</v>
      </c>
      <c r="BU124" s="230">
        <v>339240</v>
      </c>
      <c r="BV124" s="230">
        <v>510162</v>
      </c>
      <c r="BW124" s="230">
        <v>-170922</v>
      </c>
      <c r="BX124" s="229">
        <v>-0.33500000000000002</v>
      </c>
      <c r="BY124" s="230">
        <v>2349</v>
      </c>
      <c r="BZ124" s="230">
        <v>2314</v>
      </c>
      <c r="CA124" s="228">
        <v>35</v>
      </c>
      <c r="CB124" s="229">
        <v>1.5100000000000001E-2</v>
      </c>
      <c r="CC124" s="230">
        <v>1926</v>
      </c>
      <c r="CD124" s="230">
        <v>1927</v>
      </c>
      <c r="CE124" s="228">
        <v>-1</v>
      </c>
      <c r="CF124" s="229">
        <v>-5.0000000000000001E-4</v>
      </c>
      <c r="CG124" s="228">
        <v>412</v>
      </c>
      <c r="CH124" s="228">
        <v>376</v>
      </c>
      <c r="CI124" s="228">
        <v>36</v>
      </c>
      <c r="CJ124" s="229">
        <v>9.6000000000000002E-2</v>
      </c>
      <c r="CK124" s="228">
        <v>11</v>
      </c>
      <c r="CL124" s="228">
        <v>12</v>
      </c>
      <c r="CM124" s="228">
        <v>0</v>
      </c>
      <c r="CN124" s="229">
        <v>-2.41E-2</v>
      </c>
      <c r="CO124" s="228">
        <v>492</v>
      </c>
      <c r="CP124" s="228">
        <v>534</v>
      </c>
      <c r="CQ124" s="228">
        <v>-42</v>
      </c>
      <c r="CR124" s="229">
        <v>-7.85E-2</v>
      </c>
      <c r="CS124" s="228">
        <v>427</v>
      </c>
      <c r="CT124" s="228">
        <v>409</v>
      </c>
      <c r="CU124" s="228">
        <v>18</v>
      </c>
      <c r="CV124" s="229">
        <v>4.4200000000000003E-2</v>
      </c>
      <c r="CW124" s="230">
        <v>3269</v>
      </c>
      <c r="CX124" s="230">
        <v>3258</v>
      </c>
      <c r="CY124" s="228">
        <v>11</v>
      </c>
      <c r="CZ124" s="229">
        <v>3.3999999999999998E-3</v>
      </c>
      <c r="DA124" s="228">
        <v>35.68</v>
      </c>
      <c r="DB124" s="228">
        <v>36.83</v>
      </c>
      <c r="DC124" s="228">
        <v>-1.1499999999999999</v>
      </c>
      <c r="DD124" s="228">
        <v>-1.1499999999999999</v>
      </c>
      <c r="DE124" s="228">
        <v>35.89</v>
      </c>
      <c r="DF124" s="228">
        <v>35.97</v>
      </c>
      <c r="DG124" s="228">
        <v>-0.21</v>
      </c>
      <c r="DH124" s="228">
        <v>-0.08</v>
      </c>
      <c r="DI124" s="228">
        <v>34.159999999999997</v>
      </c>
      <c r="DJ124" s="228">
        <v>36.36</v>
      </c>
      <c r="DK124" s="228">
        <v>-2.2000000000000002</v>
      </c>
      <c r="DL124" s="228">
        <v>-2.2000000000000002</v>
      </c>
      <c r="DM124" s="228">
        <v>38.72</v>
      </c>
      <c r="DN124" s="228">
        <v>38.51</v>
      </c>
      <c r="DO124" s="228">
        <v>0.21</v>
      </c>
      <c r="DP124" s="228">
        <v>0.21</v>
      </c>
      <c r="DQ124" s="228">
        <v>0.87</v>
      </c>
      <c r="DR124" s="228">
        <v>0.77</v>
      </c>
      <c r="DS124" s="228">
        <v>0.1</v>
      </c>
      <c r="DT124" s="229">
        <v>0.12989999999999999</v>
      </c>
      <c r="DU124" s="231">
        <v>4700</v>
      </c>
      <c r="DV124" s="231">
        <v>4300</v>
      </c>
      <c r="DW124" s="228">
        <v>0.5</v>
      </c>
      <c r="DX124" s="228">
        <v>0.28000000000000003</v>
      </c>
      <c r="DY124" s="228">
        <v>0.22</v>
      </c>
      <c r="DZ124" s="229">
        <v>0.78569999999999995</v>
      </c>
      <c r="EA124" s="229">
        <v>0.18</v>
      </c>
      <c r="EB124" s="230">
        <v>825300</v>
      </c>
      <c r="EC124" s="229">
        <v>-2.5600000000000001E-2</v>
      </c>
      <c r="ED124" s="229">
        <v>0.18</v>
      </c>
      <c r="EE124" s="228">
        <v>-130.19</v>
      </c>
      <c r="EF124" s="229">
        <v>-2.7900000000000001E-2</v>
      </c>
      <c r="EG124" s="230">
        <v>185212</v>
      </c>
      <c r="EH124" s="230">
        <v>230607</v>
      </c>
      <c r="EI124" s="229">
        <v>-0.19689999999999999</v>
      </c>
      <c r="EJ124" s="229">
        <v>0.54600000000000004</v>
      </c>
      <c r="EK124" s="228">
        <v>671.88</v>
      </c>
      <c r="EL124" s="228">
        <v>313.42</v>
      </c>
      <c r="EM124" s="228">
        <v>287.39999999999998</v>
      </c>
      <c r="EN124" s="228">
        <v>58</v>
      </c>
      <c r="EO124" s="231">
        <v>1272.7</v>
      </c>
      <c r="EP124" s="231">
        <v>2128.33</v>
      </c>
      <c r="EQ124" s="228">
        <v>-855.63</v>
      </c>
      <c r="ER124" s="229">
        <v>-0.40200000000000002</v>
      </c>
      <c r="ES124" s="228">
        <v>483.5</v>
      </c>
      <c r="ET124" s="228">
        <v>390.97</v>
      </c>
      <c r="EU124" s="231">
        <v>2338.25</v>
      </c>
      <c r="EV124" s="231">
        <v>12564965</v>
      </c>
      <c r="EW124" s="231">
        <v>3212.72</v>
      </c>
      <c r="EX124" s="231">
        <v>3172.43</v>
      </c>
      <c r="EY124" s="228">
        <v>40.29</v>
      </c>
      <c r="EZ124" s="229">
        <v>1.2699999999999999E-2</v>
      </c>
      <c r="FA124" s="229">
        <v>0.55449999999999999</v>
      </c>
      <c r="FB124" s="227" t="s">
        <v>555</v>
      </c>
      <c r="FC124">
        <f t="shared" si="1"/>
        <v>423</v>
      </c>
    </row>
    <row r="125" spans="1:159" ht="17.25" thickBot="1" x14ac:dyDescent="0.3">
      <c r="A125" s="226">
        <v>46129</v>
      </c>
      <c r="B125" s="227" t="s">
        <v>170</v>
      </c>
      <c r="C125" s="227" t="s">
        <v>250</v>
      </c>
      <c r="D125" s="228">
        <v>425</v>
      </c>
      <c r="E125" s="228">
        <v>11</v>
      </c>
      <c r="F125" s="231">
        <v>2328.4</v>
      </c>
      <c r="G125" s="231">
        <v>2326.1999999999998</v>
      </c>
      <c r="H125" s="228">
        <v>2.2000000000000002</v>
      </c>
      <c r="I125" s="229">
        <v>8.9999999999999998E-4</v>
      </c>
      <c r="J125" s="231">
        <v>2326.1</v>
      </c>
      <c r="K125" s="231">
        <v>2327</v>
      </c>
      <c r="L125" s="228">
        <v>-0.9</v>
      </c>
      <c r="M125" s="229">
        <v>-4.0000000000000002E-4</v>
      </c>
      <c r="N125" s="231">
        <v>2328.4</v>
      </c>
      <c r="O125" s="231">
        <v>2326.1999999999998</v>
      </c>
      <c r="P125" s="228">
        <v>2.2000000000000002</v>
      </c>
      <c r="Q125" s="229">
        <v>8.9999999999999998E-4</v>
      </c>
      <c r="R125" s="231">
        <v>2335.6999999999998</v>
      </c>
      <c r="S125" s="231">
        <v>2336.5</v>
      </c>
      <c r="T125" s="228">
        <v>-0.8</v>
      </c>
      <c r="U125" s="229">
        <v>-2.9999999999999997E-4</v>
      </c>
      <c r="V125" s="231">
        <v>2348.6</v>
      </c>
      <c r="W125" s="231">
        <v>2348</v>
      </c>
      <c r="X125" s="228">
        <v>0.6</v>
      </c>
      <c r="Y125" s="229">
        <v>2.9999999999999997E-4</v>
      </c>
      <c r="Z125" s="228">
        <v>2.2999999999999998</v>
      </c>
      <c r="AA125" s="228">
        <v>-0.8</v>
      </c>
      <c r="AB125" s="228">
        <v>3.1</v>
      </c>
      <c r="AC125" s="229">
        <v>1E-3</v>
      </c>
      <c r="AD125" s="228">
        <v>2.2999999999999998</v>
      </c>
      <c r="AE125" s="228">
        <v>-0.8</v>
      </c>
      <c r="AF125" s="228">
        <v>3.1</v>
      </c>
      <c r="AG125" s="229">
        <v>1E-3</v>
      </c>
      <c r="AH125" s="228">
        <v>9.6</v>
      </c>
      <c r="AI125" s="228">
        <v>9.5</v>
      </c>
      <c r="AJ125" s="228">
        <v>0.1</v>
      </c>
      <c r="AK125" s="229">
        <v>4.1000000000000003E-3</v>
      </c>
      <c r="AL125" s="228">
        <v>22.5</v>
      </c>
      <c r="AM125" s="228">
        <v>21</v>
      </c>
      <c r="AN125" s="228">
        <v>1.5</v>
      </c>
      <c r="AO125" s="229">
        <v>9.7000000000000003E-3</v>
      </c>
      <c r="AP125" s="231">
        <v>2321.71</v>
      </c>
      <c r="AQ125" s="231">
        <v>2330.84</v>
      </c>
      <c r="AR125" s="228">
        <v>0</v>
      </c>
      <c r="AS125" s="228">
        <v>246</v>
      </c>
      <c r="AT125" s="228">
        <v>247</v>
      </c>
      <c r="AU125" s="228">
        <v>-1</v>
      </c>
      <c r="AV125" s="229">
        <v>-4.4000000000000003E-3</v>
      </c>
      <c r="AW125" s="228">
        <v>218</v>
      </c>
      <c r="AX125" s="228">
        <v>211</v>
      </c>
      <c r="AY125" s="228">
        <v>8</v>
      </c>
      <c r="AZ125" s="229">
        <v>3.5700000000000003E-2</v>
      </c>
      <c r="BA125" s="228">
        <v>26</v>
      </c>
      <c r="BB125" s="228">
        <v>34</v>
      </c>
      <c r="BC125" s="228">
        <v>-8</v>
      </c>
      <c r="BD125" s="229">
        <v>-0.22939999999999999</v>
      </c>
      <c r="BE125" s="228">
        <v>2</v>
      </c>
      <c r="BF125" s="228">
        <v>2</v>
      </c>
      <c r="BG125" s="228">
        <v>-1</v>
      </c>
      <c r="BH125" s="229">
        <v>-0.36</v>
      </c>
      <c r="BI125" s="228">
        <v>900</v>
      </c>
      <c r="BJ125" s="228">
        <v>945</v>
      </c>
      <c r="BK125" s="228">
        <v>-45</v>
      </c>
      <c r="BL125" s="229">
        <v>-4.7300000000000002E-2</v>
      </c>
      <c r="BM125" s="228">
        <v>427</v>
      </c>
      <c r="BN125" s="228">
        <v>431</v>
      </c>
      <c r="BO125" s="228">
        <v>-4</v>
      </c>
      <c r="BP125" s="229">
        <v>-9.4000000000000004E-3</v>
      </c>
      <c r="BQ125" s="230">
        <v>1573</v>
      </c>
      <c r="BR125" s="230">
        <v>1623</v>
      </c>
      <c r="BS125" s="228">
        <v>-50</v>
      </c>
      <c r="BT125" s="229">
        <v>-3.0700000000000002E-2</v>
      </c>
      <c r="BU125" s="230">
        <v>1038979</v>
      </c>
      <c r="BV125" s="230">
        <v>1020599</v>
      </c>
      <c r="BW125" s="230">
        <v>18380</v>
      </c>
      <c r="BX125" s="229">
        <v>1.7999999999999999E-2</v>
      </c>
      <c r="BY125" s="230">
        <v>1585</v>
      </c>
      <c r="BZ125" s="230">
        <v>1549</v>
      </c>
      <c r="CA125" s="228">
        <v>36</v>
      </c>
      <c r="CB125" s="229">
        <v>2.3300000000000001E-2</v>
      </c>
      <c r="CC125" s="230">
        <v>1518</v>
      </c>
      <c r="CD125" s="230">
        <v>1489</v>
      </c>
      <c r="CE125" s="228">
        <v>29</v>
      </c>
      <c r="CF125" s="229">
        <v>1.9300000000000001E-2</v>
      </c>
      <c r="CG125" s="228">
        <v>64</v>
      </c>
      <c r="CH125" s="228">
        <v>57</v>
      </c>
      <c r="CI125" s="228">
        <v>7</v>
      </c>
      <c r="CJ125" s="229">
        <v>0.1198</v>
      </c>
      <c r="CK125" s="228">
        <v>3</v>
      </c>
      <c r="CL125" s="228">
        <v>3</v>
      </c>
      <c r="CM125" s="228">
        <v>0</v>
      </c>
      <c r="CN125" s="229">
        <v>0.15379999999999999</v>
      </c>
      <c r="CO125" s="228">
        <v>578</v>
      </c>
      <c r="CP125" s="228">
        <v>558</v>
      </c>
      <c r="CQ125" s="228">
        <v>20</v>
      </c>
      <c r="CR125" s="229">
        <v>3.5999999999999997E-2</v>
      </c>
      <c r="CS125" s="228">
        <v>370</v>
      </c>
      <c r="CT125" s="228">
        <v>377</v>
      </c>
      <c r="CU125" s="228">
        <v>-8</v>
      </c>
      <c r="CV125" s="229">
        <v>-1.9900000000000001E-2</v>
      </c>
      <c r="CW125" s="230">
        <v>2532</v>
      </c>
      <c r="CX125" s="230">
        <v>2484</v>
      </c>
      <c r="CY125" s="228">
        <v>49</v>
      </c>
      <c r="CZ125" s="229">
        <v>1.9599999999999999E-2</v>
      </c>
      <c r="DA125" s="228">
        <v>25.07</v>
      </c>
      <c r="DB125" s="228">
        <v>25.74</v>
      </c>
      <c r="DC125" s="228">
        <v>-0.67</v>
      </c>
      <c r="DD125" s="228">
        <v>-0.67</v>
      </c>
      <c r="DE125" s="228">
        <v>27.92</v>
      </c>
      <c r="DF125" s="228">
        <v>27.99</v>
      </c>
      <c r="DG125" s="228">
        <v>-2.85</v>
      </c>
      <c r="DH125" s="228">
        <v>-7.0000000000000007E-2</v>
      </c>
      <c r="DI125" s="228">
        <v>24.66</v>
      </c>
      <c r="DJ125" s="228">
        <v>25.02</v>
      </c>
      <c r="DK125" s="228">
        <v>-0.36</v>
      </c>
      <c r="DL125" s="228">
        <v>-0.36</v>
      </c>
      <c r="DM125" s="228">
        <v>25.93</v>
      </c>
      <c r="DN125" s="228">
        <v>27.34</v>
      </c>
      <c r="DO125" s="228">
        <v>-1.41</v>
      </c>
      <c r="DP125" s="228">
        <v>-1.41</v>
      </c>
      <c r="DQ125" s="228">
        <v>0.64</v>
      </c>
      <c r="DR125" s="228">
        <v>0.68</v>
      </c>
      <c r="DS125" s="228">
        <v>-0.04</v>
      </c>
      <c r="DT125" s="229">
        <v>-5.8799999999999998E-2</v>
      </c>
      <c r="DU125" s="231">
        <v>2500</v>
      </c>
      <c r="DV125" s="231">
        <v>2300</v>
      </c>
      <c r="DW125" s="228">
        <v>0.47</v>
      </c>
      <c r="DX125" s="228">
        <v>0.46</v>
      </c>
      <c r="DY125" s="228">
        <v>0.01</v>
      </c>
      <c r="DZ125" s="229">
        <v>2.1700000000000001E-2</v>
      </c>
      <c r="EA125" s="229">
        <v>4.2200000000000001E-2</v>
      </c>
      <c r="EB125" s="230">
        <v>255850</v>
      </c>
      <c r="EC125" s="229">
        <v>3.0999999999999999E-3</v>
      </c>
      <c r="ED125" s="229">
        <v>4.2200000000000001E-2</v>
      </c>
      <c r="EE125" s="228">
        <v>9.1300000000000008</v>
      </c>
      <c r="EF125" s="229">
        <v>3.8999999999999998E-3</v>
      </c>
      <c r="EG125" s="230">
        <v>575876</v>
      </c>
      <c r="EH125" s="230">
        <v>596757</v>
      </c>
      <c r="EI125" s="229">
        <v>-3.5000000000000003E-2</v>
      </c>
      <c r="EJ125" s="229">
        <v>0.55430000000000001</v>
      </c>
      <c r="EK125" s="228">
        <v>928.3</v>
      </c>
      <c r="EL125" s="228">
        <v>420.87</v>
      </c>
      <c r="EM125" s="228">
        <v>245.32</v>
      </c>
      <c r="EN125" s="228">
        <v>20.84</v>
      </c>
      <c r="EO125" s="231">
        <v>1594.48</v>
      </c>
      <c r="EP125" s="231">
        <v>1641.77</v>
      </c>
      <c r="EQ125" s="228">
        <v>-47.29</v>
      </c>
      <c r="ER125" s="229">
        <v>-2.8799999999999999E-2</v>
      </c>
      <c r="ES125" s="228">
        <v>595.33000000000004</v>
      </c>
      <c r="ET125" s="228">
        <v>353</v>
      </c>
      <c r="EU125" s="231">
        <v>1584.92</v>
      </c>
      <c r="EV125" s="231">
        <v>32222448</v>
      </c>
      <c r="EW125" s="231">
        <v>2533.2600000000002</v>
      </c>
      <c r="EX125" s="231">
        <v>2481.58</v>
      </c>
      <c r="EY125" s="228">
        <v>51.68</v>
      </c>
      <c r="EZ125" s="229">
        <v>2.0799999999999999E-2</v>
      </c>
      <c r="FA125" s="229">
        <v>0.33750000000000002</v>
      </c>
      <c r="FB125" s="227" t="s">
        <v>555</v>
      </c>
      <c r="FC125">
        <f t="shared" si="1"/>
        <v>67</v>
      </c>
    </row>
    <row r="126" spans="1:159" ht="17.25" thickBot="1" x14ac:dyDescent="0.3">
      <c r="A126" s="226">
        <v>46129</v>
      </c>
      <c r="B126" s="227" t="s">
        <v>162</v>
      </c>
      <c r="C126" s="227" t="s">
        <v>251</v>
      </c>
      <c r="D126" s="228">
        <v>200</v>
      </c>
      <c r="E126" s="228">
        <v>11</v>
      </c>
      <c r="F126" s="231">
        <v>3207.2</v>
      </c>
      <c r="G126" s="231">
        <v>3229.3</v>
      </c>
      <c r="H126" s="228">
        <v>-22.1</v>
      </c>
      <c r="I126" s="229">
        <v>-6.7999999999999996E-3</v>
      </c>
      <c r="J126" s="231">
        <v>3200.2</v>
      </c>
      <c r="K126" s="231">
        <v>3222.3</v>
      </c>
      <c r="L126" s="228">
        <v>-22.1</v>
      </c>
      <c r="M126" s="229">
        <v>-6.8999999999999999E-3</v>
      </c>
      <c r="N126" s="231">
        <v>3207.2</v>
      </c>
      <c r="O126" s="231">
        <v>3229.3</v>
      </c>
      <c r="P126" s="228">
        <v>-22.1</v>
      </c>
      <c r="Q126" s="229">
        <v>-6.7999999999999996E-3</v>
      </c>
      <c r="R126" s="231">
        <v>3225.7</v>
      </c>
      <c r="S126" s="231">
        <v>3247.8</v>
      </c>
      <c r="T126" s="228">
        <v>-22.1</v>
      </c>
      <c r="U126" s="229">
        <v>-6.7999999999999996E-3</v>
      </c>
      <c r="V126" s="231">
        <v>3244</v>
      </c>
      <c r="W126" s="231">
        <v>3267.4</v>
      </c>
      <c r="X126" s="228">
        <v>-23.4</v>
      </c>
      <c r="Y126" s="229">
        <v>-7.1999999999999998E-3</v>
      </c>
      <c r="Z126" s="228">
        <v>7</v>
      </c>
      <c r="AA126" s="228">
        <v>7</v>
      </c>
      <c r="AB126" s="228">
        <v>0</v>
      </c>
      <c r="AC126" s="229">
        <v>2.2000000000000001E-3</v>
      </c>
      <c r="AD126" s="228">
        <v>7</v>
      </c>
      <c r="AE126" s="228">
        <v>7</v>
      </c>
      <c r="AF126" s="228">
        <v>0</v>
      </c>
      <c r="AG126" s="229">
        <v>2.2000000000000001E-3</v>
      </c>
      <c r="AH126" s="228">
        <v>25.5</v>
      </c>
      <c r="AI126" s="228">
        <v>25.5</v>
      </c>
      <c r="AJ126" s="228">
        <v>0</v>
      </c>
      <c r="AK126" s="229">
        <v>8.0000000000000002E-3</v>
      </c>
      <c r="AL126" s="228">
        <v>43.8</v>
      </c>
      <c r="AM126" s="228">
        <v>45.1</v>
      </c>
      <c r="AN126" s="228">
        <v>-1.3</v>
      </c>
      <c r="AO126" s="229">
        <v>1.37E-2</v>
      </c>
      <c r="AP126" s="231">
        <v>3215.18</v>
      </c>
      <c r="AQ126" s="231">
        <v>3230.56</v>
      </c>
      <c r="AR126" s="228">
        <v>0</v>
      </c>
      <c r="AS126" s="228">
        <v>751</v>
      </c>
      <c r="AT126" s="228">
        <v>969</v>
      </c>
      <c r="AU126" s="228">
        <v>-218</v>
      </c>
      <c r="AV126" s="229">
        <v>-0.22470000000000001</v>
      </c>
      <c r="AW126" s="228">
        <v>555</v>
      </c>
      <c r="AX126" s="228">
        <v>751</v>
      </c>
      <c r="AY126" s="228">
        <v>-196</v>
      </c>
      <c r="AZ126" s="229">
        <v>-0.26100000000000001</v>
      </c>
      <c r="BA126" s="228">
        <v>121</v>
      </c>
      <c r="BB126" s="228">
        <v>80</v>
      </c>
      <c r="BC126" s="228">
        <v>41</v>
      </c>
      <c r="BD126" s="229">
        <v>0.5161</v>
      </c>
      <c r="BE126" s="228">
        <v>75</v>
      </c>
      <c r="BF126" s="228">
        <v>138</v>
      </c>
      <c r="BG126" s="228">
        <v>-63</v>
      </c>
      <c r="BH126" s="229">
        <v>-0.45650000000000002</v>
      </c>
      <c r="BI126" s="230">
        <v>1965</v>
      </c>
      <c r="BJ126" s="230">
        <v>1830</v>
      </c>
      <c r="BK126" s="228">
        <v>135</v>
      </c>
      <c r="BL126" s="229">
        <v>7.3599999999999999E-2</v>
      </c>
      <c r="BM126" s="230">
        <v>1086</v>
      </c>
      <c r="BN126" s="230">
        <v>1100</v>
      </c>
      <c r="BO126" s="228">
        <v>-13</v>
      </c>
      <c r="BP126" s="229">
        <v>-1.2200000000000001E-2</v>
      </c>
      <c r="BQ126" s="230">
        <v>3803</v>
      </c>
      <c r="BR126" s="230">
        <v>3899</v>
      </c>
      <c r="BS126" s="228">
        <v>-97</v>
      </c>
      <c r="BT126" s="229">
        <v>-2.4799999999999999E-2</v>
      </c>
      <c r="BU126" s="230">
        <v>2396669</v>
      </c>
      <c r="BV126" s="230">
        <v>3402483</v>
      </c>
      <c r="BW126" s="230">
        <v>-1005814</v>
      </c>
      <c r="BX126" s="229">
        <v>-0.29559999999999997</v>
      </c>
      <c r="BY126" s="230">
        <v>6345</v>
      </c>
      <c r="BZ126" s="230">
        <v>6190</v>
      </c>
      <c r="CA126" s="228">
        <v>155</v>
      </c>
      <c r="CB126" s="229">
        <v>2.5100000000000001E-2</v>
      </c>
      <c r="CC126" s="230">
        <v>5000</v>
      </c>
      <c r="CD126" s="230">
        <v>4988</v>
      </c>
      <c r="CE126" s="228">
        <v>12</v>
      </c>
      <c r="CF126" s="229">
        <v>2.3999999999999998E-3</v>
      </c>
      <c r="CG126" s="230">
        <v>1016</v>
      </c>
      <c r="CH126" s="228">
        <v>940</v>
      </c>
      <c r="CI126" s="228">
        <v>76</v>
      </c>
      <c r="CJ126" s="229">
        <v>8.1000000000000003E-2</v>
      </c>
      <c r="CK126" s="228">
        <v>329</v>
      </c>
      <c r="CL126" s="228">
        <v>262</v>
      </c>
      <c r="CM126" s="228">
        <v>67</v>
      </c>
      <c r="CN126" s="229">
        <v>0.25650000000000001</v>
      </c>
      <c r="CO126" s="230">
        <v>1771</v>
      </c>
      <c r="CP126" s="230">
        <v>1648</v>
      </c>
      <c r="CQ126" s="228">
        <v>123</v>
      </c>
      <c r="CR126" s="229">
        <v>7.4899999999999994E-2</v>
      </c>
      <c r="CS126" s="230">
        <v>1148</v>
      </c>
      <c r="CT126" s="230">
        <v>1139</v>
      </c>
      <c r="CU126" s="228">
        <v>10</v>
      </c>
      <c r="CV126" s="229">
        <v>8.3999999999999995E-3</v>
      </c>
      <c r="CW126" s="230">
        <v>9265</v>
      </c>
      <c r="CX126" s="230">
        <v>8976</v>
      </c>
      <c r="CY126" s="228">
        <v>288</v>
      </c>
      <c r="CZ126" s="229">
        <v>3.2099999999999997E-2</v>
      </c>
      <c r="DA126" s="228">
        <v>32.299999999999997</v>
      </c>
      <c r="DB126" s="228">
        <v>32.94</v>
      </c>
      <c r="DC126" s="228">
        <v>-0.64</v>
      </c>
      <c r="DD126" s="228">
        <v>-0.64</v>
      </c>
      <c r="DE126" s="228">
        <v>35.64</v>
      </c>
      <c r="DF126" s="228">
        <v>35.72</v>
      </c>
      <c r="DG126" s="228">
        <v>-3.34</v>
      </c>
      <c r="DH126" s="228">
        <v>-0.08</v>
      </c>
      <c r="DI126" s="228">
        <v>31.76</v>
      </c>
      <c r="DJ126" s="228">
        <v>32.25</v>
      </c>
      <c r="DK126" s="228">
        <v>-0.49</v>
      </c>
      <c r="DL126" s="228">
        <v>-0.49</v>
      </c>
      <c r="DM126" s="228">
        <v>33.28</v>
      </c>
      <c r="DN126" s="228">
        <v>34.08</v>
      </c>
      <c r="DO126" s="228">
        <v>-0.8</v>
      </c>
      <c r="DP126" s="228">
        <v>-0.8</v>
      </c>
      <c r="DQ126" s="228">
        <v>0.65</v>
      </c>
      <c r="DR126" s="228">
        <v>0.69</v>
      </c>
      <c r="DS126" s="228">
        <v>-0.04</v>
      </c>
      <c r="DT126" s="229">
        <v>-5.8000000000000003E-2</v>
      </c>
      <c r="DU126" s="231">
        <v>3300</v>
      </c>
      <c r="DV126" s="231">
        <v>3100</v>
      </c>
      <c r="DW126" s="228">
        <v>0.55000000000000004</v>
      </c>
      <c r="DX126" s="228">
        <v>0.6</v>
      </c>
      <c r="DY126" s="228">
        <v>-0.05</v>
      </c>
      <c r="DZ126" s="229">
        <v>-8.3299999999999999E-2</v>
      </c>
      <c r="EA126" s="229">
        <v>0.21199999999999999</v>
      </c>
      <c r="EB126" s="230">
        <v>3747800</v>
      </c>
      <c r="EC126" s="229">
        <v>5.7999999999999996E-3</v>
      </c>
      <c r="ED126" s="229">
        <v>0.21199999999999999</v>
      </c>
      <c r="EE126" s="228">
        <v>15.38</v>
      </c>
      <c r="EF126" s="229">
        <v>4.7999999999999996E-3</v>
      </c>
      <c r="EG126" s="230">
        <v>1381871</v>
      </c>
      <c r="EH126" s="230">
        <v>1689585</v>
      </c>
      <c r="EI126" s="229">
        <v>-0.18210000000000001</v>
      </c>
      <c r="EJ126" s="229">
        <v>0.5766</v>
      </c>
      <c r="EK126" s="231">
        <v>2046.86</v>
      </c>
      <c r="EL126" s="231">
        <v>1078.3800000000001</v>
      </c>
      <c r="EM126" s="228">
        <v>754.33</v>
      </c>
      <c r="EN126" s="228">
        <v>126.69</v>
      </c>
      <c r="EO126" s="231">
        <v>3879.57</v>
      </c>
      <c r="EP126" s="231">
        <v>4004.57</v>
      </c>
      <c r="EQ126" s="228">
        <v>-125</v>
      </c>
      <c r="ER126" s="229">
        <v>-3.1199999999999999E-2</v>
      </c>
      <c r="ES126" s="231">
        <v>1814.6</v>
      </c>
      <c r="ET126" s="231">
        <v>1112.1099999999999</v>
      </c>
      <c r="EU126" s="231">
        <v>6354.51</v>
      </c>
      <c r="EV126" s="231">
        <v>120808308</v>
      </c>
      <c r="EW126" s="231">
        <v>9281.2099999999991</v>
      </c>
      <c r="EX126" s="231">
        <v>9031.1200000000008</v>
      </c>
      <c r="EY126" s="228">
        <v>250.09</v>
      </c>
      <c r="EZ126" s="229">
        <v>2.7699999999999999E-2</v>
      </c>
      <c r="FA126" s="229">
        <v>0.23910000000000001</v>
      </c>
      <c r="FB126" s="227" t="s">
        <v>566</v>
      </c>
      <c r="FC126">
        <f t="shared" si="1"/>
        <v>1345</v>
      </c>
    </row>
    <row r="127" spans="1:159" ht="17.25" thickBot="1" x14ac:dyDescent="0.3">
      <c r="A127" s="226">
        <v>46129</v>
      </c>
      <c r="B127" s="227" t="s">
        <v>175</v>
      </c>
      <c r="C127" s="227" t="s">
        <v>253</v>
      </c>
      <c r="D127" s="228">
        <v>3000</v>
      </c>
      <c r="E127" s="228">
        <v>11</v>
      </c>
      <c r="F127" s="228">
        <v>270.05</v>
      </c>
      <c r="G127" s="228">
        <v>269.05</v>
      </c>
      <c r="H127" s="228">
        <v>1</v>
      </c>
      <c r="I127" s="229">
        <v>3.7000000000000002E-3</v>
      </c>
      <c r="J127" s="228">
        <v>268.89999999999998</v>
      </c>
      <c r="K127" s="228">
        <v>268.14999999999998</v>
      </c>
      <c r="L127" s="228">
        <v>0.75</v>
      </c>
      <c r="M127" s="229">
        <v>2.8E-3</v>
      </c>
      <c r="N127" s="228">
        <v>270.05</v>
      </c>
      <c r="O127" s="228">
        <v>269.05</v>
      </c>
      <c r="P127" s="228">
        <v>1</v>
      </c>
      <c r="Q127" s="229">
        <v>3.7000000000000002E-3</v>
      </c>
      <c r="R127" s="228">
        <v>271.39999999999998</v>
      </c>
      <c r="S127" s="228">
        <v>270.25</v>
      </c>
      <c r="T127" s="228">
        <v>1.1499999999999999</v>
      </c>
      <c r="U127" s="229">
        <v>4.3E-3</v>
      </c>
      <c r="V127" s="228">
        <v>272.95</v>
      </c>
      <c r="W127" s="228">
        <v>270.95</v>
      </c>
      <c r="X127" s="228">
        <v>2</v>
      </c>
      <c r="Y127" s="229">
        <v>7.4000000000000003E-3</v>
      </c>
      <c r="Z127" s="228">
        <v>1.1499999999999999</v>
      </c>
      <c r="AA127" s="228">
        <v>0.9</v>
      </c>
      <c r="AB127" s="228">
        <v>0.25</v>
      </c>
      <c r="AC127" s="229">
        <v>4.3E-3</v>
      </c>
      <c r="AD127" s="228">
        <v>1.1499999999999999</v>
      </c>
      <c r="AE127" s="228">
        <v>0.9</v>
      </c>
      <c r="AF127" s="228">
        <v>0.25</v>
      </c>
      <c r="AG127" s="229">
        <v>4.3E-3</v>
      </c>
      <c r="AH127" s="228">
        <v>2.5</v>
      </c>
      <c r="AI127" s="228">
        <v>2.1</v>
      </c>
      <c r="AJ127" s="228">
        <v>0.4</v>
      </c>
      <c r="AK127" s="229">
        <v>9.2999999999999992E-3</v>
      </c>
      <c r="AL127" s="228">
        <v>4.05</v>
      </c>
      <c r="AM127" s="228">
        <v>2.8</v>
      </c>
      <c r="AN127" s="228">
        <v>1.25</v>
      </c>
      <c r="AO127" s="229">
        <v>1.5100000000000001E-2</v>
      </c>
      <c r="AP127" s="228">
        <v>269.47000000000003</v>
      </c>
      <c r="AQ127" s="228">
        <v>270.70999999999998</v>
      </c>
      <c r="AR127" s="228">
        <v>0</v>
      </c>
      <c r="AS127" s="228">
        <v>136</v>
      </c>
      <c r="AT127" s="228">
        <v>136</v>
      </c>
      <c r="AU127" s="228">
        <v>0</v>
      </c>
      <c r="AV127" s="229">
        <v>1.1999999999999999E-3</v>
      </c>
      <c r="AW127" s="228">
        <v>121</v>
      </c>
      <c r="AX127" s="228">
        <v>125</v>
      </c>
      <c r="AY127" s="228">
        <v>-4</v>
      </c>
      <c r="AZ127" s="229">
        <v>-3.2500000000000001E-2</v>
      </c>
      <c r="BA127" s="228">
        <v>15</v>
      </c>
      <c r="BB127" s="228">
        <v>10</v>
      </c>
      <c r="BC127" s="228">
        <v>4</v>
      </c>
      <c r="BD127" s="229">
        <v>0.41860000000000003</v>
      </c>
      <c r="BE127" s="228">
        <v>0</v>
      </c>
      <c r="BF127" s="228">
        <v>1</v>
      </c>
      <c r="BG127" s="228">
        <v>0</v>
      </c>
      <c r="BH127" s="229">
        <v>-0.28570000000000001</v>
      </c>
      <c r="BI127" s="228">
        <v>356</v>
      </c>
      <c r="BJ127" s="228">
        <v>309</v>
      </c>
      <c r="BK127" s="228">
        <v>47</v>
      </c>
      <c r="BL127" s="229">
        <v>0.15049999999999999</v>
      </c>
      <c r="BM127" s="228">
        <v>241</v>
      </c>
      <c r="BN127" s="228">
        <v>184</v>
      </c>
      <c r="BO127" s="228">
        <v>56</v>
      </c>
      <c r="BP127" s="229">
        <v>0.30580000000000002</v>
      </c>
      <c r="BQ127" s="228">
        <v>732</v>
      </c>
      <c r="BR127" s="228">
        <v>629</v>
      </c>
      <c r="BS127" s="228">
        <v>103</v>
      </c>
      <c r="BT127" s="229">
        <v>0.1638</v>
      </c>
      <c r="BU127" s="230">
        <v>2435553</v>
      </c>
      <c r="BV127" s="230">
        <v>2922099</v>
      </c>
      <c r="BW127" s="230">
        <v>-486546</v>
      </c>
      <c r="BX127" s="229">
        <v>-0.16650000000000001</v>
      </c>
      <c r="BY127" s="230">
        <v>1446</v>
      </c>
      <c r="BZ127" s="230">
        <v>1452</v>
      </c>
      <c r="CA127" s="228">
        <v>-6</v>
      </c>
      <c r="CB127" s="229">
        <v>-4.1000000000000003E-3</v>
      </c>
      <c r="CC127" s="230">
        <v>1397</v>
      </c>
      <c r="CD127" s="230">
        <v>1408</v>
      </c>
      <c r="CE127" s="228">
        <v>-11</v>
      </c>
      <c r="CF127" s="229">
        <v>-7.4999999999999997E-3</v>
      </c>
      <c r="CG127" s="228">
        <v>45</v>
      </c>
      <c r="CH127" s="228">
        <v>41</v>
      </c>
      <c r="CI127" s="228">
        <v>5</v>
      </c>
      <c r="CJ127" s="229">
        <v>0.1118</v>
      </c>
      <c r="CK127" s="228">
        <v>3</v>
      </c>
      <c r="CL127" s="228">
        <v>3</v>
      </c>
      <c r="CM127" s="228">
        <v>0</v>
      </c>
      <c r="CN127" s="229">
        <v>0</v>
      </c>
      <c r="CO127" s="228">
        <v>471</v>
      </c>
      <c r="CP127" s="228">
        <v>444</v>
      </c>
      <c r="CQ127" s="228">
        <v>26</v>
      </c>
      <c r="CR127" s="229">
        <v>5.96E-2</v>
      </c>
      <c r="CS127" s="228">
        <v>305</v>
      </c>
      <c r="CT127" s="228">
        <v>276</v>
      </c>
      <c r="CU127" s="228">
        <v>29</v>
      </c>
      <c r="CV127" s="229">
        <v>0.1046</v>
      </c>
      <c r="CW127" s="230">
        <v>2221</v>
      </c>
      <c r="CX127" s="230">
        <v>2172</v>
      </c>
      <c r="CY127" s="228">
        <v>49</v>
      </c>
      <c r="CZ127" s="229">
        <v>2.2700000000000001E-2</v>
      </c>
      <c r="DA127" s="228">
        <v>34.46</v>
      </c>
      <c r="DB127" s="228">
        <v>35.299999999999997</v>
      </c>
      <c r="DC127" s="228">
        <v>-0.84</v>
      </c>
      <c r="DD127" s="228">
        <v>-0.84</v>
      </c>
      <c r="DE127" s="228">
        <v>42.6</v>
      </c>
      <c r="DF127" s="228">
        <v>42.7</v>
      </c>
      <c r="DG127" s="228">
        <v>-8.14</v>
      </c>
      <c r="DH127" s="228">
        <v>-0.1</v>
      </c>
      <c r="DI127" s="228">
        <v>33.31</v>
      </c>
      <c r="DJ127" s="228">
        <v>34.44</v>
      </c>
      <c r="DK127" s="228">
        <v>-1.1299999999999999</v>
      </c>
      <c r="DL127" s="228">
        <v>-1.1299999999999999</v>
      </c>
      <c r="DM127" s="228">
        <v>36.15</v>
      </c>
      <c r="DN127" s="228">
        <v>36.729999999999997</v>
      </c>
      <c r="DO127" s="228">
        <v>-0.57999999999999996</v>
      </c>
      <c r="DP127" s="228">
        <v>-0.57999999999999996</v>
      </c>
      <c r="DQ127" s="228">
        <v>0.65</v>
      </c>
      <c r="DR127" s="228">
        <v>0.62</v>
      </c>
      <c r="DS127" s="228">
        <v>0.03</v>
      </c>
      <c r="DT127" s="229">
        <v>4.8399999999999999E-2</v>
      </c>
      <c r="DU127" s="228">
        <v>300</v>
      </c>
      <c r="DV127" s="228">
        <v>250</v>
      </c>
      <c r="DW127" s="228">
        <v>0.68</v>
      </c>
      <c r="DX127" s="228">
        <v>0.6</v>
      </c>
      <c r="DY127" s="228">
        <v>0.08</v>
      </c>
      <c r="DZ127" s="229">
        <v>0.1333</v>
      </c>
      <c r="EA127" s="229">
        <v>3.3599999999999998E-2</v>
      </c>
      <c r="EB127" s="230">
        <v>1629000</v>
      </c>
      <c r="EC127" s="229">
        <v>5.0000000000000001E-3</v>
      </c>
      <c r="ED127" s="229">
        <v>3.3599999999999998E-2</v>
      </c>
      <c r="EE127" s="228">
        <v>1.24</v>
      </c>
      <c r="EF127" s="229">
        <v>4.5999999999999999E-3</v>
      </c>
      <c r="EG127" s="230">
        <v>863033</v>
      </c>
      <c r="EH127" s="230">
        <v>1152835</v>
      </c>
      <c r="EI127" s="229">
        <v>-0.25140000000000001</v>
      </c>
      <c r="EJ127" s="229">
        <v>0.3543</v>
      </c>
      <c r="EK127" s="228">
        <v>370.08</v>
      </c>
      <c r="EL127" s="228">
        <v>232.89</v>
      </c>
      <c r="EM127" s="228">
        <v>135.56</v>
      </c>
      <c r="EN127" s="228">
        <v>20.2</v>
      </c>
      <c r="EO127" s="228">
        <v>738.54</v>
      </c>
      <c r="EP127" s="228">
        <v>639.42999999999995</v>
      </c>
      <c r="EQ127" s="228">
        <v>99.11</v>
      </c>
      <c r="ER127" s="229">
        <v>0.155</v>
      </c>
      <c r="ES127" s="228">
        <v>484.82</v>
      </c>
      <c r="ET127" s="228">
        <v>285.04000000000002</v>
      </c>
      <c r="EU127" s="231">
        <v>1445.97</v>
      </c>
      <c r="EV127" s="231">
        <v>82205057</v>
      </c>
      <c r="EW127" s="231">
        <v>2215.83</v>
      </c>
      <c r="EX127" s="231">
        <v>2161.38</v>
      </c>
      <c r="EY127" s="228">
        <v>54.45</v>
      </c>
      <c r="EZ127" s="229">
        <v>2.52E-2</v>
      </c>
      <c r="FA127" s="229">
        <v>1.0004999999999999</v>
      </c>
      <c r="FB127" s="227" t="s">
        <v>693</v>
      </c>
      <c r="FC127">
        <f t="shared" si="1"/>
        <v>49</v>
      </c>
    </row>
    <row r="128" spans="1:159" ht="17.25" thickBot="1" x14ac:dyDescent="0.3">
      <c r="A128" s="226">
        <v>46129</v>
      </c>
      <c r="B128" s="227" t="s">
        <v>170</v>
      </c>
      <c r="C128" s="227" t="s">
        <v>670</v>
      </c>
      <c r="D128" s="228">
        <v>225</v>
      </c>
      <c r="E128" s="228">
        <v>11</v>
      </c>
      <c r="F128" s="231">
        <v>2129.4</v>
      </c>
      <c r="G128" s="231">
        <v>2101.6999999999998</v>
      </c>
      <c r="H128" s="228">
        <v>27.7</v>
      </c>
      <c r="I128" s="229">
        <v>1.32E-2</v>
      </c>
      <c r="J128" s="231">
        <v>2125</v>
      </c>
      <c r="K128" s="231">
        <v>2104.4</v>
      </c>
      <c r="L128" s="228">
        <v>20.6</v>
      </c>
      <c r="M128" s="229">
        <v>9.7999999999999997E-3</v>
      </c>
      <c r="N128" s="231">
        <v>2129.4</v>
      </c>
      <c r="O128" s="231">
        <v>2101.6999999999998</v>
      </c>
      <c r="P128" s="228">
        <v>27.7</v>
      </c>
      <c r="Q128" s="229">
        <v>1.32E-2</v>
      </c>
      <c r="R128" s="231">
        <v>2127</v>
      </c>
      <c r="S128" s="231">
        <v>2105</v>
      </c>
      <c r="T128" s="228">
        <v>22</v>
      </c>
      <c r="U128" s="229">
        <v>1.0500000000000001E-2</v>
      </c>
      <c r="V128" s="231">
        <v>2122.1</v>
      </c>
      <c r="W128" s="231">
        <v>2095</v>
      </c>
      <c r="X128" s="228">
        <v>27.1</v>
      </c>
      <c r="Y128" s="229">
        <v>1.29E-2</v>
      </c>
      <c r="Z128" s="228">
        <v>4.4000000000000004</v>
      </c>
      <c r="AA128" s="228">
        <v>-2.7</v>
      </c>
      <c r="AB128" s="228">
        <v>7.1</v>
      </c>
      <c r="AC128" s="229">
        <v>2.0999999999999999E-3</v>
      </c>
      <c r="AD128" s="228">
        <v>4.4000000000000004</v>
      </c>
      <c r="AE128" s="228">
        <v>-2.7</v>
      </c>
      <c r="AF128" s="228">
        <v>7.1</v>
      </c>
      <c r="AG128" s="229">
        <v>2.0999999999999999E-3</v>
      </c>
      <c r="AH128" s="228">
        <v>2</v>
      </c>
      <c r="AI128" s="228">
        <v>0.6</v>
      </c>
      <c r="AJ128" s="228">
        <v>1.4</v>
      </c>
      <c r="AK128" s="229">
        <v>8.9999999999999998E-4</v>
      </c>
      <c r="AL128" s="228">
        <v>-2.9</v>
      </c>
      <c r="AM128" s="228">
        <v>-9.4</v>
      </c>
      <c r="AN128" s="228">
        <v>6.5</v>
      </c>
      <c r="AO128" s="229">
        <v>-1.4E-3</v>
      </c>
      <c r="AP128" s="231">
        <v>2121.2800000000002</v>
      </c>
      <c r="AQ128" s="231">
        <v>2120.23</v>
      </c>
      <c r="AR128" s="228">
        <v>0</v>
      </c>
      <c r="AS128" s="228">
        <v>57</v>
      </c>
      <c r="AT128" s="228">
        <v>104</v>
      </c>
      <c r="AU128" s="228">
        <v>-47</v>
      </c>
      <c r="AV128" s="229">
        <v>-0.4516</v>
      </c>
      <c r="AW128" s="228">
        <v>47</v>
      </c>
      <c r="AX128" s="228">
        <v>87</v>
      </c>
      <c r="AY128" s="228">
        <v>-39</v>
      </c>
      <c r="AZ128" s="229">
        <v>-0.45629999999999998</v>
      </c>
      <c r="BA128" s="228">
        <v>10</v>
      </c>
      <c r="BB128" s="228">
        <v>17</v>
      </c>
      <c r="BC128" s="228">
        <v>-7</v>
      </c>
      <c r="BD128" s="229">
        <v>-0.40060000000000001</v>
      </c>
      <c r="BE128" s="228">
        <v>0</v>
      </c>
      <c r="BF128" s="228">
        <v>1</v>
      </c>
      <c r="BG128" s="228">
        <v>-1</v>
      </c>
      <c r="BH128" s="229">
        <v>-0.90480000000000005</v>
      </c>
      <c r="BI128" s="228">
        <v>147</v>
      </c>
      <c r="BJ128" s="228">
        <v>151</v>
      </c>
      <c r="BK128" s="228">
        <v>-4</v>
      </c>
      <c r="BL128" s="229">
        <v>-2.9499999999999998E-2</v>
      </c>
      <c r="BM128" s="228">
        <v>22</v>
      </c>
      <c r="BN128" s="228">
        <v>51</v>
      </c>
      <c r="BO128" s="228">
        <v>-29</v>
      </c>
      <c r="BP128" s="229">
        <v>-0.56259999999999999</v>
      </c>
      <c r="BQ128" s="228">
        <v>226</v>
      </c>
      <c r="BR128" s="228">
        <v>306</v>
      </c>
      <c r="BS128" s="228">
        <v>-80</v>
      </c>
      <c r="BT128" s="229">
        <v>-0.26190000000000002</v>
      </c>
      <c r="BU128" s="230">
        <v>566639</v>
      </c>
      <c r="BV128" s="230">
        <v>586983</v>
      </c>
      <c r="BW128" s="230">
        <v>-20344</v>
      </c>
      <c r="BX128" s="229">
        <v>-3.4700000000000002E-2</v>
      </c>
      <c r="BY128" s="228">
        <v>618</v>
      </c>
      <c r="BZ128" s="228">
        <v>618</v>
      </c>
      <c r="CA128" s="228">
        <v>0</v>
      </c>
      <c r="CB128" s="229">
        <v>6.9999999999999999E-4</v>
      </c>
      <c r="CC128" s="228">
        <v>577</v>
      </c>
      <c r="CD128" s="228">
        <v>579</v>
      </c>
      <c r="CE128" s="228">
        <v>-2</v>
      </c>
      <c r="CF128" s="229">
        <v>-3.8E-3</v>
      </c>
      <c r="CG128" s="228">
        <v>39</v>
      </c>
      <c r="CH128" s="228">
        <v>37</v>
      </c>
      <c r="CI128" s="228">
        <v>3</v>
      </c>
      <c r="CJ128" s="229">
        <v>7.1499999999999994E-2</v>
      </c>
      <c r="CK128" s="228">
        <v>2</v>
      </c>
      <c r="CL128" s="228">
        <v>2</v>
      </c>
      <c r="CM128" s="228">
        <v>0</v>
      </c>
      <c r="CN128" s="229">
        <v>0</v>
      </c>
      <c r="CO128" s="228">
        <v>171</v>
      </c>
      <c r="CP128" s="228">
        <v>161</v>
      </c>
      <c r="CQ128" s="228">
        <v>10</v>
      </c>
      <c r="CR128" s="229">
        <v>5.9799999999999999E-2</v>
      </c>
      <c r="CS128" s="228">
        <v>57</v>
      </c>
      <c r="CT128" s="228">
        <v>57</v>
      </c>
      <c r="CU128" s="228">
        <v>0</v>
      </c>
      <c r="CV128" s="229">
        <v>5.1000000000000004E-3</v>
      </c>
      <c r="CW128" s="228">
        <v>846</v>
      </c>
      <c r="CX128" s="228">
        <v>835</v>
      </c>
      <c r="CY128" s="228">
        <v>10</v>
      </c>
      <c r="CZ128" s="229">
        <v>1.24E-2</v>
      </c>
      <c r="DA128" s="228">
        <v>28.27</v>
      </c>
      <c r="DB128" s="228">
        <v>31.62</v>
      </c>
      <c r="DC128" s="228">
        <v>-3.35</v>
      </c>
      <c r="DD128" s="228">
        <v>-3.35</v>
      </c>
      <c r="DE128" s="228">
        <v>33.79</v>
      </c>
      <c r="DF128" s="228">
        <v>33.85</v>
      </c>
      <c r="DG128" s="228">
        <v>-5.52</v>
      </c>
      <c r="DH128" s="228">
        <v>-0.06</v>
      </c>
      <c r="DI128" s="228">
        <v>27.62</v>
      </c>
      <c r="DJ128" s="228">
        <v>30.98</v>
      </c>
      <c r="DK128" s="228">
        <v>-3.36</v>
      </c>
      <c r="DL128" s="228">
        <v>-3.36</v>
      </c>
      <c r="DM128" s="228">
        <v>32.58</v>
      </c>
      <c r="DN128" s="228">
        <v>33.520000000000003</v>
      </c>
      <c r="DO128" s="228">
        <v>-0.94</v>
      </c>
      <c r="DP128" s="228">
        <v>-0.94</v>
      </c>
      <c r="DQ128" s="228">
        <v>0.33</v>
      </c>
      <c r="DR128" s="228">
        <v>0.35</v>
      </c>
      <c r="DS128" s="228">
        <v>-0.02</v>
      </c>
      <c r="DT128" s="229">
        <v>-5.7099999999999998E-2</v>
      </c>
      <c r="DU128" s="231">
        <v>2240</v>
      </c>
      <c r="DV128" s="231">
        <v>2100</v>
      </c>
      <c r="DW128" s="228">
        <v>0.15</v>
      </c>
      <c r="DX128" s="228">
        <v>0.34</v>
      </c>
      <c r="DY128" s="228">
        <v>-0.19</v>
      </c>
      <c r="DZ128" s="229">
        <v>-0.55879999999999996</v>
      </c>
      <c r="EA128" s="229">
        <v>6.6600000000000006E-2</v>
      </c>
      <c r="EB128" s="230">
        <v>180900</v>
      </c>
      <c r="EC128" s="229">
        <v>-1.1000000000000001E-3</v>
      </c>
      <c r="ED128" s="229">
        <v>6.6600000000000006E-2</v>
      </c>
      <c r="EE128" s="228">
        <v>-1.05</v>
      </c>
      <c r="EF128" s="229">
        <v>-5.0000000000000001E-4</v>
      </c>
      <c r="EG128" s="230">
        <v>430584</v>
      </c>
      <c r="EH128" s="230">
        <v>363901</v>
      </c>
      <c r="EI128" s="229">
        <v>0.1832</v>
      </c>
      <c r="EJ128" s="229">
        <v>0.75990000000000002</v>
      </c>
      <c r="EK128" s="228">
        <v>151.16999999999999</v>
      </c>
      <c r="EL128" s="228">
        <v>22.07</v>
      </c>
      <c r="EM128" s="228">
        <v>57.03</v>
      </c>
      <c r="EN128" s="228">
        <v>16.21</v>
      </c>
      <c r="EO128" s="228">
        <v>230.27</v>
      </c>
      <c r="EP128" s="228">
        <v>310.08999999999997</v>
      </c>
      <c r="EQ128" s="228">
        <v>-79.819999999999993</v>
      </c>
      <c r="ER128" s="229">
        <v>-0.25740000000000002</v>
      </c>
      <c r="ES128" s="228">
        <v>175.43</v>
      </c>
      <c r="ET128" s="228">
        <v>53.23</v>
      </c>
      <c r="EU128" s="228">
        <v>618.29999999999995</v>
      </c>
      <c r="EV128" s="231">
        <v>16926669</v>
      </c>
      <c r="EW128" s="228">
        <v>846.96</v>
      </c>
      <c r="EX128" s="228">
        <v>827.54</v>
      </c>
      <c r="EY128" s="228">
        <v>19.420000000000002</v>
      </c>
      <c r="EZ128" s="229">
        <v>2.35E-2</v>
      </c>
      <c r="FA128" s="229">
        <v>0.23469999999999999</v>
      </c>
      <c r="FB128" s="227" t="s">
        <v>555</v>
      </c>
      <c r="FC128">
        <f t="shared" si="1"/>
        <v>41</v>
      </c>
    </row>
    <row r="129" spans="1:159" ht="17.25" thickBot="1" x14ac:dyDescent="0.3">
      <c r="A129" s="226">
        <v>46129</v>
      </c>
      <c r="B129" s="227" t="s">
        <v>168</v>
      </c>
      <c r="C129" s="227" t="s">
        <v>254</v>
      </c>
      <c r="D129" s="228">
        <v>1200</v>
      </c>
      <c r="E129" s="228">
        <v>11</v>
      </c>
      <c r="F129" s="228">
        <v>758.45</v>
      </c>
      <c r="G129" s="228">
        <v>746.4</v>
      </c>
      <c r="H129" s="228">
        <v>12.05</v>
      </c>
      <c r="I129" s="229">
        <v>1.61E-2</v>
      </c>
      <c r="J129" s="228">
        <v>757.3</v>
      </c>
      <c r="K129" s="228">
        <v>744.4</v>
      </c>
      <c r="L129" s="228">
        <v>12.9</v>
      </c>
      <c r="M129" s="229">
        <v>1.7299999999999999E-2</v>
      </c>
      <c r="N129" s="228">
        <v>758.45</v>
      </c>
      <c r="O129" s="228">
        <v>746.4</v>
      </c>
      <c r="P129" s="228">
        <v>12.05</v>
      </c>
      <c r="Q129" s="229">
        <v>1.61E-2</v>
      </c>
      <c r="R129" s="228">
        <v>763.5</v>
      </c>
      <c r="S129" s="228">
        <v>750.65</v>
      </c>
      <c r="T129" s="228">
        <v>12.85</v>
      </c>
      <c r="U129" s="229">
        <v>1.7100000000000001E-2</v>
      </c>
      <c r="V129" s="228">
        <v>763.1</v>
      </c>
      <c r="W129" s="228">
        <v>745.85</v>
      </c>
      <c r="X129" s="228">
        <v>17.25</v>
      </c>
      <c r="Y129" s="229">
        <v>2.3099999999999999E-2</v>
      </c>
      <c r="Z129" s="228">
        <v>1.1499999999999999</v>
      </c>
      <c r="AA129" s="228">
        <v>2</v>
      </c>
      <c r="AB129" s="228">
        <v>-0.85</v>
      </c>
      <c r="AC129" s="229">
        <v>1.5E-3</v>
      </c>
      <c r="AD129" s="228">
        <v>1.1499999999999999</v>
      </c>
      <c r="AE129" s="228">
        <v>2</v>
      </c>
      <c r="AF129" s="228">
        <v>-0.85</v>
      </c>
      <c r="AG129" s="229">
        <v>1.5E-3</v>
      </c>
      <c r="AH129" s="228">
        <v>6.2</v>
      </c>
      <c r="AI129" s="228">
        <v>6.25</v>
      </c>
      <c r="AJ129" s="228">
        <v>-0.05</v>
      </c>
      <c r="AK129" s="229">
        <v>8.2000000000000007E-3</v>
      </c>
      <c r="AL129" s="228">
        <v>5.8</v>
      </c>
      <c r="AM129" s="228">
        <v>1.45</v>
      </c>
      <c r="AN129" s="228">
        <v>4.3499999999999996</v>
      </c>
      <c r="AO129" s="229">
        <v>7.7000000000000002E-3</v>
      </c>
      <c r="AP129" s="228">
        <v>756.46</v>
      </c>
      <c r="AQ129" s="228">
        <v>760.83</v>
      </c>
      <c r="AR129" s="228">
        <v>0</v>
      </c>
      <c r="AS129" s="228">
        <v>399</v>
      </c>
      <c r="AT129" s="228">
        <v>164</v>
      </c>
      <c r="AU129" s="228">
        <v>235</v>
      </c>
      <c r="AV129" s="229">
        <v>1.4298999999999999</v>
      </c>
      <c r="AW129" s="228">
        <v>292</v>
      </c>
      <c r="AX129" s="228">
        <v>153</v>
      </c>
      <c r="AY129" s="228">
        <v>139</v>
      </c>
      <c r="AZ129" s="229">
        <v>0.91410000000000002</v>
      </c>
      <c r="BA129" s="228">
        <v>16</v>
      </c>
      <c r="BB129" s="228">
        <v>12</v>
      </c>
      <c r="BC129" s="228">
        <v>4</v>
      </c>
      <c r="BD129" s="229">
        <v>0.33589999999999998</v>
      </c>
      <c r="BE129" s="228">
        <v>92</v>
      </c>
      <c r="BF129" s="228">
        <v>0</v>
      </c>
      <c r="BG129" s="228">
        <v>92</v>
      </c>
      <c r="BH129" s="229">
        <v>1006</v>
      </c>
      <c r="BI129" s="228">
        <v>929</v>
      </c>
      <c r="BJ129" s="228">
        <v>534</v>
      </c>
      <c r="BK129" s="228">
        <v>395</v>
      </c>
      <c r="BL129" s="229">
        <v>0.73939999999999995</v>
      </c>
      <c r="BM129" s="228">
        <v>252</v>
      </c>
      <c r="BN129" s="228">
        <v>240</v>
      </c>
      <c r="BO129" s="228">
        <v>12</v>
      </c>
      <c r="BP129" s="229">
        <v>5.16E-2</v>
      </c>
      <c r="BQ129" s="230">
        <v>1580</v>
      </c>
      <c r="BR129" s="228">
        <v>938</v>
      </c>
      <c r="BS129" s="228">
        <v>642</v>
      </c>
      <c r="BT129" s="229">
        <v>0.68440000000000001</v>
      </c>
      <c r="BU129" s="230">
        <v>2224790</v>
      </c>
      <c r="BV129" s="230">
        <v>2221296</v>
      </c>
      <c r="BW129" s="230">
        <v>3494</v>
      </c>
      <c r="BX129" s="229">
        <v>1.6000000000000001E-3</v>
      </c>
      <c r="BY129" s="230">
        <v>1879</v>
      </c>
      <c r="BZ129" s="230">
        <v>1894</v>
      </c>
      <c r="CA129" s="228">
        <v>-15</v>
      </c>
      <c r="CB129" s="229">
        <v>-7.7999999999999996E-3</v>
      </c>
      <c r="CC129" s="230">
        <v>1766</v>
      </c>
      <c r="CD129" s="230">
        <v>1876</v>
      </c>
      <c r="CE129" s="228">
        <v>-110</v>
      </c>
      <c r="CF129" s="229">
        <v>-5.8700000000000002E-2</v>
      </c>
      <c r="CG129" s="228">
        <v>22</v>
      </c>
      <c r="CH129" s="228">
        <v>18</v>
      </c>
      <c r="CI129" s="228">
        <v>4</v>
      </c>
      <c r="CJ129" s="229">
        <v>0.2273</v>
      </c>
      <c r="CK129" s="228">
        <v>91</v>
      </c>
      <c r="CL129" s="228">
        <v>0</v>
      </c>
      <c r="CM129" s="228">
        <v>91</v>
      </c>
      <c r="CN129" s="229">
        <v>334</v>
      </c>
      <c r="CO129" s="228">
        <v>357</v>
      </c>
      <c r="CP129" s="228">
        <v>347</v>
      </c>
      <c r="CQ129" s="228">
        <v>9</v>
      </c>
      <c r="CR129" s="229">
        <v>2.7300000000000001E-2</v>
      </c>
      <c r="CS129" s="228">
        <v>305</v>
      </c>
      <c r="CT129" s="228">
        <v>306</v>
      </c>
      <c r="CU129" s="228">
        <v>-1</v>
      </c>
      <c r="CV129" s="229">
        <v>-4.1999999999999997E-3</v>
      </c>
      <c r="CW129" s="230">
        <v>2541</v>
      </c>
      <c r="CX129" s="230">
        <v>2548</v>
      </c>
      <c r="CY129" s="228">
        <v>-7</v>
      </c>
      <c r="CZ129" s="229">
        <v>-2.5999999999999999E-3</v>
      </c>
      <c r="DA129" s="228">
        <v>23.59</v>
      </c>
      <c r="DB129" s="228">
        <v>25.6</v>
      </c>
      <c r="DC129" s="228">
        <v>-2.0099999999999998</v>
      </c>
      <c r="DD129" s="228">
        <v>-2.0099999999999998</v>
      </c>
      <c r="DE129" s="228">
        <v>24.79</v>
      </c>
      <c r="DF129" s="228">
        <v>24.75</v>
      </c>
      <c r="DG129" s="228">
        <v>-1.2</v>
      </c>
      <c r="DH129" s="228">
        <v>0.04</v>
      </c>
      <c r="DI129" s="228">
        <v>23.54</v>
      </c>
      <c r="DJ129" s="228">
        <v>25.86</v>
      </c>
      <c r="DK129" s="228">
        <v>-2.3199999999999998</v>
      </c>
      <c r="DL129" s="228">
        <v>-2.3199999999999998</v>
      </c>
      <c r="DM129" s="228">
        <v>23.78</v>
      </c>
      <c r="DN129" s="228">
        <v>25.02</v>
      </c>
      <c r="DO129" s="228">
        <v>-1.24</v>
      </c>
      <c r="DP129" s="228">
        <v>-1.24</v>
      </c>
      <c r="DQ129" s="228">
        <v>0.86</v>
      </c>
      <c r="DR129" s="228">
        <v>0.88</v>
      </c>
      <c r="DS129" s="228">
        <v>-0.02</v>
      </c>
      <c r="DT129" s="229">
        <v>-2.2700000000000001E-2</v>
      </c>
      <c r="DU129" s="228">
        <v>800</v>
      </c>
      <c r="DV129" s="228">
        <v>700</v>
      </c>
      <c r="DW129" s="228">
        <v>0.27</v>
      </c>
      <c r="DX129" s="228">
        <v>0.45</v>
      </c>
      <c r="DY129" s="228">
        <v>-0.18</v>
      </c>
      <c r="DZ129" s="229">
        <v>-0.4</v>
      </c>
      <c r="EA129" s="229">
        <v>6.0400000000000002E-2</v>
      </c>
      <c r="EB129" s="230">
        <v>241200</v>
      </c>
      <c r="EC129" s="229">
        <v>6.7000000000000002E-3</v>
      </c>
      <c r="ED129" s="229">
        <v>6.0400000000000002E-2</v>
      </c>
      <c r="EE129" s="228">
        <v>4.37</v>
      </c>
      <c r="EF129" s="229">
        <v>5.7999999999999996E-3</v>
      </c>
      <c r="EG129" s="230">
        <v>1279096</v>
      </c>
      <c r="EH129" s="230">
        <v>1364257</v>
      </c>
      <c r="EI129" s="229">
        <v>-6.2399999999999997E-2</v>
      </c>
      <c r="EJ129" s="229">
        <v>0.57489999999999997</v>
      </c>
      <c r="EK129" s="228">
        <v>955.78</v>
      </c>
      <c r="EL129" s="228">
        <v>245.67</v>
      </c>
      <c r="EM129" s="228">
        <v>399.26</v>
      </c>
      <c r="EN129" s="228">
        <v>16.47</v>
      </c>
      <c r="EO129" s="231">
        <v>1600.71</v>
      </c>
      <c r="EP129" s="228">
        <v>945.91</v>
      </c>
      <c r="EQ129" s="228">
        <v>654.79</v>
      </c>
      <c r="ER129" s="229">
        <v>0.69220000000000004</v>
      </c>
      <c r="ES129" s="228">
        <v>367.29</v>
      </c>
      <c r="ET129" s="228">
        <v>289.77999999999997</v>
      </c>
      <c r="EU129" s="231">
        <v>1880.06</v>
      </c>
      <c r="EV129" s="231">
        <v>77572761</v>
      </c>
      <c r="EW129" s="231">
        <v>2537.13</v>
      </c>
      <c r="EX129" s="231">
        <v>2512.69</v>
      </c>
      <c r="EY129" s="228">
        <v>24.44</v>
      </c>
      <c r="EZ129" s="229">
        <v>9.7000000000000003E-3</v>
      </c>
      <c r="FA129" s="229">
        <v>0.43190000000000001</v>
      </c>
      <c r="FB129" s="227" t="s">
        <v>693</v>
      </c>
      <c r="FC129">
        <f t="shared" si="1"/>
        <v>113</v>
      </c>
    </row>
    <row r="130" spans="1:159" ht="17.25" thickBot="1" x14ac:dyDescent="0.3">
      <c r="A130" s="226">
        <v>46129</v>
      </c>
      <c r="B130" s="227" t="s">
        <v>162</v>
      </c>
      <c r="C130" s="227" t="s">
        <v>255</v>
      </c>
      <c r="D130" s="228">
        <v>50</v>
      </c>
      <c r="E130" s="228">
        <v>11</v>
      </c>
      <c r="F130" s="231">
        <v>13490</v>
      </c>
      <c r="G130" s="231">
        <v>13352</v>
      </c>
      <c r="H130" s="228">
        <v>138</v>
      </c>
      <c r="I130" s="229">
        <v>1.03E-2</v>
      </c>
      <c r="J130" s="231">
        <v>13453</v>
      </c>
      <c r="K130" s="231">
        <v>13335</v>
      </c>
      <c r="L130" s="228">
        <v>118</v>
      </c>
      <c r="M130" s="229">
        <v>8.8000000000000005E-3</v>
      </c>
      <c r="N130" s="231">
        <v>13490</v>
      </c>
      <c r="O130" s="231">
        <v>13352</v>
      </c>
      <c r="P130" s="228">
        <v>138</v>
      </c>
      <c r="Q130" s="229">
        <v>1.03E-2</v>
      </c>
      <c r="R130" s="231">
        <v>13560</v>
      </c>
      <c r="S130" s="231">
        <v>13437</v>
      </c>
      <c r="T130" s="228">
        <v>123</v>
      </c>
      <c r="U130" s="229">
        <v>9.1999999999999998E-3</v>
      </c>
      <c r="V130" s="231">
        <v>13656</v>
      </c>
      <c r="W130" s="231">
        <v>13507</v>
      </c>
      <c r="X130" s="228">
        <v>149</v>
      </c>
      <c r="Y130" s="229">
        <v>1.0999999999999999E-2</v>
      </c>
      <c r="Z130" s="228">
        <v>37</v>
      </c>
      <c r="AA130" s="228">
        <v>17</v>
      </c>
      <c r="AB130" s="228">
        <v>20</v>
      </c>
      <c r="AC130" s="229">
        <v>2.8E-3</v>
      </c>
      <c r="AD130" s="228">
        <v>37</v>
      </c>
      <c r="AE130" s="228">
        <v>17</v>
      </c>
      <c r="AF130" s="228">
        <v>20</v>
      </c>
      <c r="AG130" s="229">
        <v>2.8E-3</v>
      </c>
      <c r="AH130" s="228">
        <v>107</v>
      </c>
      <c r="AI130" s="228">
        <v>102</v>
      </c>
      <c r="AJ130" s="228">
        <v>5</v>
      </c>
      <c r="AK130" s="229">
        <v>8.0000000000000002E-3</v>
      </c>
      <c r="AL130" s="228">
        <v>203</v>
      </c>
      <c r="AM130" s="228">
        <v>172</v>
      </c>
      <c r="AN130" s="228">
        <v>31</v>
      </c>
      <c r="AO130" s="229">
        <v>1.5100000000000001E-2</v>
      </c>
      <c r="AP130" s="231">
        <v>13550.79</v>
      </c>
      <c r="AQ130" s="231">
        <v>13613.26</v>
      </c>
      <c r="AR130" s="228">
        <v>0</v>
      </c>
      <c r="AS130" s="228">
        <v>832</v>
      </c>
      <c r="AT130" s="228">
        <v>653</v>
      </c>
      <c r="AU130" s="228">
        <v>179</v>
      </c>
      <c r="AV130" s="229">
        <v>0.27410000000000001</v>
      </c>
      <c r="AW130" s="228">
        <v>703</v>
      </c>
      <c r="AX130" s="228">
        <v>539</v>
      </c>
      <c r="AY130" s="228">
        <v>164</v>
      </c>
      <c r="AZ130" s="229">
        <v>0.3034</v>
      </c>
      <c r="BA130" s="228">
        <v>124</v>
      </c>
      <c r="BB130" s="228">
        <v>42</v>
      </c>
      <c r="BC130" s="228">
        <v>82</v>
      </c>
      <c r="BD130" s="229">
        <v>1.9532</v>
      </c>
      <c r="BE130" s="228">
        <v>6</v>
      </c>
      <c r="BF130" s="228">
        <v>72</v>
      </c>
      <c r="BG130" s="228">
        <v>-66</v>
      </c>
      <c r="BH130" s="229">
        <v>-0.91510000000000002</v>
      </c>
      <c r="BI130" s="230">
        <v>8403</v>
      </c>
      <c r="BJ130" s="230">
        <v>2812</v>
      </c>
      <c r="BK130" s="230">
        <v>5591</v>
      </c>
      <c r="BL130" s="229">
        <v>1.9885999999999999</v>
      </c>
      <c r="BM130" s="230">
        <v>3498</v>
      </c>
      <c r="BN130" s="230">
        <v>1318</v>
      </c>
      <c r="BO130" s="230">
        <v>2181</v>
      </c>
      <c r="BP130" s="229">
        <v>1.6548</v>
      </c>
      <c r="BQ130" s="230">
        <v>12734</v>
      </c>
      <c r="BR130" s="230">
        <v>4783</v>
      </c>
      <c r="BS130" s="230">
        <v>7951</v>
      </c>
      <c r="BT130" s="229">
        <v>1.6624000000000001</v>
      </c>
      <c r="BU130" s="230">
        <v>616185</v>
      </c>
      <c r="BV130" s="230">
        <v>575303</v>
      </c>
      <c r="BW130" s="230">
        <v>40882</v>
      </c>
      <c r="BX130" s="229">
        <v>7.1099999999999997E-2</v>
      </c>
      <c r="BY130" s="230">
        <v>4713</v>
      </c>
      <c r="BZ130" s="230">
        <v>4686</v>
      </c>
      <c r="CA130" s="228">
        <v>27</v>
      </c>
      <c r="CB130" s="229">
        <v>5.7000000000000002E-3</v>
      </c>
      <c r="CC130" s="230">
        <v>3997</v>
      </c>
      <c r="CD130" s="230">
        <v>4017</v>
      </c>
      <c r="CE130" s="228">
        <v>-20</v>
      </c>
      <c r="CF130" s="229">
        <v>-5.0000000000000001E-3</v>
      </c>
      <c r="CG130" s="228">
        <v>591</v>
      </c>
      <c r="CH130" s="228">
        <v>544</v>
      </c>
      <c r="CI130" s="228">
        <v>47</v>
      </c>
      <c r="CJ130" s="229">
        <v>8.6800000000000002E-2</v>
      </c>
      <c r="CK130" s="228">
        <v>125</v>
      </c>
      <c r="CL130" s="228">
        <v>125</v>
      </c>
      <c r="CM130" s="228">
        <v>0</v>
      </c>
      <c r="CN130" s="229">
        <v>-3.8E-3</v>
      </c>
      <c r="CO130" s="230">
        <v>2837</v>
      </c>
      <c r="CP130" s="230">
        <v>2812</v>
      </c>
      <c r="CQ130" s="228">
        <v>25</v>
      </c>
      <c r="CR130" s="229">
        <v>8.9999999999999993E-3</v>
      </c>
      <c r="CS130" s="230">
        <v>1681</v>
      </c>
      <c r="CT130" s="230">
        <v>1580</v>
      </c>
      <c r="CU130" s="228">
        <v>101</v>
      </c>
      <c r="CV130" s="229">
        <v>6.3700000000000007E-2</v>
      </c>
      <c r="CW130" s="230">
        <v>9231</v>
      </c>
      <c r="CX130" s="230">
        <v>9078</v>
      </c>
      <c r="CY130" s="228">
        <v>153</v>
      </c>
      <c r="CZ130" s="229">
        <v>1.6799999999999999E-2</v>
      </c>
      <c r="DA130" s="228">
        <v>30.49</v>
      </c>
      <c r="DB130" s="228">
        <v>31.26</v>
      </c>
      <c r="DC130" s="228">
        <v>-0.77</v>
      </c>
      <c r="DD130" s="228">
        <v>-0.77</v>
      </c>
      <c r="DE130" s="228">
        <v>28.99</v>
      </c>
      <c r="DF130" s="228">
        <v>29.03</v>
      </c>
      <c r="DG130" s="228">
        <v>1.5</v>
      </c>
      <c r="DH130" s="228">
        <v>-0.04</v>
      </c>
      <c r="DI130" s="228">
        <v>29.72</v>
      </c>
      <c r="DJ130" s="228">
        <v>30.18</v>
      </c>
      <c r="DK130" s="228">
        <v>-0.46</v>
      </c>
      <c r="DL130" s="228">
        <v>-0.46</v>
      </c>
      <c r="DM130" s="228">
        <v>32.340000000000003</v>
      </c>
      <c r="DN130" s="228">
        <v>33.57</v>
      </c>
      <c r="DO130" s="228">
        <v>-1.23</v>
      </c>
      <c r="DP130" s="228">
        <v>-1.23</v>
      </c>
      <c r="DQ130" s="228">
        <v>0.59</v>
      </c>
      <c r="DR130" s="228">
        <v>0.56000000000000005</v>
      </c>
      <c r="DS130" s="228">
        <v>0.03</v>
      </c>
      <c r="DT130" s="229">
        <v>5.3600000000000002E-2</v>
      </c>
      <c r="DU130" s="231">
        <v>14000</v>
      </c>
      <c r="DV130" s="231">
        <v>13000</v>
      </c>
      <c r="DW130" s="228">
        <v>0.42</v>
      </c>
      <c r="DX130" s="228">
        <v>0.47</v>
      </c>
      <c r="DY130" s="228">
        <v>-0.05</v>
      </c>
      <c r="DZ130" s="229">
        <v>-0.10639999999999999</v>
      </c>
      <c r="EA130" s="229">
        <v>0.152</v>
      </c>
      <c r="EB130" s="230">
        <v>496350</v>
      </c>
      <c r="EC130" s="229">
        <v>5.1999999999999998E-3</v>
      </c>
      <c r="ED130" s="229">
        <v>0.152</v>
      </c>
      <c r="EE130" s="228">
        <v>62.47</v>
      </c>
      <c r="EF130" s="229">
        <v>4.5999999999999999E-3</v>
      </c>
      <c r="EG130" s="230">
        <v>300764</v>
      </c>
      <c r="EH130" s="230">
        <v>267669</v>
      </c>
      <c r="EI130" s="229">
        <v>0.1236</v>
      </c>
      <c r="EJ130" s="229">
        <v>0.48809999999999998</v>
      </c>
      <c r="EK130" s="231">
        <v>8794.1200000000008</v>
      </c>
      <c r="EL130" s="231">
        <v>3422.67</v>
      </c>
      <c r="EM130" s="228">
        <v>836.8</v>
      </c>
      <c r="EN130" s="228">
        <v>137.85</v>
      </c>
      <c r="EO130" s="231">
        <v>13053.59</v>
      </c>
      <c r="EP130" s="231">
        <v>4839.91</v>
      </c>
      <c r="EQ130" s="231">
        <v>8213.67</v>
      </c>
      <c r="ER130" s="229">
        <v>1.6971000000000001</v>
      </c>
      <c r="ES130" s="231">
        <v>2920.54</v>
      </c>
      <c r="ET130" s="231">
        <v>1579.67</v>
      </c>
      <c r="EU130" s="231">
        <v>4717.54</v>
      </c>
      <c r="EV130" s="231">
        <v>19673414</v>
      </c>
      <c r="EW130" s="231">
        <v>9217.75</v>
      </c>
      <c r="EX130" s="231">
        <v>9015.16</v>
      </c>
      <c r="EY130" s="228">
        <v>202.59</v>
      </c>
      <c r="EZ130" s="229">
        <v>2.2499999999999999E-2</v>
      </c>
      <c r="FA130" s="229">
        <v>0.3478</v>
      </c>
      <c r="FB130" s="227" t="s">
        <v>555</v>
      </c>
      <c r="FC130">
        <f t="shared" si="1"/>
        <v>716</v>
      </c>
    </row>
    <row r="131" spans="1:159" ht="17.25" thickBot="1" x14ac:dyDescent="0.3">
      <c r="A131" s="226">
        <v>46129</v>
      </c>
      <c r="B131" s="227" t="s">
        <v>170</v>
      </c>
      <c r="C131" s="227" t="s">
        <v>602</v>
      </c>
      <c r="D131" s="228">
        <v>525</v>
      </c>
      <c r="E131" s="228">
        <v>11</v>
      </c>
      <c r="F131" s="231">
        <v>1007.45</v>
      </c>
      <c r="G131" s="228">
        <v>991</v>
      </c>
      <c r="H131" s="228">
        <v>16.45</v>
      </c>
      <c r="I131" s="229">
        <v>1.66E-2</v>
      </c>
      <c r="J131" s="231">
        <v>1007.65</v>
      </c>
      <c r="K131" s="228">
        <v>990.65</v>
      </c>
      <c r="L131" s="228">
        <v>17</v>
      </c>
      <c r="M131" s="229">
        <v>1.72E-2</v>
      </c>
      <c r="N131" s="231">
        <v>1007.45</v>
      </c>
      <c r="O131" s="228">
        <v>991</v>
      </c>
      <c r="P131" s="228">
        <v>16.45</v>
      </c>
      <c r="Q131" s="229">
        <v>1.66E-2</v>
      </c>
      <c r="R131" s="231">
        <v>1013.05</v>
      </c>
      <c r="S131" s="228">
        <v>996.65</v>
      </c>
      <c r="T131" s="228">
        <v>16.399999999999999</v>
      </c>
      <c r="U131" s="229">
        <v>1.6500000000000001E-2</v>
      </c>
      <c r="V131" s="231">
        <v>1020.65</v>
      </c>
      <c r="W131" s="231">
        <v>1001.45</v>
      </c>
      <c r="X131" s="228">
        <v>19.2</v>
      </c>
      <c r="Y131" s="229">
        <v>1.9199999999999998E-2</v>
      </c>
      <c r="Z131" s="228">
        <v>-0.2</v>
      </c>
      <c r="AA131" s="228">
        <v>0.35</v>
      </c>
      <c r="AB131" s="228">
        <v>-0.55000000000000004</v>
      </c>
      <c r="AC131" s="229">
        <v>-2.0000000000000001E-4</v>
      </c>
      <c r="AD131" s="228">
        <v>-0.2</v>
      </c>
      <c r="AE131" s="228">
        <v>0.35</v>
      </c>
      <c r="AF131" s="228">
        <v>-0.55000000000000004</v>
      </c>
      <c r="AG131" s="229">
        <v>-2.0000000000000001E-4</v>
      </c>
      <c r="AH131" s="228">
        <v>5.4</v>
      </c>
      <c r="AI131" s="228">
        <v>6</v>
      </c>
      <c r="AJ131" s="228">
        <v>-0.6</v>
      </c>
      <c r="AK131" s="229">
        <v>5.4000000000000003E-3</v>
      </c>
      <c r="AL131" s="228">
        <v>13</v>
      </c>
      <c r="AM131" s="228">
        <v>10.8</v>
      </c>
      <c r="AN131" s="228">
        <v>2.2000000000000002</v>
      </c>
      <c r="AO131" s="229">
        <v>1.29E-2</v>
      </c>
      <c r="AP131" s="231">
        <v>1002.76</v>
      </c>
      <c r="AQ131" s="231">
        <v>1007.2</v>
      </c>
      <c r="AR131" s="228">
        <v>0</v>
      </c>
      <c r="AS131" s="228">
        <v>157</v>
      </c>
      <c r="AT131" s="228">
        <v>323</v>
      </c>
      <c r="AU131" s="228">
        <v>-166</v>
      </c>
      <c r="AV131" s="229">
        <v>-0.51470000000000005</v>
      </c>
      <c r="AW131" s="228">
        <v>141</v>
      </c>
      <c r="AX131" s="228">
        <v>305</v>
      </c>
      <c r="AY131" s="228">
        <v>-165</v>
      </c>
      <c r="AZ131" s="229">
        <v>-0.53959999999999997</v>
      </c>
      <c r="BA131" s="228">
        <v>15</v>
      </c>
      <c r="BB131" s="228">
        <v>15</v>
      </c>
      <c r="BC131" s="228">
        <v>0</v>
      </c>
      <c r="BD131" s="229">
        <v>-1.37E-2</v>
      </c>
      <c r="BE131" s="228">
        <v>1</v>
      </c>
      <c r="BF131" s="228">
        <v>2</v>
      </c>
      <c r="BG131" s="228">
        <v>-1</v>
      </c>
      <c r="BH131" s="229">
        <v>-0.56759999999999999</v>
      </c>
      <c r="BI131" s="228">
        <v>715</v>
      </c>
      <c r="BJ131" s="230">
        <v>1009</v>
      </c>
      <c r="BK131" s="228">
        <v>-294</v>
      </c>
      <c r="BL131" s="229">
        <v>-0.29170000000000001</v>
      </c>
      <c r="BM131" s="228">
        <v>247</v>
      </c>
      <c r="BN131" s="228">
        <v>390</v>
      </c>
      <c r="BO131" s="228">
        <v>-143</v>
      </c>
      <c r="BP131" s="229">
        <v>-0.3659</v>
      </c>
      <c r="BQ131" s="230">
        <v>1119</v>
      </c>
      <c r="BR131" s="230">
        <v>1722</v>
      </c>
      <c r="BS131" s="228">
        <v>-603</v>
      </c>
      <c r="BT131" s="229">
        <v>-0.3503</v>
      </c>
      <c r="BU131" s="230">
        <v>1713809</v>
      </c>
      <c r="BV131" s="230">
        <v>3508037</v>
      </c>
      <c r="BW131" s="230">
        <v>-1794228</v>
      </c>
      <c r="BX131" s="229">
        <v>-0.51149999999999995</v>
      </c>
      <c r="BY131" s="230">
        <v>1465</v>
      </c>
      <c r="BZ131" s="230">
        <v>1505</v>
      </c>
      <c r="CA131" s="228">
        <v>-40</v>
      </c>
      <c r="CB131" s="229">
        <v>-2.6800000000000001E-2</v>
      </c>
      <c r="CC131" s="230">
        <v>1383</v>
      </c>
      <c r="CD131" s="230">
        <v>1425</v>
      </c>
      <c r="CE131" s="228">
        <v>-41</v>
      </c>
      <c r="CF131" s="229">
        <v>-2.9000000000000001E-2</v>
      </c>
      <c r="CG131" s="228">
        <v>71</v>
      </c>
      <c r="CH131" s="228">
        <v>70</v>
      </c>
      <c r="CI131" s="228">
        <v>1</v>
      </c>
      <c r="CJ131" s="229">
        <v>1.21E-2</v>
      </c>
      <c r="CK131" s="228">
        <v>11</v>
      </c>
      <c r="CL131" s="228">
        <v>11</v>
      </c>
      <c r="CM131" s="228">
        <v>0</v>
      </c>
      <c r="CN131" s="229">
        <v>5.0000000000000001E-3</v>
      </c>
      <c r="CO131" s="228">
        <v>441</v>
      </c>
      <c r="CP131" s="228">
        <v>359</v>
      </c>
      <c r="CQ131" s="228">
        <v>82</v>
      </c>
      <c r="CR131" s="229">
        <v>0.2291</v>
      </c>
      <c r="CS131" s="228">
        <v>246</v>
      </c>
      <c r="CT131" s="228">
        <v>234</v>
      </c>
      <c r="CU131" s="228">
        <v>12</v>
      </c>
      <c r="CV131" s="229">
        <v>4.99E-2</v>
      </c>
      <c r="CW131" s="230">
        <v>2152</v>
      </c>
      <c r="CX131" s="230">
        <v>2099</v>
      </c>
      <c r="CY131" s="228">
        <v>54</v>
      </c>
      <c r="CZ131" s="229">
        <v>2.5499999999999998E-2</v>
      </c>
      <c r="DA131" s="228">
        <v>28.11</v>
      </c>
      <c r="DB131" s="228">
        <v>29.17</v>
      </c>
      <c r="DC131" s="228">
        <v>-1.06</v>
      </c>
      <c r="DD131" s="228">
        <v>-1.06</v>
      </c>
      <c r="DE131" s="228">
        <v>36.299999999999997</v>
      </c>
      <c r="DF131" s="228">
        <v>36.32</v>
      </c>
      <c r="DG131" s="228">
        <v>-8.19</v>
      </c>
      <c r="DH131" s="228">
        <v>-0.02</v>
      </c>
      <c r="DI131" s="228">
        <v>27.4</v>
      </c>
      <c r="DJ131" s="228">
        <v>28.67</v>
      </c>
      <c r="DK131" s="228">
        <v>-1.27</v>
      </c>
      <c r="DL131" s="228">
        <v>-1.27</v>
      </c>
      <c r="DM131" s="228">
        <v>30.16</v>
      </c>
      <c r="DN131" s="228">
        <v>30.48</v>
      </c>
      <c r="DO131" s="228">
        <v>-0.32</v>
      </c>
      <c r="DP131" s="228">
        <v>-0.32</v>
      </c>
      <c r="DQ131" s="228">
        <v>0.56000000000000005</v>
      </c>
      <c r="DR131" s="228">
        <v>0.65</v>
      </c>
      <c r="DS131" s="228">
        <v>-0.09</v>
      </c>
      <c r="DT131" s="229">
        <v>-0.13850000000000001</v>
      </c>
      <c r="DU131" s="231">
        <v>1020</v>
      </c>
      <c r="DV131" s="228">
        <v>960</v>
      </c>
      <c r="DW131" s="228">
        <v>0.35</v>
      </c>
      <c r="DX131" s="228">
        <v>0.39</v>
      </c>
      <c r="DY131" s="228">
        <v>-0.04</v>
      </c>
      <c r="DZ131" s="229">
        <v>-0.1026</v>
      </c>
      <c r="EA131" s="229">
        <v>5.57E-2</v>
      </c>
      <c r="EB131" s="230">
        <v>801675</v>
      </c>
      <c r="EC131" s="229">
        <v>5.5999999999999999E-3</v>
      </c>
      <c r="ED131" s="229">
        <v>5.57E-2</v>
      </c>
      <c r="EE131" s="228">
        <v>4.4400000000000004</v>
      </c>
      <c r="EF131" s="229">
        <v>4.4000000000000003E-3</v>
      </c>
      <c r="EG131" s="230">
        <v>992451</v>
      </c>
      <c r="EH131" s="230">
        <v>2183788</v>
      </c>
      <c r="EI131" s="229">
        <v>-0.54549999999999998</v>
      </c>
      <c r="EJ131" s="229">
        <v>0.57909999999999995</v>
      </c>
      <c r="EK131" s="228">
        <v>733.43</v>
      </c>
      <c r="EL131" s="228">
        <v>242.43</v>
      </c>
      <c r="EM131" s="228">
        <v>156.06</v>
      </c>
      <c r="EN131" s="228">
        <v>55.87</v>
      </c>
      <c r="EO131" s="231">
        <v>1131.92</v>
      </c>
      <c r="EP131" s="231">
        <v>1740.29</v>
      </c>
      <c r="EQ131" s="228">
        <v>-608.37</v>
      </c>
      <c r="ER131" s="229">
        <v>-0.34960000000000002</v>
      </c>
      <c r="ES131" s="228">
        <v>445.52</v>
      </c>
      <c r="ET131" s="228">
        <v>234.64</v>
      </c>
      <c r="EU131" s="231">
        <v>1465.57</v>
      </c>
      <c r="EV131" s="231">
        <v>111298748</v>
      </c>
      <c r="EW131" s="231">
        <v>2145.73</v>
      </c>
      <c r="EX131" s="231">
        <v>2065.7800000000002</v>
      </c>
      <c r="EY131" s="228">
        <v>79.95</v>
      </c>
      <c r="EZ131" s="229">
        <v>3.8699999999999998E-2</v>
      </c>
      <c r="FA131" s="229">
        <v>0.19189999999999999</v>
      </c>
      <c r="FB131" s="227" t="s">
        <v>693</v>
      </c>
      <c r="FC131">
        <f t="shared" ref="FC131:FC147" si="2">BY131-CC131</f>
        <v>82</v>
      </c>
    </row>
    <row r="132" spans="1:159" ht="17.25" thickBot="1" x14ac:dyDescent="0.3">
      <c r="A132" s="226">
        <v>46129</v>
      </c>
      <c r="B132" s="227" t="s">
        <v>215</v>
      </c>
      <c r="C132" s="227" t="s">
        <v>671</v>
      </c>
      <c r="D132" s="228">
        <v>200</v>
      </c>
      <c r="E132" s="228">
        <v>11</v>
      </c>
      <c r="F132" s="231">
        <v>2624.7</v>
      </c>
      <c r="G132" s="231">
        <v>2572.6</v>
      </c>
      <c r="H132" s="228">
        <v>52.1</v>
      </c>
      <c r="I132" s="229">
        <v>2.0299999999999999E-2</v>
      </c>
      <c r="J132" s="231">
        <v>2616.4</v>
      </c>
      <c r="K132" s="231">
        <v>2564.6</v>
      </c>
      <c r="L132" s="228">
        <v>51.8</v>
      </c>
      <c r="M132" s="229">
        <v>2.0199999999999999E-2</v>
      </c>
      <c r="N132" s="231">
        <v>2624.7</v>
      </c>
      <c r="O132" s="231">
        <v>2572.6</v>
      </c>
      <c r="P132" s="228">
        <v>52.1</v>
      </c>
      <c r="Q132" s="229">
        <v>2.0299999999999999E-2</v>
      </c>
      <c r="R132" s="231">
        <v>2635.9</v>
      </c>
      <c r="S132" s="231">
        <v>2583.6</v>
      </c>
      <c r="T132" s="228">
        <v>52.3</v>
      </c>
      <c r="U132" s="229">
        <v>2.0199999999999999E-2</v>
      </c>
      <c r="V132" s="231">
        <v>2651.1</v>
      </c>
      <c r="W132" s="231">
        <v>2600.1</v>
      </c>
      <c r="X132" s="228">
        <v>51</v>
      </c>
      <c r="Y132" s="229">
        <v>1.9599999999999999E-2</v>
      </c>
      <c r="Z132" s="228">
        <v>8.3000000000000007</v>
      </c>
      <c r="AA132" s="228">
        <v>8</v>
      </c>
      <c r="AB132" s="228">
        <v>0.3</v>
      </c>
      <c r="AC132" s="229">
        <v>3.2000000000000002E-3</v>
      </c>
      <c r="AD132" s="228">
        <v>8.3000000000000007</v>
      </c>
      <c r="AE132" s="228">
        <v>8</v>
      </c>
      <c r="AF132" s="228">
        <v>0.3</v>
      </c>
      <c r="AG132" s="229">
        <v>3.2000000000000002E-3</v>
      </c>
      <c r="AH132" s="228">
        <v>19.5</v>
      </c>
      <c r="AI132" s="228">
        <v>19</v>
      </c>
      <c r="AJ132" s="228">
        <v>0.5</v>
      </c>
      <c r="AK132" s="229">
        <v>7.4999999999999997E-3</v>
      </c>
      <c r="AL132" s="228">
        <v>34.700000000000003</v>
      </c>
      <c r="AM132" s="228">
        <v>35.5</v>
      </c>
      <c r="AN132" s="228">
        <v>-0.8</v>
      </c>
      <c r="AO132" s="229">
        <v>1.3299999999999999E-2</v>
      </c>
      <c r="AP132" s="231">
        <v>2610.25</v>
      </c>
      <c r="AQ132" s="231">
        <v>2617.65</v>
      </c>
      <c r="AR132" s="228">
        <v>0</v>
      </c>
      <c r="AS132" s="228">
        <v>470</v>
      </c>
      <c r="AT132" s="228">
        <v>338</v>
      </c>
      <c r="AU132" s="228">
        <v>132</v>
      </c>
      <c r="AV132" s="229">
        <v>0.39219999999999999</v>
      </c>
      <c r="AW132" s="228">
        <v>372</v>
      </c>
      <c r="AX132" s="228">
        <v>282</v>
      </c>
      <c r="AY132" s="228">
        <v>90</v>
      </c>
      <c r="AZ132" s="229">
        <v>0.31819999999999998</v>
      </c>
      <c r="BA132" s="228">
        <v>86</v>
      </c>
      <c r="BB132" s="228">
        <v>50</v>
      </c>
      <c r="BC132" s="228">
        <v>37</v>
      </c>
      <c r="BD132" s="229">
        <v>0.74229999999999996</v>
      </c>
      <c r="BE132" s="228">
        <v>12</v>
      </c>
      <c r="BF132" s="228">
        <v>6</v>
      </c>
      <c r="BG132" s="228">
        <v>6</v>
      </c>
      <c r="BH132" s="229">
        <v>0.93500000000000005</v>
      </c>
      <c r="BI132" s="230">
        <v>3208</v>
      </c>
      <c r="BJ132" s="230">
        <v>1371</v>
      </c>
      <c r="BK132" s="230">
        <v>1838</v>
      </c>
      <c r="BL132" s="229">
        <v>1.3407</v>
      </c>
      <c r="BM132" s="230">
        <v>1011</v>
      </c>
      <c r="BN132" s="228">
        <v>650</v>
      </c>
      <c r="BO132" s="228">
        <v>361</v>
      </c>
      <c r="BP132" s="229">
        <v>0.55559999999999998</v>
      </c>
      <c r="BQ132" s="230">
        <v>4690</v>
      </c>
      <c r="BR132" s="230">
        <v>2358</v>
      </c>
      <c r="BS132" s="230">
        <v>2331</v>
      </c>
      <c r="BT132" s="229">
        <v>0.98839999999999995</v>
      </c>
      <c r="BU132" s="230">
        <v>2685570</v>
      </c>
      <c r="BV132" s="230">
        <v>2077688</v>
      </c>
      <c r="BW132" s="230">
        <v>607882</v>
      </c>
      <c r="BX132" s="229">
        <v>0.29260000000000003</v>
      </c>
      <c r="BY132" s="230">
        <v>1268</v>
      </c>
      <c r="BZ132" s="230">
        <v>1246</v>
      </c>
      <c r="CA132" s="228">
        <v>22</v>
      </c>
      <c r="CB132" s="229">
        <v>1.7399999999999999E-2</v>
      </c>
      <c r="CC132" s="230">
        <v>1156</v>
      </c>
      <c r="CD132" s="230">
        <v>1165</v>
      </c>
      <c r="CE132" s="228">
        <v>-9</v>
      </c>
      <c r="CF132" s="229">
        <v>-7.7000000000000002E-3</v>
      </c>
      <c r="CG132" s="228">
        <v>99</v>
      </c>
      <c r="CH132" s="228">
        <v>71</v>
      </c>
      <c r="CI132" s="228">
        <v>28</v>
      </c>
      <c r="CJ132" s="229">
        <v>0.38819999999999999</v>
      </c>
      <c r="CK132" s="228">
        <v>13</v>
      </c>
      <c r="CL132" s="228">
        <v>10</v>
      </c>
      <c r="CM132" s="228">
        <v>3</v>
      </c>
      <c r="CN132" s="229">
        <v>0.30049999999999999</v>
      </c>
      <c r="CO132" s="228">
        <v>936</v>
      </c>
      <c r="CP132" s="228">
        <v>791</v>
      </c>
      <c r="CQ132" s="228">
        <v>145</v>
      </c>
      <c r="CR132" s="229">
        <v>0.1837</v>
      </c>
      <c r="CS132" s="228">
        <v>686</v>
      </c>
      <c r="CT132" s="228">
        <v>620</v>
      </c>
      <c r="CU132" s="228">
        <v>66</v>
      </c>
      <c r="CV132" s="229">
        <v>0.1062</v>
      </c>
      <c r="CW132" s="230">
        <v>2890</v>
      </c>
      <c r="CX132" s="230">
        <v>2657</v>
      </c>
      <c r="CY132" s="228">
        <v>233</v>
      </c>
      <c r="CZ132" s="229">
        <v>8.7599999999999997E-2</v>
      </c>
      <c r="DA132" s="228">
        <v>42.23</v>
      </c>
      <c r="DB132" s="228">
        <v>41.42</v>
      </c>
      <c r="DC132" s="228">
        <v>0.81</v>
      </c>
      <c r="DD132" s="228">
        <v>0.81</v>
      </c>
      <c r="DE132" s="228">
        <v>56.18</v>
      </c>
      <c r="DF132" s="228">
        <v>56.26</v>
      </c>
      <c r="DG132" s="228">
        <v>-13.95</v>
      </c>
      <c r="DH132" s="228">
        <v>-0.08</v>
      </c>
      <c r="DI132" s="228">
        <v>40.96</v>
      </c>
      <c r="DJ132" s="228">
        <v>39.68</v>
      </c>
      <c r="DK132" s="228">
        <v>1.28</v>
      </c>
      <c r="DL132" s="228">
        <v>1.28</v>
      </c>
      <c r="DM132" s="228">
        <v>46.25</v>
      </c>
      <c r="DN132" s="228">
        <v>45.08</v>
      </c>
      <c r="DO132" s="228">
        <v>1.17</v>
      </c>
      <c r="DP132" s="228">
        <v>1.17</v>
      </c>
      <c r="DQ132" s="228">
        <v>0.73</v>
      </c>
      <c r="DR132" s="228">
        <v>0.78</v>
      </c>
      <c r="DS132" s="228">
        <v>-0.05</v>
      </c>
      <c r="DT132" s="229">
        <v>-6.4100000000000004E-2</v>
      </c>
      <c r="DU132" s="231">
        <v>2640</v>
      </c>
      <c r="DV132" s="231">
        <v>2200</v>
      </c>
      <c r="DW132" s="228">
        <v>0.32</v>
      </c>
      <c r="DX132" s="228">
        <v>0.47</v>
      </c>
      <c r="DY132" s="228">
        <v>-0.15</v>
      </c>
      <c r="DZ132" s="229">
        <v>-0.31909999999999999</v>
      </c>
      <c r="EA132" s="229">
        <v>8.8300000000000003E-2</v>
      </c>
      <c r="EB132" s="230">
        <v>309600</v>
      </c>
      <c r="EC132" s="229">
        <v>4.3E-3</v>
      </c>
      <c r="ED132" s="229">
        <v>8.8300000000000003E-2</v>
      </c>
      <c r="EE132" s="228">
        <v>7.4</v>
      </c>
      <c r="EF132" s="229">
        <v>2.8E-3</v>
      </c>
      <c r="EG132" s="230">
        <v>637046</v>
      </c>
      <c r="EH132" s="230">
        <v>495552</v>
      </c>
      <c r="EI132" s="229">
        <v>0.28549999999999998</v>
      </c>
      <c r="EJ132" s="229">
        <v>0.23719999999999999</v>
      </c>
      <c r="EK132" s="231">
        <v>3322.32</v>
      </c>
      <c r="EL132" s="228">
        <v>953.59</v>
      </c>
      <c r="EM132" s="228">
        <v>468.09</v>
      </c>
      <c r="EN132" s="228">
        <v>57.47</v>
      </c>
      <c r="EO132" s="231">
        <v>4744.01</v>
      </c>
      <c r="EP132" s="231">
        <v>2329.77</v>
      </c>
      <c r="EQ132" s="231">
        <v>2414.2399999999998</v>
      </c>
      <c r="ER132" s="229">
        <v>1.0363</v>
      </c>
      <c r="ES132" s="228">
        <v>906.06</v>
      </c>
      <c r="ET132" s="228">
        <v>600.36</v>
      </c>
      <c r="EU132" s="231">
        <v>1268.49</v>
      </c>
      <c r="EV132" s="231">
        <v>11364224</v>
      </c>
      <c r="EW132" s="231">
        <v>2774.92</v>
      </c>
      <c r="EX132" s="231">
        <v>2516.0100000000002</v>
      </c>
      <c r="EY132" s="228">
        <v>258.91000000000003</v>
      </c>
      <c r="EZ132" s="229">
        <v>0.10290000000000001</v>
      </c>
      <c r="FA132" s="229">
        <v>0.96889999999999998</v>
      </c>
      <c r="FB132" s="227" t="s">
        <v>555</v>
      </c>
      <c r="FC132">
        <f t="shared" si="2"/>
        <v>112</v>
      </c>
    </row>
    <row r="133" spans="1:159" ht="17.25" thickBot="1" x14ac:dyDescent="0.3">
      <c r="A133" s="226">
        <v>46129</v>
      </c>
      <c r="B133" s="227" t="s">
        <v>175</v>
      </c>
      <c r="C133" s="227" t="s">
        <v>517</v>
      </c>
      <c r="D133" s="228">
        <v>625</v>
      </c>
      <c r="E133" s="228">
        <v>11</v>
      </c>
      <c r="F133" s="231">
        <v>2861.9</v>
      </c>
      <c r="G133" s="231">
        <v>2872.7</v>
      </c>
      <c r="H133" s="228">
        <v>-10.8</v>
      </c>
      <c r="I133" s="229">
        <v>-3.8E-3</v>
      </c>
      <c r="J133" s="231">
        <v>2856.1</v>
      </c>
      <c r="K133" s="231">
        <v>2862.2</v>
      </c>
      <c r="L133" s="228">
        <v>-6.1</v>
      </c>
      <c r="M133" s="229">
        <v>-2.0999999999999999E-3</v>
      </c>
      <c r="N133" s="231">
        <v>2861.9</v>
      </c>
      <c r="O133" s="231">
        <v>2872.7</v>
      </c>
      <c r="P133" s="228">
        <v>-10.8</v>
      </c>
      <c r="Q133" s="229">
        <v>-3.8E-3</v>
      </c>
      <c r="R133" s="231">
        <v>2875.2</v>
      </c>
      <c r="S133" s="231">
        <v>2885.2</v>
      </c>
      <c r="T133" s="228">
        <v>-10</v>
      </c>
      <c r="U133" s="229">
        <v>-3.5000000000000001E-3</v>
      </c>
      <c r="V133" s="231">
        <v>2889.5</v>
      </c>
      <c r="W133" s="231">
        <v>2899.1</v>
      </c>
      <c r="X133" s="228">
        <v>-9.6</v>
      </c>
      <c r="Y133" s="229">
        <v>-3.3E-3</v>
      </c>
      <c r="Z133" s="228">
        <v>5.8</v>
      </c>
      <c r="AA133" s="228">
        <v>10.5</v>
      </c>
      <c r="AB133" s="228">
        <v>-4.7</v>
      </c>
      <c r="AC133" s="229">
        <v>2E-3</v>
      </c>
      <c r="AD133" s="228">
        <v>5.8</v>
      </c>
      <c r="AE133" s="228">
        <v>10.5</v>
      </c>
      <c r="AF133" s="228">
        <v>-4.7</v>
      </c>
      <c r="AG133" s="229">
        <v>2E-3</v>
      </c>
      <c r="AH133" s="228">
        <v>19.100000000000001</v>
      </c>
      <c r="AI133" s="228">
        <v>23</v>
      </c>
      <c r="AJ133" s="228">
        <v>-3.9</v>
      </c>
      <c r="AK133" s="229">
        <v>6.7000000000000002E-3</v>
      </c>
      <c r="AL133" s="228">
        <v>33.4</v>
      </c>
      <c r="AM133" s="228">
        <v>36.9</v>
      </c>
      <c r="AN133" s="228">
        <v>-3.5</v>
      </c>
      <c r="AO133" s="229">
        <v>1.17E-2</v>
      </c>
      <c r="AP133" s="231">
        <v>2831.94</v>
      </c>
      <c r="AQ133" s="231">
        <v>2849.8</v>
      </c>
      <c r="AR133" s="228">
        <v>0</v>
      </c>
      <c r="AS133" s="230">
        <v>1343</v>
      </c>
      <c r="AT133" s="228">
        <v>864</v>
      </c>
      <c r="AU133" s="228">
        <v>479</v>
      </c>
      <c r="AV133" s="229">
        <v>0.55500000000000005</v>
      </c>
      <c r="AW133" s="230">
        <v>1155</v>
      </c>
      <c r="AX133" s="228">
        <v>754</v>
      </c>
      <c r="AY133" s="228">
        <v>401</v>
      </c>
      <c r="AZ133" s="229">
        <v>0.53149999999999997</v>
      </c>
      <c r="BA133" s="228">
        <v>165</v>
      </c>
      <c r="BB133" s="228">
        <v>81</v>
      </c>
      <c r="BC133" s="228">
        <v>84</v>
      </c>
      <c r="BD133" s="229">
        <v>1.0351999999999999</v>
      </c>
      <c r="BE133" s="228">
        <v>22</v>
      </c>
      <c r="BF133" s="228">
        <v>28</v>
      </c>
      <c r="BG133" s="228">
        <v>-6</v>
      </c>
      <c r="BH133" s="229">
        <v>-0.20380000000000001</v>
      </c>
      <c r="BI133" s="230">
        <v>6432</v>
      </c>
      <c r="BJ133" s="230">
        <v>4309</v>
      </c>
      <c r="BK133" s="230">
        <v>2122</v>
      </c>
      <c r="BL133" s="229">
        <v>0.49249999999999999</v>
      </c>
      <c r="BM133" s="230">
        <v>4718</v>
      </c>
      <c r="BN133" s="230">
        <v>2443</v>
      </c>
      <c r="BO133" s="230">
        <v>2275</v>
      </c>
      <c r="BP133" s="229">
        <v>0.93120000000000003</v>
      </c>
      <c r="BQ133" s="230">
        <v>12493</v>
      </c>
      <c r="BR133" s="230">
        <v>7616</v>
      </c>
      <c r="BS133" s="230">
        <v>4877</v>
      </c>
      <c r="BT133" s="229">
        <v>0.64029999999999998</v>
      </c>
      <c r="BU133" s="230">
        <v>4141751</v>
      </c>
      <c r="BV133" s="230">
        <v>3611842</v>
      </c>
      <c r="BW133" s="230">
        <v>529909</v>
      </c>
      <c r="BX133" s="229">
        <v>0.1467</v>
      </c>
      <c r="BY133" s="230">
        <v>3755</v>
      </c>
      <c r="BZ133" s="230">
        <v>3802</v>
      </c>
      <c r="CA133" s="228">
        <v>-47</v>
      </c>
      <c r="CB133" s="229">
        <v>-1.24E-2</v>
      </c>
      <c r="CC133" s="230">
        <v>3588</v>
      </c>
      <c r="CD133" s="230">
        <v>3657</v>
      </c>
      <c r="CE133" s="228">
        <v>-69</v>
      </c>
      <c r="CF133" s="229">
        <v>-1.9E-2</v>
      </c>
      <c r="CG133" s="228">
        <v>126</v>
      </c>
      <c r="CH133" s="228">
        <v>110</v>
      </c>
      <c r="CI133" s="228">
        <v>16</v>
      </c>
      <c r="CJ133" s="229">
        <v>0.14799999999999999</v>
      </c>
      <c r="CK133" s="228">
        <v>41</v>
      </c>
      <c r="CL133" s="228">
        <v>35</v>
      </c>
      <c r="CM133" s="228">
        <v>6</v>
      </c>
      <c r="CN133" s="229">
        <v>0.16839999999999999</v>
      </c>
      <c r="CO133" s="230">
        <v>2508</v>
      </c>
      <c r="CP133" s="230">
        <v>2381</v>
      </c>
      <c r="CQ133" s="228">
        <v>127</v>
      </c>
      <c r="CR133" s="229">
        <v>5.33E-2</v>
      </c>
      <c r="CS133" s="230">
        <v>2281</v>
      </c>
      <c r="CT133" s="230">
        <v>2254</v>
      </c>
      <c r="CU133" s="228">
        <v>27</v>
      </c>
      <c r="CV133" s="229">
        <v>1.2E-2</v>
      </c>
      <c r="CW133" s="230">
        <v>8544</v>
      </c>
      <c r="CX133" s="230">
        <v>8437</v>
      </c>
      <c r="CY133" s="228">
        <v>107</v>
      </c>
      <c r="CZ133" s="229">
        <v>1.2699999999999999E-2</v>
      </c>
      <c r="DA133" s="228">
        <v>43.16</v>
      </c>
      <c r="DB133" s="228">
        <v>44.52</v>
      </c>
      <c r="DC133" s="228">
        <v>-1.36</v>
      </c>
      <c r="DD133" s="228">
        <v>-1.36</v>
      </c>
      <c r="DE133" s="228">
        <v>50.01</v>
      </c>
      <c r="DF133" s="228">
        <v>50.14</v>
      </c>
      <c r="DG133" s="228">
        <v>-6.85</v>
      </c>
      <c r="DH133" s="228">
        <v>-0.13</v>
      </c>
      <c r="DI133" s="228">
        <v>40.950000000000003</v>
      </c>
      <c r="DJ133" s="228">
        <v>42.59</v>
      </c>
      <c r="DK133" s="228">
        <v>-1.64</v>
      </c>
      <c r="DL133" s="228">
        <v>-1.64</v>
      </c>
      <c r="DM133" s="228">
        <v>46.16</v>
      </c>
      <c r="DN133" s="228">
        <v>47.92</v>
      </c>
      <c r="DO133" s="228">
        <v>-1.76</v>
      </c>
      <c r="DP133" s="228">
        <v>-1.76</v>
      </c>
      <c r="DQ133" s="228">
        <v>0.91</v>
      </c>
      <c r="DR133" s="228">
        <v>0.95</v>
      </c>
      <c r="DS133" s="228">
        <v>-0.04</v>
      </c>
      <c r="DT133" s="229">
        <v>-4.2099999999999999E-2</v>
      </c>
      <c r="DU133" s="231">
        <v>3000</v>
      </c>
      <c r="DV133" s="231">
        <v>2500</v>
      </c>
      <c r="DW133" s="228">
        <v>0.73</v>
      </c>
      <c r="DX133" s="228">
        <v>0.56999999999999995</v>
      </c>
      <c r="DY133" s="228">
        <v>0.16</v>
      </c>
      <c r="DZ133" s="229">
        <v>0.28070000000000001</v>
      </c>
      <c r="EA133" s="229">
        <v>4.4499999999999998E-2</v>
      </c>
      <c r="EB133" s="230">
        <v>506875</v>
      </c>
      <c r="EC133" s="229">
        <v>4.5999999999999999E-3</v>
      </c>
      <c r="ED133" s="229">
        <v>4.4499999999999998E-2</v>
      </c>
      <c r="EE133" s="228">
        <v>17.86</v>
      </c>
      <c r="EF133" s="229">
        <v>6.3E-3</v>
      </c>
      <c r="EG133" s="230">
        <v>1647018</v>
      </c>
      <c r="EH133" s="230">
        <v>1763239</v>
      </c>
      <c r="EI133" s="229">
        <v>-6.59E-2</v>
      </c>
      <c r="EJ133" s="229">
        <v>0.3977</v>
      </c>
      <c r="EK133" s="231">
        <v>6724.12</v>
      </c>
      <c r="EL133" s="231">
        <v>4506.82</v>
      </c>
      <c r="EM133" s="231">
        <v>1330.31</v>
      </c>
      <c r="EN133" s="228">
        <v>68.459999999999994</v>
      </c>
      <c r="EO133" s="231">
        <v>12561.26</v>
      </c>
      <c r="EP133" s="231">
        <v>7783.56</v>
      </c>
      <c r="EQ133" s="231">
        <v>4777.7</v>
      </c>
      <c r="ER133" s="229">
        <v>0.61380000000000001</v>
      </c>
      <c r="ES133" s="231">
        <v>2463.63</v>
      </c>
      <c r="ET133" s="231">
        <v>2002.35</v>
      </c>
      <c r="EU133" s="231">
        <v>3755.97</v>
      </c>
      <c r="EV133" s="231">
        <v>38177113</v>
      </c>
      <c r="EW133" s="231">
        <v>8221.9599999999991</v>
      </c>
      <c r="EX133" s="231">
        <v>8109.71</v>
      </c>
      <c r="EY133" s="228">
        <v>112.25</v>
      </c>
      <c r="EZ133" s="229">
        <v>1.38E-2</v>
      </c>
      <c r="FA133" s="229">
        <v>0.78200000000000003</v>
      </c>
      <c r="FB133" s="227" t="s">
        <v>567</v>
      </c>
      <c r="FC133">
        <f t="shared" si="2"/>
        <v>167</v>
      </c>
    </row>
    <row r="134" spans="1:159" ht="17.25" thickBot="1" x14ac:dyDescent="0.3">
      <c r="A134" s="226">
        <v>46129</v>
      </c>
      <c r="B134" s="227" t="s">
        <v>175</v>
      </c>
      <c r="C134" s="227" t="s">
        <v>257</v>
      </c>
      <c r="D134" s="228">
        <v>400</v>
      </c>
      <c r="E134" s="228">
        <v>11</v>
      </c>
      <c r="F134" s="231">
        <v>1681.8</v>
      </c>
      <c r="G134" s="231">
        <v>1694.6</v>
      </c>
      <c r="H134" s="228">
        <v>-12.8</v>
      </c>
      <c r="I134" s="229">
        <v>-7.6E-3</v>
      </c>
      <c r="J134" s="231">
        <v>1683.2</v>
      </c>
      <c r="K134" s="231">
        <v>1695.2</v>
      </c>
      <c r="L134" s="228">
        <v>-12</v>
      </c>
      <c r="M134" s="229">
        <v>-7.1000000000000004E-3</v>
      </c>
      <c r="N134" s="231">
        <v>1681.8</v>
      </c>
      <c r="O134" s="231">
        <v>1694.6</v>
      </c>
      <c r="P134" s="228">
        <v>-12.8</v>
      </c>
      <c r="Q134" s="229">
        <v>-7.6E-3</v>
      </c>
      <c r="R134" s="231">
        <v>1685.1</v>
      </c>
      <c r="S134" s="231">
        <v>1699.1</v>
      </c>
      <c r="T134" s="228">
        <v>-14</v>
      </c>
      <c r="U134" s="229">
        <v>-8.2000000000000007E-3</v>
      </c>
      <c r="V134" s="231">
        <v>1719.1</v>
      </c>
      <c r="W134" s="231">
        <v>1719.1</v>
      </c>
      <c r="X134" s="228">
        <v>0</v>
      </c>
      <c r="Y134" s="229">
        <v>0</v>
      </c>
      <c r="Z134" s="228">
        <v>-1.4</v>
      </c>
      <c r="AA134" s="228">
        <v>-0.6</v>
      </c>
      <c r="AB134" s="228">
        <v>-0.8</v>
      </c>
      <c r="AC134" s="229">
        <v>-8.0000000000000004E-4</v>
      </c>
      <c r="AD134" s="228">
        <v>-1.4</v>
      </c>
      <c r="AE134" s="228">
        <v>-0.6</v>
      </c>
      <c r="AF134" s="228">
        <v>-0.8</v>
      </c>
      <c r="AG134" s="229">
        <v>-8.0000000000000004E-4</v>
      </c>
      <c r="AH134" s="228">
        <v>1.9</v>
      </c>
      <c r="AI134" s="228">
        <v>3.9</v>
      </c>
      <c r="AJ134" s="228">
        <v>-2</v>
      </c>
      <c r="AK134" s="229">
        <v>1.1000000000000001E-3</v>
      </c>
      <c r="AL134" s="228">
        <v>35.9</v>
      </c>
      <c r="AM134" s="228">
        <v>23.9</v>
      </c>
      <c r="AN134" s="228">
        <v>12</v>
      </c>
      <c r="AO134" s="229">
        <v>2.1299999999999999E-2</v>
      </c>
      <c r="AP134" s="231">
        <v>1683.51</v>
      </c>
      <c r="AQ134" s="231">
        <v>1686.45</v>
      </c>
      <c r="AR134" s="228">
        <v>0</v>
      </c>
      <c r="AS134" s="228">
        <v>134</v>
      </c>
      <c r="AT134" s="228">
        <v>126</v>
      </c>
      <c r="AU134" s="228">
        <v>8</v>
      </c>
      <c r="AV134" s="229">
        <v>6.7299999999999999E-2</v>
      </c>
      <c r="AW134" s="228">
        <v>131</v>
      </c>
      <c r="AX134" s="228">
        <v>123</v>
      </c>
      <c r="AY134" s="228">
        <v>8</v>
      </c>
      <c r="AZ134" s="229">
        <v>6.1600000000000002E-2</v>
      </c>
      <c r="BA134" s="228">
        <v>3</v>
      </c>
      <c r="BB134" s="228">
        <v>2</v>
      </c>
      <c r="BC134" s="228">
        <v>1</v>
      </c>
      <c r="BD134" s="229">
        <v>0.42859999999999998</v>
      </c>
      <c r="BE134" s="228">
        <v>0</v>
      </c>
      <c r="BF134" s="228">
        <v>0</v>
      </c>
      <c r="BG134" s="228">
        <v>0</v>
      </c>
      <c r="BH134" s="229">
        <v>-1</v>
      </c>
      <c r="BI134" s="228">
        <v>85</v>
      </c>
      <c r="BJ134" s="228">
        <v>87</v>
      </c>
      <c r="BK134" s="228">
        <v>-2</v>
      </c>
      <c r="BL134" s="229">
        <v>-2.5499999999999998E-2</v>
      </c>
      <c r="BM134" s="228">
        <v>69</v>
      </c>
      <c r="BN134" s="228">
        <v>50</v>
      </c>
      <c r="BO134" s="228">
        <v>20</v>
      </c>
      <c r="BP134" s="229">
        <v>0.3962</v>
      </c>
      <c r="BQ134" s="228">
        <v>289</v>
      </c>
      <c r="BR134" s="228">
        <v>263</v>
      </c>
      <c r="BS134" s="228">
        <v>26</v>
      </c>
      <c r="BT134" s="229">
        <v>9.8599999999999993E-2</v>
      </c>
      <c r="BU134" s="230">
        <v>1026972</v>
      </c>
      <c r="BV134" s="230">
        <v>889205</v>
      </c>
      <c r="BW134" s="230">
        <v>137767</v>
      </c>
      <c r="BX134" s="229">
        <v>0.15490000000000001</v>
      </c>
      <c r="BY134" s="230">
        <v>1607</v>
      </c>
      <c r="BZ134" s="230">
        <v>1660</v>
      </c>
      <c r="CA134" s="228">
        <v>-52</v>
      </c>
      <c r="CB134" s="229">
        <v>-3.1600000000000003E-2</v>
      </c>
      <c r="CC134" s="230">
        <v>1601</v>
      </c>
      <c r="CD134" s="230">
        <v>1654</v>
      </c>
      <c r="CE134" s="228">
        <v>-52</v>
      </c>
      <c r="CF134" s="229">
        <v>-3.1699999999999999E-2</v>
      </c>
      <c r="CG134" s="228">
        <v>6</v>
      </c>
      <c r="CH134" s="228">
        <v>6</v>
      </c>
      <c r="CI134" s="228">
        <v>0</v>
      </c>
      <c r="CJ134" s="229">
        <v>1.18E-2</v>
      </c>
      <c r="CK134" s="228">
        <v>0</v>
      </c>
      <c r="CL134" s="228">
        <v>0</v>
      </c>
      <c r="CM134" s="228">
        <v>0</v>
      </c>
      <c r="CN134" s="229">
        <v>0</v>
      </c>
      <c r="CO134" s="228">
        <v>169</v>
      </c>
      <c r="CP134" s="228">
        <v>158</v>
      </c>
      <c r="CQ134" s="228">
        <v>11</v>
      </c>
      <c r="CR134" s="229">
        <v>7.1199999999999999E-2</v>
      </c>
      <c r="CS134" s="228">
        <v>103</v>
      </c>
      <c r="CT134" s="228">
        <v>100</v>
      </c>
      <c r="CU134" s="228">
        <v>3</v>
      </c>
      <c r="CV134" s="229">
        <v>2.81E-2</v>
      </c>
      <c r="CW134" s="230">
        <v>1880</v>
      </c>
      <c r="CX134" s="230">
        <v>1918</v>
      </c>
      <c r="CY134" s="228">
        <v>-38</v>
      </c>
      <c r="CZ134" s="229">
        <v>-0.02</v>
      </c>
      <c r="DA134" s="228">
        <v>30.45</v>
      </c>
      <c r="DB134" s="228">
        <v>31.27</v>
      </c>
      <c r="DC134" s="228">
        <v>-0.82</v>
      </c>
      <c r="DD134" s="228">
        <v>-0.82</v>
      </c>
      <c r="DE134" s="228">
        <v>31.94</v>
      </c>
      <c r="DF134" s="228">
        <v>32</v>
      </c>
      <c r="DG134" s="228">
        <v>-1.49</v>
      </c>
      <c r="DH134" s="228">
        <v>-0.06</v>
      </c>
      <c r="DI134" s="228">
        <v>28.76</v>
      </c>
      <c r="DJ134" s="228">
        <v>29.3</v>
      </c>
      <c r="DK134" s="228">
        <v>-0.54</v>
      </c>
      <c r="DL134" s="228">
        <v>-0.54</v>
      </c>
      <c r="DM134" s="228">
        <v>32.51</v>
      </c>
      <c r="DN134" s="228">
        <v>34.74</v>
      </c>
      <c r="DO134" s="228">
        <v>-2.23</v>
      </c>
      <c r="DP134" s="228">
        <v>-2.23</v>
      </c>
      <c r="DQ134" s="228">
        <v>0.61</v>
      </c>
      <c r="DR134" s="228">
        <v>0.64</v>
      </c>
      <c r="DS134" s="228">
        <v>-0.03</v>
      </c>
      <c r="DT134" s="229">
        <v>-4.6899999999999997E-2</v>
      </c>
      <c r="DU134" s="231">
        <v>1800</v>
      </c>
      <c r="DV134" s="231">
        <v>1460</v>
      </c>
      <c r="DW134" s="228">
        <v>0.81</v>
      </c>
      <c r="DX134" s="228">
        <v>0.56999999999999995</v>
      </c>
      <c r="DY134" s="228">
        <v>0.24</v>
      </c>
      <c r="DZ134" s="229">
        <v>0.42109999999999997</v>
      </c>
      <c r="EA134" s="229">
        <v>3.8999999999999998E-3</v>
      </c>
      <c r="EB134" s="230">
        <v>36800</v>
      </c>
      <c r="EC134" s="229">
        <v>2E-3</v>
      </c>
      <c r="ED134" s="229">
        <v>3.8999999999999998E-3</v>
      </c>
      <c r="EE134" s="228">
        <v>2.94</v>
      </c>
      <c r="EF134" s="229">
        <v>1.6999999999999999E-3</v>
      </c>
      <c r="EG134" s="230">
        <v>695690</v>
      </c>
      <c r="EH134" s="230">
        <v>574425</v>
      </c>
      <c r="EI134" s="229">
        <v>0.21110000000000001</v>
      </c>
      <c r="EJ134" s="229">
        <v>0.6774</v>
      </c>
      <c r="EK134" s="228">
        <v>88.55</v>
      </c>
      <c r="EL134" s="228">
        <v>67.709999999999994</v>
      </c>
      <c r="EM134" s="228">
        <v>134.49</v>
      </c>
      <c r="EN134" s="228">
        <v>22.11</v>
      </c>
      <c r="EO134" s="228">
        <v>290.75</v>
      </c>
      <c r="EP134" s="228">
        <v>267.22000000000003</v>
      </c>
      <c r="EQ134" s="228">
        <v>23.53</v>
      </c>
      <c r="ER134" s="229">
        <v>8.7999999999999995E-2</v>
      </c>
      <c r="ES134" s="228">
        <v>172.72</v>
      </c>
      <c r="ET134" s="228">
        <v>94.76</v>
      </c>
      <c r="EU134" s="231">
        <v>1607.35</v>
      </c>
      <c r="EV134" s="231">
        <v>35051266</v>
      </c>
      <c r="EW134" s="231">
        <v>1874.83</v>
      </c>
      <c r="EX134" s="231">
        <v>1925.19</v>
      </c>
      <c r="EY134" s="228">
        <v>-50.36</v>
      </c>
      <c r="EZ134" s="229">
        <v>-2.6200000000000001E-2</v>
      </c>
      <c r="FA134" s="229">
        <v>0.31890000000000002</v>
      </c>
      <c r="FB134" s="227" t="s">
        <v>567</v>
      </c>
      <c r="FC134">
        <f t="shared" si="2"/>
        <v>6</v>
      </c>
    </row>
    <row r="135" spans="1:159" ht="17.25" thickBot="1" x14ac:dyDescent="0.3">
      <c r="A135" s="226">
        <v>46129</v>
      </c>
      <c r="B135" s="227" t="s">
        <v>181</v>
      </c>
      <c r="C135" s="227" t="s">
        <v>562</v>
      </c>
      <c r="D135" s="228">
        <v>120</v>
      </c>
      <c r="E135" s="228">
        <v>11</v>
      </c>
      <c r="F135" s="231">
        <v>13849.2</v>
      </c>
      <c r="G135" s="231">
        <v>13681.15</v>
      </c>
      <c r="H135" s="228">
        <v>168.05</v>
      </c>
      <c r="I135" s="229">
        <v>1.23E-2</v>
      </c>
      <c r="J135" s="231">
        <v>13838.85</v>
      </c>
      <c r="K135" s="231">
        <v>13683.7</v>
      </c>
      <c r="L135" s="228">
        <v>155.15</v>
      </c>
      <c r="M135" s="229">
        <v>1.1299999999999999E-2</v>
      </c>
      <c r="N135" s="231">
        <v>13849.2</v>
      </c>
      <c r="O135" s="231">
        <v>13681.15</v>
      </c>
      <c r="P135" s="228">
        <v>168.05</v>
      </c>
      <c r="Q135" s="229">
        <v>1.23E-2</v>
      </c>
      <c r="R135" s="231">
        <v>13880.05</v>
      </c>
      <c r="S135" s="231">
        <v>13712.3</v>
      </c>
      <c r="T135" s="228">
        <v>167.75</v>
      </c>
      <c r="U135" s="229">
        <v>1.2200000000000001E-2</v>
      </c>
      <c r="V135" s="231">
        <v>13914.65</v>
      </c>
      <c r="W135" s="231">
        <v>13754.35</v>
      </c>
      <c r="X135" s="228">
        <v>160.30000000000001</v>
      </c>
      <c r="Y135" s="229">
        <v>1.17E-2</v>
      </c>
      <c r="Z135" s="228">
        <v>10.35</v>
      </c>
      <c r="AA135" s="228">
        <v>-2.5499999999999998</v>
      </c>
      <c r="AB135" s="228">
        <v>12.9</v>
      </c>
      <c r="AC135" s="229">
        <v>6.9999999999999999E-4</v>
      </c>
      <c r="AD135" s="228">
        <v>10.35</v>
      </c>
      <c r="AE135" s="228">
        <v>-2.5499999999999998</v>
      </c>
      <c r="AF135" s="228">
        <v>12.9</v>
      </c>
      <c r="AG135" s="229">
        <v>6.9999999999999999E-4</v>
      </c>
      <c r="AH135" s="228">
        <v>41.2</v>
      </c>
      <c r="AI135" s="228">
        <v>28.6</v>
      </c>
      <c r="AJ135" s="228">
        <v>12.6</v>
      </c>
      <c r="AK135" s="229">
        <v>3.0000000000000001E-3</v>
      </c>
      <c r="AL135" s="228">
        <v>75.8</v>
      </c>
      <c r="AM135" s="228">
        <v>70.650000000000006</v>
      </c>
      <c r="AN135" s="228">
        <v>5.15</v>
      </c>
      <c r="AO135" s="229">
        <v>5.4999999999999997E-3</v>
      </c>
      <c r="AP135" s="231">
        <v>13782.55</v>
      </c>
      <c r="AQ135" s="231">
        <v>13809.75</v>
      </c>
      <c r="AR135" s="228">
        <v>0</v>
      </c>
      <c r="AS135" s="228">
        <v>764</v>
      </c>
      <c r="AT135" s="228">
        <v>810</v>
      </c>
      <c r="AU135" s="228">
        <v>-47</v>
      </c>
      <c r="AV135" s="229">
        <v>-5.74E-2</v>
      </c>
      <c r="AW135" s="228">
        <v>681</v>
      </c>
      <c r="AX135" s="228">
        <v>715</v>
      </c>
      <c r="AY135" s="228">
        <v>-34</v>
      </c>
      <c r="AZ135" s="229">
        <v>-4.7699999999999999E-2</v>
      </c>
      <c r="BA135" s="228">
        <v>72</v>
      </c>
      <c r="BB135" s="228">
        <v>85</v>
      </c>
      <c r="BC135" s="228">
        <v>-13</v>
      </c>
      <c r="BD135" s="229">
        <v>-0.1507</v>
      </c>
      <c r="BE135" s="228">
        <v>11</v>
      </c>
      <c r="BF135" s="228">
        <v>11</v>
      </c>
      <c r="BG135" s="228">
        <v>0</v>
      </c>
      <c r="BH135" s="229">
        <v>3.0800000000000001E-2</v>
      </c>
      <c r="BI135" s="230">
        <v>19775</v>
      </c>
      <c r="BJ135" s="230">
        <v>15233</v>
      </c>
      <c r="BK135" s="230">
        <v>4543</v>
      </c>
      <c r="BL135" s="229">
        <v>0.29820000000000002</v>
      </c>
      <c r="BM135" s="230">
        <v>26031</v>
      </c>
      <c r="BN135" s="230">
        <v>16060</v>
      </c>
      <c r="BO135" s="230">
        <v>9971</v>
      </c>
      <c r="BP135" s="229">
        <v>0.62090000000000001</v>
      </c>
      <c r="BQ135" s="230">
        <v>46570</v>
      </c>
      <c r="BR135" s="230">
        <v>32103</v>
      </c>
      <c r="BS135" s="230">
        <v>14467</v>
      </c>
      <c r="BT135" s="229">
        <v>0.45069999999999999</v>
      </c>
      <c r="BU135" s="228">
        <v>0</v>
      </c>
      <c r="BV135" s="228">
        <v>0</v>
      </c>
      <c r="BW135" s="228">
        <v>0</v>
      </c>
      <c r="BX135" s="229">
        <v>0</v>
      </c>
      <c r="BY135" s="230">
        <v>3477</v>
      </c>
      <c r="BZ135" s="230">
        <v>3580</v>
      </c>
      <c r="CA135" s="228">
        <v>-103</v>
      </c>
      <c r="CB135" s="229">
        <v>-2.87E-2</v>
      </c>
      <c r="CC135" s="230">
        <v>3298</v>
      </c>
      <c r="CD135" s="230">
        <v>3406</v>
      </c>
      <c r="CE135" s="228">
        <v>-107</v>
      </c>
      <c r="CF135" s="229">
        <v>-3.15E-2</v>
      </c>
      <c r="CG135" s="228">
        <v>167</v>
      </c>
      <c r="CH135" s="228">
        <v>159</v>
      </c>
      <c r="CI135" s="228">
        <v>7</v>
      </c>
      <c r="CJ135" s="229">
        <v>4.6899999999999997E-2</v>
      </c>
      <c r="CK135" s="228">
        <v>12</v>
      </c>
      <c r="CL135" s="228">
        <v>15</v>
      </c>
      <c r="CM135" s="228">
        <v>-3</v>
      </c>
      <c r="CN135" s="229">
        <v>-0.1978</v>
      </c>
      <c r="CO135" s="230">
        <v>8247</v>
      </c>
      <c r="CP135" s="230">
        <v>6759</v>
      </c>
      <c r="CQ135" s="230">
        <v>1488</v>
      </c>
      <c r="CR135" s="229">
        <v>0.22009999999999999</v>
      </c>
      <c r="CS135" s="230">
        <v>10012</v>
      </c>
      <c r="CT135" s="230">
        <v>8578</v>
      </c>
      <c r="CU135" s="230">
        <v>1434</v>
      </c>
      <c r="CV135" s="229">
        <v>0.1671</v>
      </c>
      <c r="CW135" s="230">
        <v>21736</v>
      </c>
      <c r="CX135" s="230">
        <v>18917</v>
      </c>
      <c r="CY135" s="230">
        <v>2818</v>
      </c>
      <c r="CZ135" s="229">
        <v>0.14899999999999999</v>
      </c>
      <c r="DA135" s="228">
        <v>23.83</v>
      </c>
      <c r="DB135" s="228">
        <v>24.37</v>
      </c>
      <c r="DC135" s="228">
        <v>-0.54</v>
      </c>
      <c r="DD135" s="228">
        <v>-0.54</v>
      </c>
      <c r="DE135" s="228">
        <v>25.28</v>
      </c>
      <c r="DF135" s="228">
        <v>25.29</v>
      </c>
      <c r="DG135" s="228">
        <v>-1.45</v>
      </c>
      <c r="DH135" s="228">
        <v>-0.01</v>
      </c>
      <c r="DI135" s="228">
        <v>20.100000000000001</v>
      </c>
      <c r="DJ135" s="228">
        <v>21.28</v>
      </c>
      <c r="DK135" s="228">
        <v>-1.18</v>
      </c>
      <c r="DL135" s="228">
        <v>-1.18</v>
      </c>
      <c r="DM135" s="228">
        <v>26.67</v>
      </c>
      <c r="DN135" s="228">
        <v>27.3</v>
      </c>
      <c r="DO135" s="228">
        <v>-0.63</v>
      </c>
      <c r="DP135" s="228">
        <v>-0.63</v>
      </c>
      <c r="DQ135" s="228">
        <v>1.21</v>
      </c>
      <c r="DR135" s="228">
        <v>1.27</v>
      </c>
      <c r="DS135" s="228">
        <v>-0.06</v>
      </c>
      <c r="DT135" s="229">
        <v>-4.7199999999999999E-2</v>
      </c>
      <c r="DU135" s="231">
        <v>14500</v>
      </c>
      <c r="DV135" s="231">
        <v>13500</v>
      </c>
      <c r="DW135" s="228">
        <v>1.32</v>
      </c>
      <c r="DX135" s="228">
        <v>1.05</v>
      </c>
      <c r="DY135" s="228">
        <v>0.27</v>
      </c>
      <c r="DZ135" s="229">
        <v>0.2571</v>
      </c>
      <c r="EA135" s="229">
        <v>5.1499999999999997E-2</v>
      </c>
      <c r="EB135" s="230">
        <v>126000</v>
      </c>
      <c r="EC135" s="229">
        <v>2.2000000000000001E-3</v>
      </c>
      <c r="ED135" s="229">
        <v>5.1499999999999997E-2</v>
      </c>
      <c r="EE135" s="228">
        <v>27.2</v>
      </c>
      <c r="EF135" s="229">
        <v>2E-3</v>
      </c>
      <c r="EG135" s="228">
        <v>0</v>
      </c>
      <c r="EH135" s="228">
        <v>0</v>
      </c>
      <c r="EI135" s="229">
        <v>0</v>
      </c>
      <c r="EJ135" s="229">
        <v>0</v>
      </c>
      <c r="EK135" s="231">
        <v>20294.900000000001</v>
      </c>
      <c r="EL135" s="231">
        <v>24830.86</v>
      </c>
      <c r="EM135" s="228">
        <v>760.35</v>
      </c>
      <c r="EN135" s="228">
        <v>0</v>
      </c>
      <c r="EO135" s="231">
        <v>45886.11</v>
      </c>
      <c r="EP135" s="231">
        <v>31584.49</v>
      </c>
      <c r="EQ135" s="231">
        <v>14301.62</v>
      </c>
      <c r="ER135" s="229">
        <v>0.45279999999999998</v>
      </c>
      <c r="ES135" s="231">
        <v>8247.6299999999992</v>
      </c>
      <c r="ET135" s="231">
        <v>9261.77</v>
      </c>
      <c r="EU135" s="231">
        <v>3477.8</v>
      </c>
      <c r="EV135" s="228">
        <v>0</v>
      </c>
      <c r="EW135" s="231">
        <v>20987.200000000001</v>
      </c>
      <c r="EX135" s="231">
        <v>18052.3</v>
      </c>
      <c r="EY135" s="231">
        <v>2934.9</v>
      </c>
      <c r="EZ135" s="229">
        <v>0.16259999999999999</v>
      </c>
      <c r="FA135" s="229">
        <v>0</v>
      </c>
      <c r="FB135" s="227" t="s">
        <v>693</v>
      </c>
      <c r="FC135">
        <f t="shared" si="2"/>
        <v>179</v>
      </c>
    </row>
    <row r="136" spans="1:159" ht="17.25" thickBot="1" x14ac:dyDescent="0.3">
      <c r="A136" s="226">
        <v>46129</v>
      </c>
      <c r="B136" s="227" t="s">
        <v>162</v>
      </c>
      <c r="C136" s="227" t="s">
        <v>558</v>
      </c>
      <c r="D136" s="228">
        <v>6150</v>
      </c>
      <c r="E136" s="228">
        <v>11</v>
      </c>
      <c r="F136" s="228">
        <v>125.05</v>
      </c>
      <c r="G136" s="228">
        <v>123.06</v>
      </c>
      <c r="H136" s="228">
        <v>1.99</v>
      </c>
      <c r="I136" s="229">
        <v>1.6199999999999999E-2</v>
      </c>
      <c r="J136" s="228">
        <v>125.03</v>
      </c>
      <c r="K136" s="228">
        <v>122.82</v>
      </c>
      <c r="L136" s="228">
        <v>2.21</v>
      </c>
      <c r="M136" s="229">
        <v>1.7999999999999999E-2</v>
      </c>
      <c r="N136" s="228">
        <v>125.05</v>
      </c>
      <c r="O136" s="228">
        <v>123.06</v>
      </c>
      <c r="P136" s="228">
        <v>1.99</v>
      </c>
      <c r="Q136" s="229">
        <v>1.6199999999999999E-2</v>
      </c>
      <c r="R136" s="228">
        <v>125.65</v>
      </c>
      <c r="S136" s="228">
        <v>123.69</v>
      </c>
      <c r="T136" s="228">
        <v>1.96</v>
      </c>
      <c r="U136" s="229">
        <v>1.5800000000000002E-2</v>
      </c>
      <c r="V136" s="228">
        <v>126.03</v>
      </c>
      <c r="W136" s="228">
        <v>124.21</v>
      </c>
      <c r="X136" s="228">
        <v>1.82</v>
      </c>
      <c r="Y136" s="229">
        <v>1.47E-2</v>
      </c>
      <c r="Z136" s="228">
        <v>0.02</v>
      </c>
      <c r="AA136" s="228">
        <v>0.24</v>
      </c>
      <c r="AB136" s="228">
        <v>-0.22</v>
      </c>
      <c r="AC136" s="229">
        <v>2.0000000000000001E-4</v>
      </c>
      <c r="AD136" s="228">
        <v>0.02</v>
      </c>
      <c r="AE136" s="228">
        <v>0.24</v>
      </c>
      <c r="AF136" s="228">
        <v>-0.22</v>
      </c>
      <c r="AG136" s="229">
        <v>2.0000000000000001E-4</v>
      </c>
      <c r="AH136" s="228">
        <v>0.62</v>
      </c>
      <c r="AI136" s="228">
        <v>0.87</v>
      </c>
      <c r="AJ136" s="228">
        <v>-0.25</v>
      </c>
      <c r="AK136" s="229">
        <v>5.0000000000000001E-3</v>
      </c>
      <c r="AL136" s="228">
        <v>1</v>
      </c>
      <c r="AM136" s="228">
        <v>1.39</v>
      </c>
      <c r="AN136" s="228">
        <v>-0.39</v>
      </c>
      <c r="AO136" s="229">
        <v>8.0000000000000002E-3</v>
      </c>
      <c r="AP136" s="228">
        <v>124.6</v>
      </c>
      <c r="AQ136" s="228">
        <v>124.95</v>
      </c>
      <c r="AR136" s="228">
        <v>0</v>
      </c>
      <c r="AS136" s="228">
        <v>441</v>
      </c>
      <c r="AT136" s="228">
        <v>213</v>
      </c>
      <c r="AU136" s="228">
        <v>228</v>
      </c>
      <c r="AV136" s="229">
        <v>1.0692999999999999</v>
      </c>
      <c r="AW136" s="228">
        <v>315</v>
      </c>
      <c r="AX136" s="228">
        <v>188</v>
      </c>
      <c r="AY136" s="228">
        <v>127</v>
      </c>
      <c r="AZ136" s="229">
        <v>0.67530000000000001</v>
      </c>
      <c r="BA136" s="228">
        <v>22</v>
      </c>
      <c r="BB136" s="228">
        <v>21</v>
      </c>
      <c r="BC136" s="228">
        <v>0</v>
      </c>
      <c r="BD136" s="229">
        <v>1.0800000000000001E-2</v>
      </c>
      <c r="BE136" s="228">
        <v>104</v>
      </c>
      <c r="BF136" s="228">
        <v>4</v>
      </c>
      <c r="BG136" s="228">
        <v>101</v>
      </c>
      <c r="BH136" s="229">
        <v>27.829799999999999</v>
      </c>
      <c r="BI136" s="228">
        <v>339</v>
      </c>
      <c r="BJ136" s="228">
        <v>273</v>
      </c>
      <c r="BK136" s="228">
        <v>66</v>
      </c>
      <c r="BL136" s="229">
        <v>0.24160000000000001</v>
      </c>
      <c r="BM136" s="228">
        <v>341</v>
      </c>
      <c r="BN136" s="228">
        <v>218</v>
      </c>
      <c r="BO136" s="228">
        <v>124</v>
      </c>
      <c r="BP136" s="229">
        <v>0.56950000000000001</v>
      </c>
      <c r="BQ136" s="230">
        <v>1121</v>
      </c>
      <c r="BR136" s="228">
        <v>703</v>
      </c>
      <c r="BS136" s="228">
        <v>418</v>
      </c>
      <c r="BT136" s="229">
        <v>0.59370000000000001</v>
      </c>
      <c r="BU136" s="230">
        <v>18536579</v>
      </c>
      <c r="BV136" s="230">
        <v>21162138</v>
      </c>
      <c r="BW136" s="230">
        <v>-2625559</v>
      </c>
      <c r="BX136" s="229">
        <v>-0.1241</v>
      </c>
      <c r="BY136" s="230">
        <v>1649</v>
      </c>
      <c r="BZ136" s="230">
        <v>1678</v>
      </c>
      <c r="CA136" s="228">
        <v>-30</v>
      </c>
      <c r="CB136" s="229">
        <v>-1.7600000000000001E-2</v>
      </c>
      <c r="CC136" s="230">
        <v>1501</v>
      </c>
      <c r="CD136" s="230">
        <v>1629</v>
      </c>
      <c r="CE136" s="228">
        <v>-129</v>
      </c>
      <c r="CF136" s="229">
        <v>-7.9100000000000004E-2</v>
      </c>
      <c r="CG136" s="228">
        <v>41</v>
      </c>
      <c r="CH136" s="228">
        <v>40</v>
      </c>
      <c r="CI136" s="228">
        <v>1</v>
      </c>
      <c r="CJ136" s="229">
        <v>3.2599999999999997E-2</v>
      </c>
      <c r="CK136" s="228">
        <v>107</v>
      </c>
      <c r="CL136" s="228">
        <v>9</v>
      </c>
      <c r="CM136" s="228">
        <v>98</v>
      </c>
      <c r="CN136" s="229">
        <v>11.069599999999999</v>
      </c>
      <c r="CO136" s="228">
        <v>481</v>
      </c>
      <c r="CP136" s="228">
        <v>472</v>
      </c>
      <c r="CQ136" s="228">
        <v>9</v>
      </c>
      <c r="CR136" s="229">
        <v>1.8100000000000002E-2</v>
      </c>
      <c r="CS136" s="228">
        <v>426</v>
      </c>
      <c r="CT136" s="228">
        <v>467</v>
      </c>
      <c r="CU136" s="228">
        <v>-41</v>
      </c>
      <c r="CV136" s="229">
        <v>-8.72E-2</v>
      </c>
      <c r="CW136" s="230">
        <v>2556</v>
      </c>
      <c r="CX136" s="230">
        <v>2617</v>
      </c>
      <c r="CY136" s="228">
        <v>-62</v>
      </c>
      <c r="CZ136" s="229">
        <v>-2.3599999999999999E-2</v>
      </c>
      <c r="DA136" s="228">
        <v>41.3</v>
      </c>
      <c r="DB136" s="228">
        <v>41.51</v>
      </c>
      <c r="DC136" s="228">
        <v>-0.21</v>
      </c>
      <c r="DD136" s="228">
        <v>-0.21</v>
      </c>
      <c r="DE136" s="228">
        <v>43.28</v>
      </c>
      <c r="DF136" s="228">
        <v>43.33</v>
      </c>
      <c r="DG136" s="228">
        <v>-1.98</v>
      </c>
      <c r="DH136" s="228">
        <v>-0.05</v>
      </c>
      <c r="DI136" s="228">
        <v>36.49</v>
      </c>
      <c r="DJ136" s="228">
        <v>38.369999999999997</v>
      </c>
      <c r="DK136" s="228">
        <v>-1.88</v>
      </c>
      <c r="DL136" s="228">
        <v>-1.88</v>
      </c>
      <c r="DM136" s="228">
        <v>46.07</v>
      </c>
      <c r="DN136" s="228">
        <v>45.44</v>
      </c>
      <c r="DO136" s="228">
        <v>0.63</v>
      </c>
      <c r="DP136" s="228">
        <v>0.63</v>
      </c>
      <c r="DQ136" s="228">
        <v>0.89</v>
      </c>
      <c r="DR136" s="228">
        <v>0.99</v>
      </c>
      <c r="DS136" s="228">
        <v>-0.1</v>
      </c>
      <c r="DT136" s="229">
        <v>-0.10100000000000001</v>
      </c>
      <c r="DU136" s="228">
        <v>130</v>
      </c>
      <c r="DV136" s="228">
        <v>120</v>
      </c>
      <c r="DW136" s="228">
        <v>1.01</v>
      </c>
      <c r="DX136" s="228">
        <v>0.8</v>
      </c>
      <c r="DY136" s="228">
        <v>0.21</v>
      </c>
      <c r="DZ136" s="229">
        <v>0.26250000000000001</v>
      </c>
      <c r="EA136" s="229">
        <v>8.9800000000000005E-2</v>
      </c>
      <c r="EB136" s="230">
        <v>3911400</v>
      </c>
      <c r="EC136" s="229">
        <v>4.7999999999999996E-3</v>
      </c>
      <c r="ED136" s="229">
        <v>8.9800000000000005E-2</v>
      </c>
      <c r="EE136" s="228">
        <v>0.35</v>
      </c>
      <c r="EF136" s="229">
        <v>2.8E-3</v>
      </c>
      <c r="EG136" s="230">
        <v>8839044</v>
      </c>
      <c r="EH136" s="230">
        <v>11197381</v>
      </c>
      <c r="EI136" s="229">
        <v>-0.21060000000000001</v>
      </c>
      <c r="EJ136" s="229">
        <v>0.4768</v>
      </c>
      <c r="EK136" s="228">
        <v>351.76</v>
      </c>
      <c r="EL136" s="228">
        <v>316.88</v>
      </c>
      <c r="EM136" s="228">
        <v>440.98</v>
      </c>
      <c r="EN136" s="228">
        <v>44.13</v>
      </c>
      <c r="EO136" s="231">
        <v>1109.6199999999999</v>
      </c>
      <c r="EP136" s="228">
        <v>697.36</v>
      </c>
      <c r="EQ136" s="228">
        <v>412.26</v>
      </c>
      <c r="ER136" s="229">
        <v>0.59119999999999995</v>
      </c>
      <c r="ES136" s="228">
        <v>473.36</v>
      </c>
      <c r="ET136" s="228">
        <v>384.12</v>
      </c>
      <c r="EU136" s="231">
        <v>1649.74</v>
      </c>
      <c r="EV136" s="231">
        <v>588447385</v>
      </c>
      <c r="EW136" s="231">
        <v>2507.2199999999998</v>
      </c>
      <c r="EX136" s="231">
        <v>2532.91</v>
      </c>
      <c r="EY136" s="228">
        <v>-25.69</v>
      </c>
      <c r="EZ136" s="229">
        <v>-1.01E-2</v>
      </c>
      <c r="FA136" s="229">
        <v>0.3473</v>
      </c>
      <c r="FB136" s="227" t="s">
        <v>693</v>
      </c>
      <c r="FC136">
        <f t="shared" si="2"/>
        <v>148</v>
      </c>
    </row>
    <row r="137" spans="1:159" ht="17.25" thickBot="1" x14ac:dyDescent="0.3">
      <c r="A137" s="226">
        <v>46129</v>
      </c>
      <c r="B137" s="227" t="s">
        <v>175</v>
      </c>
      <c r="C137" s="227" t="s">
        <v>698</v>
      </c>
      <c r="D137" s="228">
        <v>775</v>
      </c>
      <c r="E137" s="228">
        <v>11</v>
      </c>
      <c r="F137" s="228">
        <v>817.75</v>
      </c>
      <c r="G137" s="228">
        <v>784.95</v>
      </c>
      <c r="H137" s="228">
        <v>32.799999999999997</v>
      </c>
      <c r="I137" s="229">
        <v>4.1799999999999997E-2</v>
      </c>
      <c r="J137" s="228">
        <v>815.45</v>
      </c>
      <c r="K137" s="228">
        <v>782.8</v>
      </c>
      <c r="L137" s="228">
        <v>32.65</v>
      </c>
      <c r="M137" s="229">
        <v>4.1700000000000001E-2</v>
      </c>
      <c r="N137" s="228">
        <v>817.75</v>
      </c>
      <c r="O137" s="228">
        <v>784.95</v>
      </c>
      <c r="P137" s="228">
        <v>32.799999999999997</v>
      </c>
      <c r="Q137" s="229">
        <v>4.1799999999999997E-2</v>
      </c>
      <c r="R137" s="228">
        <v>816.35</v>
      </c>
      <c r="S137" s="228">
        <v>783.3</v>
      </c>
      <c r="T137" s="228">
        <v>33.049999999999997</v>
      </c>
      <c r="U137" s="229">
        <v>4.2200000000000001E-2</v>
      </c>
      <c r="V137" s="228">
        <v>814</v>
      </c>
      <c r="W137" s="228">
        <v>787.55</v>
      </c>
      <c r="X137" s="228">
        <v>26.45</v>
      </c>
      <c r="Y137" s="229">
        <v>3.3599999999999998E-2</v>
      </c>
      <c r="Z137" s="228">
        <v>2.2999999999999998</v>
      </c>
      <c r="AA137" s="228">
        <v>2.15</v>
      </c>
      <c r="AB137" s="228">
        <v>0.15</v>
      </c>
      <c r="AC137" s="229">
        <v>2.8E-3</v>
      </c>
      <c r="AD137" s="228">
        <v>2.2999999999999998</v>
      </c>
      <c r="AE137" s="228">
        <v>2.15</v>
      </c>
      <c r="AF137" s="228">
        <v>0.15</v>
      </c>
      <c r="AG137" s="229">
        <v>2.8E-3</v>
      </c>
      <c r="AH137" s="228">
        <v>0.9</v>
      </c>
      <c r="AI137" s="228">
        <v>0.5</v>
      </c>
      <c r="AJ137" s="228">
        <v>0.4</v>
      </c>
      <c r="AK137" s="229">
        <v>1.1000000000000001E-3</v>
      </c>
      <c r="AL137" s="228">
        <v>-1.45</v>
      </c>
      <c r="AM137" s="228">
        <v>4.75</v>
      </c>
      <c r="AN137" s="228">
        <v>-6.2</v>
      </c>
      <c r="AO137" s="229">
        <v>-1.8E-3</v>
      </c>
      <c r="AP137" s="228">
        <v>803.94</v>
      </c>
      <c r="AQ137" s="228">
        <v>804.75</v>
      </c>
      <c r="AR137" s="228">
        <v>0</v>
      </c>
      <c r="AS137" s="228">
        <v>201</v>
      </c>
      <c r="AT137" s="228">
        <v>58</v>
      </c>
      <c r="AU137" s="228">
        <v>144</v>
      </c>
      <c r="AV137" s="229">
        <v>2.4895999999999998</v>
      </c>
      <c r="AW137" s="228">
        <v>189</v>
      </c>
      <c r="AX137" s="228">
        <v>54</v>
      </c>
      <c r="AY137" s="228">
        <v>135</v>
      </c>
      <c r="AZ137" s="229">
        <v>2.5106000000000002</v>
      </c>
      <c r="BA137" s="228">
        <v>12</v>
      </c>
      <c r="BB137" s="228">
        <v>4</v>
      </c>
      <c r="BC137" s="228">
        <v>8</v>
      </c>
      <c r="BD137" s="229">
        <v>2.3929</v>
      </c>
      <c r="BE137" s="228">
        <v>1</v>
      </c>
      <c r="BF137" s="228">
        <v>0</v>
      </c>
      <c r="BG137" s="228">
        <v>0</v>
      </c>
      <c r="BH137" s="229">
        <v>0.71430000000000005</v>
      </c>
      <c r="BI137" s="228">
        <v>578</v>
      </c>
      <c r="BJ137" s="228">
        <v>106</v>
      </c>
      <c r="BK137" s="228">
        <v>472</v>
      </c>
      <c r="BL137" s="229">
        <v>4.4622999999999999</v>
      </c>
      <c r="BM137" s="228">
        <v>132</v>
      </c>
      <c r="BN137" s="228">
        <v>203</v>
      </c>
      <c r="BO137" s="228">
        <v>-71</v>
      </c>
      <c r="BP137" s="229">
        <v>-0.35039999999999999</v>
      </c>
      <c r="BQ137" s="228">
        <v>911</v>
      </c>
      <c r="BR137" s="228">
        <v>366</v>
      </c>
      <c r="BS137" s="228">
        <v>545</v>
      </c>
      <c r="BT137" s="229">
        <v>1.4886999999999999</v>
      </c>
      <c r="BU137" s="230">
        <v>2103784</v>
      </c>
      <c r="BV137" s="230">
        <v>1104507</v>
      </c>
      <c r="BW137" s="230">
        <v>999277</v>
      </c>
      <c r="BX137" s="229">
        <v>0.90469999999999995</v>
      </c>
      <c r="BY137" s="228">
        <v>234</v>
      </c>
      <c r="BZ137" s="228">
        <v>170</v>
      </c>
      <c r="CA137" s="228">
        <v>65</v>
      </c>
      <c r="CB137" s="229">
        <v>0.38059999999999999</v>
      </c>
      <c r="CC137" s="228">
        <v>225</v>
      </c>
      <c r="CD137" s="228">
        <v>163</v>
      </c>
      <c r="CE137" s="228">
        <v>63</v>
      </c>
      <c r="CF137" s="229">
        <v>0.38440000000000002</v>
      </c>
      <c r="CG137" s="228">
        <v>8</v>
      </c>
      <c r="CH137" s="228">
        <v>6</v>
      </c>
      <c r="CI137" s="228">
        <v>2</v>
      </c>
      <c r="CJ137" s="229">
        <v>0.35560000000000003</v>
      </c>
      <c r="CK137" s="228">
        <v>1</v>
      </c>
      <c r="CL137" s="228">
        <v>1</v>
      </c>
      <c r="CM137" s="228">
        <v>0</v>
      </c>
      <c r="CN137" s="229">
        <v>-5.8799999999999998E-2</v>
      </c>
      <c r="CO137" s="228">
        <v>129</v>
      </c>
      <c r="CP137" s="228">
        <v>98</v>
      </c>
      <c r="CQ137" s="228">
        <v>31</v>
      </c>
      <c r="CR137" s="229">
        <v>0.31590000000000001</v>
      </c>
      <c r="CS137" s="228">
        <v>101</v>
      </c>
      <c r="CT137" s="228">
        <v>84</v>
      </c>
      <c r="CU137" s="228">
        <v>17</v>
      </c>
      <c r="CV137" s="229">
        <v>0.20319999999999999</v>
      </c>
      <c r="CW137" s="228">
        <v>464</v>
      </c>
      <c r="CX137" s="228">
        <v>352</v>
      </c>
      <c r="CY137" s="228">
        <v>113</v>
      </c>
      <c r="CZ137" s="229">
        <v>0.32019999999999998</v>
      </c>
      <c r="DA137" s="228">
        <v>43.84</v>
      </c>
      <c r="DB137" s="228">
        <v>49.92</v>
      </c>
      <c r="DC137" s="228">
        <v>-6.08</v>
      </c>
      <c r="DD137" s="228">
        <v>-6.08</v>
      </c>
      <c r="DE137" s="228">
        <v>54.82</v>
      </c>
      <c r="DF137" s="228">
        <v>54.68</v>
      </c>
      <c r="DG137" s="228">
        <v>-10.98</v>
      </c>
      <c r="DH137" s="228">
        <v>0.14000000000000001</v>
      </c>
      <c r="DI137" s="228">
        <v>42.79</v>
      </c>
      <c r="DJ137" s="228">
        <v>41.57</v>
      </c>
      <c r="DK137" s="228">
        <v>1.22</v>
      </c>
      <c r="DL137" s="228">
        <v>1.22</v>
      </c>
      <c r="DM137" s="228">
        <v>48.46</v>
      </c>
      <c r="DN137" s="228">
        <v>54.28</v>
      </c>
      <c r="DO137" s="228">
        <v>-5.82</v>
      </c>
      <c r="DP137" s="228">
        <v>-5.82</v>
      </c>
      <c r="DQ137" s="228">
        <v>0.78</v>
      </c>
      <c r="DR137" s="228">
        <v>0.86</v>
      </c>
      <c r="DS137" s="228">
        <v>-0.08</v>
      </c>
      <c r="DT137" s="229">
        <v>-9.2999999999999999E-2</v>
      </c>
      <c r="DU137" s="228">
        <v>800</v>
      </c>
      <c r="DV137" s="228">
        <v>680</v>
      </c>
      <c r="DW137" s="228">
        <v>0.23</v>
      </c>
      <c r="DX137" s="228">
        <v>1.91</v>
      </c>
      <c r="DY137" s="228">
        <v>-1.68</v>
      </c>
      <c r="DZ137" s="229">
        <v>-0.87960000000000005</v>
      </c>
      <c r="EA137" s="229">
        <v>3.73E-2</v>
      </c>
      <c r="EB137" s="230">
        <v>82925</v>
      </c>
      <c r="EC137" s="229">
        <v>-1.6999999999999999E-3</v>
      </c>
      <c r="ED137" s="229">
        <v>3.73E-2</v>
      </c>
      <c r="EE137" s="228">
        <v>0.81</v>
      </c>
      <c r="EF137" s="229">
        <v>1E-3</v>
      </c>
      <c r="EG137" s="230">
        <v>890005</v>
      </c>
      <c r="EH137" s="230">
        <v>513988</v>
      </c>
      <c r="EI137" s="229">
        <v>0.73160000000000003</v>
      </c>
      <c r="EJ137" s="229">
        <v>0.42299999999999999</v>
      </c>
      <c r="EK137" s="228">
        <v>592.70000000000005</v>
      </c>
      <c r="EL137" s="228">
        <v>123.26</v>
      </c>
      <c r="EM137" s="228">
        <v>198.07</v>
      </c>
      <c r="EN137" s="228">
        <v>11.05</v>
      </c>
      <c r="EO137" s="228">
        <v>914.03</v>
      </c>
      <c r="EP137" s="228">
        <v>332.3</v>
      </c>
      <c r="EQ137" s="228">
        <v>581.73</v>
      </c>
      <c r="ER137" s="229">
        <v>1.7505999999999999</v>
      </c>
      <c r="ES137" s="228">
        <v>124.44</v>
      </c>
      <c r="ET137" s="228">
        <v>87.92</v>
      </c>
      <c r="EU137" s="228">
        <v>234.22</v>
      </c>
      <c r="EV137" s="231">
        <v>29196111</v>
      </c>
      <c r="EW137" s="228">
        <v>446.58</v>
      </c>
      <c r="EX137" s="228">
        <v>326.33</v>
      </c>
      <c r="EY137" s="228">
        <v>120.25</v>
      </c>
      <c r="EZ137" s="229">
        <v>0.36849999999999999</v>
      </c>
      <c r="FA137" s="229">
        <v>0.19450000000000001</v>
      </c>
      <c r="FB137" s="227" t="s">
        <v>555</v>
      </c>
      <c r="FC137">
        <f t="shared" si="2"/>
        <v>9</v>
      </c>
    </row>
    <row r="138" spans="1:159" ht="17.25" thickBot="1" x14ac:dyDescent="0.3">
      <c r="A138" s="226">
        <v>46129</v>
      </c>
      <c r="B138" s="227" t="s">
        <v>221</v>
      </c>
      <c r="C138" s="227" t="s">
        <v>487</v>
      </c>
      <c r="D138" s="228">
        <v>275</v>
      </c>
      <c r="E138" s="228">
        <v>11</v>
      </c>
      <c r="F138" s="231">
        <v>2470</v>
      </c>
      <c r="G138" s="231">
        <v>2448.5</v>
      </c>
      <c r="H138" s="228">
        <v>21.5</v>
      </c>
      <c r="I138" s="229">
        <v>8.8000000000000005E-3</v>
      </c>
      <c r="J138" s="231">
        <v>2462.1999999999998</v>
      </c>
      <c r="K138" s="231">
        <v>2441.8000000000002</v>
      </c>
      <c r="L138" s="228">
        <v>20.399999999999999</v>
      </c>
      <c r="M138" s="229">
        <v>8.3999999999999995E-3</v>
      </c>
      <c r="N138" s="231">
        <v>2470</v>
      </c>
      <c r="O138" s="231">
        <v>2448.5</v>
      </c>
      <c r="P138" s="228">
        <v>21.5</v>
      </c>
      <c r="Q138" s="229">
        <v>8.8000000000000005E-3</v>
      </c>
      <c r="R138" s="231">
        <v>2478.1</v>
      </c>
      <c r="S138" s="231">
        <v>2457.1</v>
      </c>
      <c r="T138" s="228">
        <v>21</v>
      </c>
      <c r="U138" s="229">
        <v>8.5000000000000006E-3</v>
      </c>
      <c r="V138" s="231">
        <v>2489.4</v>
      </c>
      <c r="W138" s="231">
        <v>2455</v>
      </c>
      <c r="X138" s="228">
        <v>34.4</v>
      </c>
      <c r="Y138" s="229">
        <v>1.4E-2</v>
      </c>
      <c r="Z138" s="228">
        <v>7.8</v>
      </c>
      <c r="AA138" s="228">
        <v>6.7</v>
      </c>
      <c r="AB138" s="228">
        <v>1.1000000000000001</v>
      </c>
      <c r="AC138" s="229">
        <v>3.2000000000000002E-3</v>
      </c>
      <c r="AD138" s="228">
        <v>7.8</v>
      </c>
      <c r="AE138" s="228">
        <v>6.7</v>
      </c>
      <c r="AF138" s="228">
        <v>1.1000000000000001</v>
      </c>
      <c r="AG138" s="229">
        <v>3.2000000000000002E-3</v>
      </c>
      <c r="AH138" s="228">
        <v>15.9</v>
      </c>
      <c r="AI138" s="228">
        <v>15.3</v>
      </c>
      <c r="AJ138" s="228">
        <v>0.6</v>
      </c>
      <c r="AK138" s="229">
        <v>6.4999999999999997E-3</v>
      </c>
      <c r="AL138" s="228">
        <v>27.2</v>
      </c>
      <c r="AM138" s="228">
        <v>13.2</v>
      </c>
      <c r="AN138" s="228">
        <v>14</v>
      </c>
      <c r="AO138" s="229">
        <v>1.0999999999999999E-2</v>
      </c>
      <c r="AP138" s="231">
        <v>2451.69</v>
      </c>
      <c r="AQ138" s="231">
        <v>2462.79</v>
      </c>
      <c r="AR138" s="228">
        <v>0</v>
      </c>
      <c r="AS138" s="228">
        <v>152</v>
      </c>
      <c r="AT138" s="228">
        <v>187</v>
      </c>
      <c r="AU138" s="228">
        <v>-36</v>
      </c>
      <c r="AV138" s="229">
        <v>-0.19059999999999999</v>
      </c>
      <c r="AW138" s="228">
        <v>143</v>
      </c>
      <c r="AX138" s="228">
        <v>163</v>
      </c>
      <c r="AY138" s="228">
        <v>-20</v>
      </c>
      <c r="AZ138" s="229">
        <v>-0.1222</v>
      </c>
      <c r="BA138" s="228">
        <v>8</v>
      </c>
      <c r="BB138" s="228">
        <v>22</v>
      </c>
      <c r="BC138" s="228">
        <v>-14</v>
      </c>
      <c r="BD138" s="229">
        <v>-0.6431</v>
      </c>
      <c r="BE138" s="228">
        <v>0</v>
      </c>
      <c r="BF138" s="228">
        <v>2</v>
      </c>
      <c r="BG138" s="228">
        <v>-2</v>
      </c>
      <c r="BH138" s="229">
        <v>-0.76670000000000005</v>
      </c>
      <c r="BI138" s="228">
        <v>244</v>
      </c>
      <c r="BJ138" s="228">
        <v>577</v>
      </c>
      <c r="BK138" s="228">
        <v>-334</v>
      </c>
      <c r="BL138" s="229">
        <v>-0.5776</v>
      </c>
      <c r="BM138" s="228">
        <v>186</v>
      </c>
      <c r="BN138" s="228">
        <v>188</v>
      </c>
      <c r="BO138" s="228">
        <v>-2</v>
      </c>
      <c r="BP138" s="229">
        <v>-1.1599999999999999E-2</v>
      </c>
      <c r="BQ138" s="228">
        <v>581</v>
      </c>
      <c r="BR138" s="228">
        <v>953</v>
      </c>
      <c r="BS138" s="228">
        <v>-371</v>
      </c>
      <c r="BT138" s="229">
        <v>-0.38990000000000002</v>
      </c>
      <c r="BU138" s="230">
        <v>490558</v>
      </c>
      <c r="BV138" s="230">
        <v>550381</v>
      </c>
      <c r="BW138" s="230">
        <v>-59823</v>
      </c>
      <c r="BX138" s="229">
        <v>-0.1087</v>
      </c>
      <c r="BY138" s="230">
        <v>1165</v>
      </c>
      <c r="BZ138" s="230">
        <v>1193</v>
      </c>
      <c r="CA138" s="228">
        <v>-27</v>
      </c>
      <c r="CB138" s="229">
        <v>-2.29E-2</v>
      </c>
      <c r="CC138" s="230">
        <v>1100</v>
      </c>
      <c r="CD138" s="230">
        <v>1127</v>
      </c>
      <c r="CE138" s="228">
        <v>-28</v>
      </c>
      <c r="CF138" s="229">
        <v>-2.4400000000000002E-2</v>
      </c>
      <c r="CG138" s="228">
        <v>64</v>
      </c>
      <c r="CH138" s="228">
        <v>64</v>
      </c>
      <c r="CI138" s="228">
        <v>0</v>
      </c>
      <c r="CJ138" s="229">
        <v>5.3E-3</v>
      </c>
      <c r="CK138" s="228">
        <v>2</v>
      </c>
      <c r="CL138" s="228">
        <v>2</v>
      </c>
      <c r="CM138" s="228">
        <v>0</v>
      </c>
      <c r="CN138" s="229">
        <v>-0.1111</v>
      </c>
      <c r="CO138" s="228">
        <v>293</v>
      </c>
      <c r="CP138" s="228">
        <v>308</v>
      </c>
      <c r="CQ138" s="228">
        <v>-15</v>
      </c>
      <c r="CR138" s="229">
        <v>-4.7699999999999999E-2</v>
      </c>
      <c r="CS138" s="228">
        <v>228</v>
      </c>
      <c r="CT138" s="228">
        <v>241</v>
      </c>
      <c r="CU138" s="228">
        <v>-13</v>
      </c>
      <c r="CV138" s="229">
        <v>-5.3800000000000001E-2</v>
      </c>
      <c r="CW138" s="230">
        <v>1687</v>
      </c>
      <c r="CX138" s="230">
        <v>1742</v>
      </c>
      <c r="CY138" s="228">
        <v>-55</v>
      </c>
      <c r="CZ138" s="229">
        <v>-3.1600000000000003E-2</v>
      </c>
      <c r="DA138" s="228">
        <v>35.29</v>
      </c>
      <c r="DB138" s="228">
        <v>36.22</v>
      </c>
      <c r="DC138" s="228">
        <v>-0.93</v>
      </c>
      <c r="DD138" s="228">
        <v>-0.93</v>
      </c>
      <c r="DE138" s="228">
        <v>36.450000000000003</v>
      </c>
      <c r="DF138" s="228">
        <v>36.520000000000003</v>
      </c>
      <c r="DG138" s="228">
        <v>-1.1599999999999999</v>
      </c>
      <c r="DH138" s="228">
        <v>-7.0000000000000007E-2</v>
      </c>
      <c r="DI138" s="228">
        <v>33.43</v>
      </c>
      <c r="DJ138" s="228">
        <v>35.25</v>
      </c>
      <c r="DK138" s="228">
        <v>-1.82</v>
      </c>
      <c r="DL138" s="228">
        <v>-1.82</v>
      </c>
      <c r="DM138" s="228">
        <v>37.729999999999997</v>
      </c>
      <c r="DN138" s="228">
        <v>39.22</v>
      </c>
      <c r="DO138" s="228">
        <v>-1.49</v>
      </c>
      <c r="DP138" s="228">
        <v>-1.49</v>
      </c>
      <c r="DQ138" s="228">
        <v>0.78</v>
      </c>
      <c r="DR138" s="228">
        <v>0.78</v>
      </c>
      <c r="DS138" s="228">
        <v>0</v>
      </c>
      <c r="DT138" s="229">
        <v>0</v>
      </c>
      <c r="DU138" s="231">
        <v>2600</v>
      </c>
      <c r="DV138" s="231">
        <v>2300</v>
      </c>
      <c r="DW138" s="228">
        <v>0.76</v>
      </c>
      <c r="DX138" s="228">
        <v>0.33</v>
      </c>
      <c r="DY138" s="228">
        <v>0.43</v>
      </c>
      <c r="DZ138" s="229">
        <v>1.3029999999999999</v>
      </c>
      <c r="EA138" s="229">
        <v>5.6399999999999999E-2</v>
      </c>
      <c r="EB138" s="230">
        <v>265375</v>
      </c>
      <c r="EC138" s="229">
        <v>3.3E-3</v>
      </c>
      <c r="ED138" s="229">
        <v>5.6399999999999999E-2</v>
      </c>
      <c r="EE138" s="228">
        <v>11.1</v>
      </c>
      <c r="EF138" s="229">
        <v>4.4999999999999997E-3</v>
      </c>
      <c r="EG138" s="230">
        <v>249876</v>
      </c>
      <c r="EH138" s="230">
        <v>215607</v>
      </c>
      <c r="EI138" s="229">
        <v>0.15890000000000001</v>
      </c>
      <c r="EJ138" s="229">
        <v>0.50939999999999996</v>
      </c>
      <c r="EK138" s="228">
        <v>251.37</v>
      </c>
      <c r="EL138" s="228">
        <v>174.87</v>
      </c>
      <c r="EM138" s="228">
        <v>150.66</v>
      </c>
      <c r="EN138" s="228">
        <v>46.05</v>
      </c>
      <c r="EO138" s="228">
        <v>576.89</v>
      </c>
      <c r="EP138" s="228">
        <v>959.14</v>
      </c>
      <c r="EQ138" s="228">
        <v>-382.25</v>
      </c>
      <c r="ER138" s="229">
        <v>-0.39850000000000002</v>
      </c>
      <c r="ES138" s="228">
        <v>287.48</v>
      </c>
      <c r="ET138" s="228">
        <v>208.62</v>
      </c>
      <c r="EU138" s="231">
        <v>1165.68</v>
      </c>
      <c r="EV138" s="231">
        <v>19838356</v>
      </c>
      <c r="EW138" s="231">
        <v>1661.78</v>
      </c>
      <c r="EX138" s="231">
        <v>1704.57</v>
      </c>
      <c r="EY138" s="228">
        <v>-42.79</v>
      </c>
      <c r="EZ138" s="229">
        <v>-2.5100000000000001E-2</v>
      </c>
      <c r="FA138" s="229">
        <v>0.34429999999999999</v>
      </c>
      <c r="FB138" s="227" t="s">
        <v>693</v>
      </c>
      <c r="FC138">
        <f t="shared" si="2"/>
        <v>65</v>
      </c>
    </row>
    <row r="139" spans="1:159" ht="17.25" thickBot="1" x14ac:dyDescent="0.3">
      <c r="A139" s="226">
        <v>46129</v>
      </c>
      <c r="B139" s="227" t="s">
        <v>175</v>
      </c>
      <c r="C139" s="227" t="s">
        <v>262</v>
      </c>
      <c r="D139" s="228">
        <v>275</v>
      </c>
      <c r="E139" s="228">
        <v>11</v>
      </c>
      <c r="F139" s="231">
        <v>3572</v>
      </c>
      <c r="G139" s="231">
        <v>3549.6</v>
      </c>
      <c r="H139" s="228">
        <v>22.4</v>
      </c>
      <c r="I139" s="229">
        <v>6.3E-3</v>
      </c>
      <c r="J139" s="231">
        <v>3571.3</v>
      </c>
      <c r="K139" s="231">
        <v>3578</v>
      </c>
      <c r="L139" s="228">
        <v>-6.7</v>
      </c>
      <c r="M139" s="229">
        <v>-1.9E-3</v>
      </c>
      <c r="N139" s="231">
        <v>3572</v>
      </c>
      <c r="O139" s="231">
        <v>3549.6</v>
      </c>
      <c r="P139" s="228">
        <v>22.4</v>
      </c>
      <c r="Q139" s="229">
        <v>6.3E-3</v>
      </c>
      <c r="R139" s="231">
        <v>3578.8</v>
      </c>
      <c r="S139" s="231">
        <v>3558.9</v>
      </c>
      <c r="T139" s="228">
        <v>19.899999999999999</v>
      </c>
      <c r="U139" s="229">
        <v>5.5999999999999999E-3</v>
      </c>
      <c r="V139" s="231">
        <v>3595.2</v>
      </c>
      <c r="W139" s="231">
        <v>3574.4</v>
      </c>
      <c r="X139" s="228">
        <v>20.8</v>
      </c>
      <c r="Y139" s="229">
        <v>5.7999999999999996E-3</v>
      </c>
      <c r="Z139" s="228">
        <v>0.7</v>
      </c>
      <c r="AA139" s="228">
        <v>-28.4</v>
      </c>
      <c r="AB139" s="228">
        <v>29.1</v>
      </c>
      <c r="AC139" s="229">
        <v>2.0000000000000001E-4</v>
      </c>
      <c r="AD139" s="228">
        <v>0.7</v>
      </c>
      <c r="AE139" s="228">
        <v>-28.4</v>
      </c>
      <c r="AF139" s="228">
        <v>29.1</v>
      </c>
      <c r="AG139" s="229">
        <v>2.0000000000000001E-4</v>
      </c>
      <c r="AH139" s="228">
        <v>7.5</v>
      </c>
      <c r="AI139" s="228">
        <v>-19.100000000000001</v>
      </c>
      <c r="AJ139" s="228">
        <v>26.6</v>
      </c>
      <c r="AK139" s="229">
        <v>2.0999999999999999E-3</v>
      </c>
      <c r="AL139" s="228">
        <v>23.9</v>
      </c>
      <c r="AM139" s="228">
        <v>-3.6</v>
      </c>
      <c r="AN139" s="228">
        <v>27.5</v>
      </c>
      <c r="AO139" s="229">
        <v>6.7000000000000002E-3</v>
      </c>
      <c r="AP139" s="231">
        <v>3545.65</v>
      </c>
      <c r="AQ139" s="231">
        <v>3547.45</v>
      </c>
      <c r="AR139" s="228">
        <v>0</v>
      </c>
      <c r="AS139" s="228">
        <v>361</v>
      </c>
      <c r="AT139" s="228">
        <v>279</v>
      </c>
      <c r="AU139" s="228">
        <v>81</v>
      </c>
      <c r="AV139" s="229">
        <v>0.2918</v>
      </c>
      <c r="AW139" s="228">
        <v>313</v>
      </c>
      <c r="AX139" s="228">
        <v>248</v>
      </c>
      <c r="AY139" s="228">
        <v>65</v>
      </c>
      <c r="AZ139" s="229">
        <v>0.26219999999999999</v>
      </c>
      <c r="BA139" s="228">
        <v>46</v>
      </c>
      <c r="BB139" s="228">
        <v>27</v>
      </c>
      <c r="BC139" s="228">
        <v>19</v>
      </c>
      <c r="BD139" s="229">
        <v>0.71319999999999995</v>
      </c>
      <c r="BE139" s="228">
        <v>2</v>
      </c>
      <c r="BF139" s="228">
        <v>4</v>
      </c>
      <c r="BG139" s="228">
        <v>-3</v>
      </c>
      <c r="BH139" s="229">
        <v>-0.61360000000000003</v>
      </c>
      <c r="BI139" s="230">
        <v>1744</v>
      </c>
      <c r="BJ139" s="228">
        <v>929</v>
      </c>
      <c r="BK139" s="228">
        <v>815</v>
      </c>
      <c r="BL139" s="229">
        <v>0.87670000000000003</v>
      </c>
      <c r="BM139" s="228">
        <v>894</v>
      </c>
      <c r="BN139" s="228">
        <v>456</v>
      </c>
      <c r="BO139" s="228">
        <v>438</v>
      </c>
      <c r="BP139" s="229">
        <v>0.96140000000000003</v>
      </c>
      <c r="BQ139" s="230">
        <v>2998</v>
      </c>
      <c r="BR139" s="230">
        <v>1664</v>
      </c>
      <c r="BS139" s="230">
        <v>1334</v>
      </c>
      <c r="BT139" s="229">
        <v>0.80179999999999996</v>
      </c>
      <c r="BU139" s="230">
        <v>671923</v>
      </c>
      <c r="BV139" s="230">
        <v>750842</v>
      </c>
      <c r="BW139" s="230">
        <v>-78919</v>
      </c>
      <c r="BX139" s="229">
        <v>-0.1051</v>
      </c>
      <c r="BY139" s="230">
        <v>1396</v>
      </c>
      <c r="BZ139" s="230">
        <v>1370</v>
      </c>
      <c r="CA139" s="228">
        <v>25</v>
      </c>
      <c r="CB139" s="229">
        <v>1.8599999999999998E-2</v>
      </c>
      <c r="CC139" s="230">
        <v>1313</v>
      </c>
      <c r="CD139" s="230">
        <v>1308</v>
      </c>
      <c r="CE139" s="228">
        <v>5</v>
      </c>
      <c r="CF139" s="229">
        <v>3.8E-3</v>
      </c>
      <c r="CG139" s="228">
        <v>74</v>
      </c>
      <c r="CH139" s="228">
        <v>54</v>
      </c>
      <c r="CI139" s="228">
        <v>20</v>
      </c>
      <c r="CJ139" s="229">
        <v>0.36280000000000001</v>
      </c>
      <c r="CK139" s="228">
        <v>9</v>
      </c>
      <c r="CL139" s="228">
        <v>8</v>
      </c>
      <c r="CM139" s="228">
        <v>1</v>
      </c>
      <c r="CN139" s="229">
        <v>8.6400000000000005E-2</v>
      </c>
      <c r="CO139" s="228">
        <v>843</v>
      </c>
      <c r="CP139" s="228">
        <v>782</v>
      </c>
      <c r="CQ139" s="228">
        <v>61</v>
      </c>
      <c r="CR139" s="229">
        <v>7.7600000000000002E-2</v>
      </c>
      <c r="CS139" s="228">
        <v>514</v>
      </c>
      <c r="CT139" s="228">
        <v>526</v>
      </c>
      <c r="CU139" s="228">
        <v>-12</v>
      </c>
      <c r="CV139" s="229">
        <v>-2.3E-2</v>
      </c>
      <c r="CW139" s="230">
        <v>2752</v>
      </c>
      <c r="CX139" s="230">
        <v>2678</v>
      </c>
      <c r="CY139" s="228">
        <v>74</v>
      </c>
      <c r="CZ139" s="229">
        <v>2.7699999999999999E-2</v>
      </c>
      <c r="DA139" s="228">
        <v>35.81</v>
      </c>
      <c r="DB139" s="228">
        <v>37.21</v>
      </c>
      <c r="DC139" s="228">
        <v>-1.4</v>
      </c>
      <c r="DD139" s="228">
        <v>-1.4</v>
      </c>
      <c r="DE139" s="228">
        <v>44.26</v>
      </c>
      <c r="DF139" s="228">
        <v>44.37</v>
      </c>
      <c r="DG139" s="228">
        <v>-8.4499999999999993</v>
      </c>
      <c r="DH139" s="228">
        <v>-0.11</v>
      </c>
      <c r="DI139" s="228">
        <v>34.75</v>
      </c>
      <c r="DJ139" s="228">
        <v>36.33</v>
      </c>
      <c r="DK139" s="228">
        <v>-1.58</v>
      </c>
      <c r="DL139" s="228">
        <v>-1.58</v>
      </c>
      <c r="DM139" s="228">
        <v>37.869999999999997</v>
      </c>
      <c r="DN139" s="228">
        <v>39.01</v>
      </c>
      <c r="DO139" s="228">
        <v>-1.1399999999999999</v>
      </c>
      <c r="DP139" s="228">
        <v>-1.1399999999999999</v>
      </c>
      <c r="DQ139" s="228">
        <v>0.61</v>
      </c>
      <c r="DR139" s="228">
        <v>0.67</v>
      </c>
      <c r="DS139" s="228">
        <v>-0.06</v>
      </c>
      <c r="DT139" s="229">
        <v>-8.9599999999999999E-2</v>
      </c>
      <c r="DU139" s="231">
        <v>3500</v>
      </c>
      <c r="DV139" s="231">
        <v>3500</v>
      </c>
      <c r="DW139" s="228">
        <v>0.51</v>
      </c>
      <c r="DX139" s="228">
        <v>0.49</v>
      </c>
      <c r="DY139" s="228">
        <v>0.02</v>
      </c>
      <c r="DZ139" s="229">
        <v>4.0800000000000003E-2</v>
      </c>
      <c r="EA139" s="229">
        <v>5.9299999999999999E-2</v>
      </c>
      <c r="EB139" s="230">
        <v>174625</v>
      </c>
      <c r="EC139" s="229">
        <v>1.9E-3</v>
      </c>
      <c r="ED139" s="229">
        <v>5.9299999999999999E-2</v>
      </c>
      <c r="EE139" s="228">
        <v>1.8</v>
      </c>
      <c r="EF139" s="229">
        <v>5.0000000000000001E-4</v>
      </c>
      <c r="EG139" s="230">
        <v>252755</v>
      </c>
      <c r="EH139" s="230">
        <v>346160</v>
      </c>
      <c r="EI139" s="229">
        <v>-0.26979999999999998</v>
      </c>
      <c r="EJ139" s="229">
        <v>0.37619999999999998</v>
      </c>
      <c r="EK139" s="231">
        <v>1818.28</v>
      </c>
      <c r="EL139" s="228">
        <v>876.2</v>
      </c>
      <c r="EM139" s="228">
        <v>357.88</v>
      </c>
      <c r="EN139" s="228">
        <v>36.409999999999997</v>
      </c>
      <c r="EO139" s="231">
        <v>3052.36</v>
      </c>
      <c r="EP139" s="231">
        <v>1709.66</v>
      </c>
      <c r="EQ139" s="231">
        <v>1342.7</v>
      </c>
      <c r="ER139" s="229">
        <v>0.78539999999999999</v>
      </c>
      <c r="ES139" s="228">
        <v>849.47</v>
      </c>
      <c r="ET139" s="228">
        <v>476.13</v>
      </c>
      <c r="EU139" s="231">
        <v>1395.95</v>
      </c>
      <c r="EV139" s="231">
        <v>16050690</v>
      </c>
      <c r="EW139" s="231">
        <v>2721.54</v>
      </c>
      <c r="EX139" s="231">
        <v>2634.47</v>
      </c>
      <c r="EY139" s="228">
        <v>87.07</v>
      </c>
      <c r="EZ139" s="229">
        <v>3.3099999999999997E-2</v>
      </c>
      <c r="FA139" s="229">
        <v>0.48</v>
      </c>
      <c r="FB139" s="227" t="s">
        <v>555</v>
      </c>
      <c r="FC139">
        <f t="shared" si="2"/>
        <v>83</v>
      </c>
    </row>
    <row r="140" spans="1:159" ht="17.25" thickBot="1" x14ac:dyDescent="0.3">
      <c r="A140" s="226">
        <v>46129</v>
      </c>
      <c r="B140" s="227" t="s">
        <v>175</v>
      </c>
      <c r="C140" s="227" t="s">
        <v>486</v>
      </c>
      <c r="D140" s="228">
        <v>625</v>
      </c>
      <c r="E140" s="228">
        <v>11</v>
      </c>
      <c r="F140" s="231">
        <v>1000.05</v>
      </c>
      <c r="G140" s="228">
        <v>963.9</v>
      </c>
      <c r="H140" s="228">
        <v>36.15</v>
      </c>
      <c r="I140" s="229">
        <v>3.7499999999999999E-2</v>
      </c>
      <c r="J140" s="231">
        <v>1015.05</v>
      </c>
      <c r="K140" s="228">
        <v>964.85</v>
      </c>
      <c r="L140" s="228">
        <v>50.2</v>
      </c>
      <c r="M140" s="229">
        <v>5.1999999999999998E-2</v>
      </c>
      <c r="N140" s="231">
        <v>1000.05</v>
      </c>
      <c r="O140" s="228">
        <v>963.9</v>
      </c>
      <c r="P140" s="228">
        <v>36.15</v>
      </c>
      <c r="Q140" s="229">
        <v>3.7499999999999999E-2</v>
      </c>
      <c r="R140" s="228">
        <v>989.9</v>
      </c>
      <c r="S140" s="228">
        <v>955.8</v>
      </c>
      <c r="T140" s="228">
        <v>34.1</v>
      </c>
      <c r="U140" s="229">
        <v>3.5700000000000003E-2</v>
      </c>
      <c r="V140" s="228">
        <v>969.15</v>
      </c>
      <c r="W140" s="228">
        <v>952.2</v>
      </c>
      <c r="X140" s="228">
        <v>16.95</v>
      </c>
      <c r="Y140" s="229">
        <v>1.78E-2</v>
      </c>
      <c r="Z140" s="228">
        <v>-15</v>
      </c>
      <c r="AA140" s="228">
        <v>-0.95</v>
      </c>
      <c r="AB140" s="228">
        <v>-14.05</v>
      </c>
      <c r="AC140" s="229">
        <v>-1.4800000000000001E-2</v>
      </c>
      <c r="AD140" s="228">
        <v>-15</v>
      </c>
      <c r="AE140" s="228">
        <v>-0.95</v>
      </c>
      <c r="AF140" s="228">
        <v>-14.05</v>
      </c>
      <c r="AG140" s="229">
        <v>-1.4800000000000001E-2</v>
      </c>
      <c r="AH140" s="228">
        <v>-25.15</v>
      </c>
      <c r="AI140" s="228">
        <v>-9.0500000000000007</v>
      </c>
      <c r="AJ140" s="228">
        <v>-16.100000000000001</v>
      </c>
      <c r="AK140" s="229">
        <v>-2.4799999999999999E-2</v>
      </c>
      <c r="AL140" s="228">
        <v>-45.9</v>
      </c>
      <c r="AM140" s="228">
        <v>-12.65</v>
      </c>
      <c r="AN140" s="228">
        <v>-33.25</v>
      </c>
      <c r="AO140" s="229">
        <v>-4.5199999999999997E-2</v>
      </c>
      <c r="AP140" s="228">
        <v>993.9</v>
      </c>
      <c r="AQ140" s="228">
        <v>985.58</v>
      </c>
      <c r="AR140" s="228">
        <v>0</v>
      </c>
      <c r="AS140" s="228">
        <v>154</v>
      </c>
      <c r="AT140" s="228">
        <v>89</v>
      </c>
      <c r="AU140" s="228">
        <v>65</v>
      </c>
      <c r="AV140" s="229">
        <v>0.72799999999999998</v>
      </c>
      <c r="AW140" s="228">
        <v>121</v>
      </c>
      <c r="AX140" s="228">
        <v>84</v>
      </c>
      <c r="AY140" s="228">
        <v>37</v>
      </c>
      <c r="AZ140" s="229">
        <v>0.43459999999999999</v>
      </c>
      <c r="BA140" s="228">
        <v>33</v>
      </c>
      <c r="BB140" s="228">
        <v>5</v>
      </c>
      <c r="BC140" s="228">
        <v>28</v>
      </c>
      <c r="BD140" s="229">
        <v>6.1369999999999996</v>
      </c>
      <c r="BE140" s="228">
        <v>0</v>
      </c>
      <c r="BF140" s="228">
        <v>0</v>
      </c>
      <c r="BG140" s="228">
        <v>0</v>
      </c>
      <c r="BH140" s="229">
        <v>0.75</v>
      </c>
      <c r="BI140" s="228">
        <v>264</v>
      </c>
      <c r="BJ140" s="228">
        <v>177</v>
      </c>
      <c r="BK140" s="228">
        <v>87</v>
      </c>
      <c r="BL140" s="229">
        <v>0.48849999999999999</v>
      </c>
      <c r="BM140" s="228">
        <v>68</v>
      </c>
      <c r="BN140" s="228">
        <v>224</v>
      </c>
      <c r="BO140" s="228">
        <v>-156</v>
      </c>
      <c r="BP140" s="229">
        <v>-0.69599999999999995</v>
      </c>
      <c r="BQ140" s="228">
        <v>485</v>
      </c>
      <c r="BR140" s="228">
        <v>490</v>
      </c>
      <c r="BS140" s="228">
        <v>-4</v>
      </c>
      <c r="BT140" s="229">
        <v>-8.6999999999999994E-3</v>
      </c>
      <c r="BU140" s="230">
        <v>2395614</v>
      </c>
      <c r="BV140" s="230">
        <v>1493635</v>
      </c>
      <c r="BW140" s="230">
        <v>901979</v>
      </c>
      <c r="BX140" s="229">
        <v>0.60389999999999999</v>
      </c>
      <c r="BY140" s="228">
        <v>319</v>
      </c>
      <c r="BZ140" s="228">
        <v>254</v>
      </c>
      <c r="CA140" s="228">
        <v>65</v>
      </c>
      <c r="CB140" s="229">
        <v>0.2555</v>
      </c>
      <c r="CC140" s="228">
        <v>291</v>
      </c>
      <c r="CD140" s="228">
        <v>240</v>
      </c>
      <c r="CE140" s="228">
        <v>51</v>
      </c>
      <c r="CF140" s="229">
        <v>0.21440000000000001</v>
      </c>
      <c r="CG140" s="228">
        <v>27</v>
      </c>
      <c r="CH140" s="228">
        <v>13</v>
      </c>
      <c r="CI140" s="228">
        <v>14</v>
      </c>
      <c r="CJ140" s="229">
        <v>1.0481</v>
      </c>
      <c r="CK140" s="228">
        <v>1</v>
      </c>
      <c r="CL140" s="228">
        <v>1</v>
      </c>
      <c r="CM140" s="228">
        <v>0</v>
      </c>
      <c r="CN140" s="229">
        <v>-0.33329999999999999</v>
      </c>
      <c r="CO140" s="228">
        <v>73</v>
      </c>
      <c r="CP140" s="228">
        <v>77</v>
      </c>
      <c r="CQ140" s="228">
        <v>-4</v>
      </c>
      <c r="CR140" s="229">
        <v>-4.7300000000000002E-2</v>
      </c>
      <c r="CS140" s="228">
        <v>53</v>
      </c>
      <c r="CT140" s="228">
        <v>44</v>
      </c>
      <c r="CU140" s="228">
        <v>9</v>
      </c>
      <c r="CV140" s="229">
        <v>0.1913</v>
      </c>
      <c r="CW140" s="228">
        <v>444</v>
      </c>
      <c r="CX140" s="228">
        <v>375</v>
      </c>
      <c r="CY140" s="228">
        <v>70</v>
      </c>
      <c r="CZ140" s="229">
        <v>0.186</v>
      </c>
      <c r="DA140" s="228">
        <v>49.63</v>
      </c>
      <c r="DB140" s="228">
        <v>63.05</v>
      </c>
      <c r="DC140" s="228">
        <v>-13.42</v>
      </c>
      <c r="DD140" s="228">
        <v>-13.42</v>
      </c>
      <c r="DE140" s="228">
        <v>49.99</v>
      </c>
      <c r="DF140" s="228">
        <v>49.64</v>
      </c>
      <c r="DG140" s="228">
        <v>-0.36</v>
      </c>
      <c r="DH140" s="228">
        <v>0.35</v>
      </c>
      <c r="DI140" s="228">
        <v>47.62</v>
      </c>
      <c r="DJ140" s="228">
        <v>49.16</v>
      </c>
      <c r="DK140" s="228">
        <v>-1.54</v>
      </c>
      <c r="DL140" s="228">
        <v>-1.54</v>
      </c>
      <c r="DM140" s="228">
        <v>57.45</v>
      </c>
      <c r="DN140" s="228">
        <v>74.06</v>
      </c>
      <c r="DO140" s="228">
        <v>-16.61</v>
      </c>
      <c r="DP140" s="228">
        <v>-16.61</v>
      </c>
      <c r="DQ140" s="228">
        <v>0.73</v>
      </c>
      <c r="DR140" s="228">
        <v>0.57999999999999996</v>
      </c>
      <c r="DS140" s="228">
        <v>0.15</v>
      </c>
      <c r="DT140" s="229">
        <v>0.2586</v>
      </c>
      <c r="DU140" s="231">
        <v>1000</v>
      </c>
      <c r="DV140" s="231">
        <v>1000</v>
      </c>
      <c r="DW140" s="228">
        <v>0.26</v>
      </c>
      <c r="DX140" s="228">
        <v>1.26</v>
      </c>
      <c r="DY140" s="228">
        <v>-1</v>
      </c>
      <c r="DZ140" s="229">
        <v>-0.79369999999999996</v>
      </c>
      <c r="EA140" s="229">
        <v>8.5199999999999998E-2</v>
      </c>
      <c r="EB140" s="230">
        <v>137500</v>
      </c>
      <c r="EC140" s="229">
        <v>-1.01E-2</v>
      </c>
      <c r="ED140" s="229">
        <v>8.5199999999999998E-2</v>
      </c>
      <c r="EE140" s="228">
        <v>-8.32</v>
      </c>
      <c r="EF140" s="229">
        <v>-8.3999999999999995E-3</v>
      </c>
      <c r="EG140" s="230">
        <v>1302884</v>
      </c>
      <c r="EH140" s="230">
        <v>942545</v>
      </c>
      <c r="EI140" s="229">
        <v>0.38229999999999997</v>
      </c>
      <c r="EJ140" s="229">
        <v>0.54390000000000005</v>
      </c>
      <c r="EK140" s="228">
        <v>274.31</v>
      </c>
      <c r="EL140" s="228">
        <v>61.86</v>
      </c>
      <c r="EM140" s="228">
        <v>152.47</v>
      </c>
      <c r="EN140" s="228">
        <v>18.75</v>
      </c>
      <c r="EO140" s="228">
        <v>488.64</v>
      </c>
      <c r="EP140" s="228">
        <v>440.4</v>
      </c>
      <c r="EQ140" s="228">
        <v>48.24</v>
      </c>
      <c r="ER140" s="229">
        <v>0.1095</v>
      </c>
      <c r="ES140" s="228">
        <v>71.900000000000006</v>
      </c>
      <c r="ET140" s="228">
        <v>46.23</v>
      </c>
      <c r="EU140" s="228">
        <v>318.23</v>
      </c>
      <c r="EV140" s="231">
        <v>26709548</v>
      </c>
      <c r="EW140" s="228">
        <v>436.36</v>
      </c>
      <c r="EX140" s="228">
        <v>356.92</v>
      </c>
      <c r="EY140" s="228">
        <v>79.44</v>
      </c>
      <c r="EZ140" s="229">
        <v>0.22259999999999999</v>
      </c>
      <c r="FA140" s="229">
        <v>0.16639999999999999</v>
      </c>
      <c r="FB140" s="227" t="s">
        <v>555</v>
      </c>
      <c r="FC140">
        <f t="shared" si="2"/>
        <v>28</v>
      </c>
    </row>
    <row r="141" spans="1:159" ht="17.25" thickBot="1" x14ac:dyDescent="0.3">
      <c r="A141" s="226">
        <v>46129</v>
      </c>
      <c r="B141" s="227" t="s">
        <v>227</v>
      </c>
      <c r="C141" s="227" t="s">
        <v>263</v>
      </c>
      <c r="D141" s="228">
        <v>3750</v>
      </c>
      <c r="E141" s="228">
        <v>11</v>
      </c>
      <c r="F141" s="228">
        <v>438.65</v>
      </c>
      <c r="G141" s="228">
        <v>434</v>
      </c>
      <c r="H141" s="228">
        <v>4.6500000000000004</v>
      </c>
      <c r="I141" s="229">
        <v>1.0699999999999999E-2</v>
      </c>
      <c r="J141" s="228">
        <v>438.75</v>
      </c>
      <c r="K141" s="228">
        <v>432.7</v>
      </c>
      <c r="L141" s="228">
        <v>6.05</v>
      </c>
      <c r="M141" s="229">
        <v>1.4E-2</v>
      </c>
      <c r="N141" s="228">
        <v>438.65</v>
      </c>
      <c r="O141" s="228">
        <v>434</v>
      </c>
      <c r="P141" s="228">
        <v>4.6500000000000004</v>
      </c>
      <c r="Q141" s="229">
        <v>1.0699999999999999E-2</v>
      </c>
      <c r="R141" s="228">
        <v>440.5</v>
      </c>
      <c r="S141" s="228">
        <v>436.15</v>
      </c>
      <c r="T141" s="228">
        <v>4.3499999999999996</v>
      </c>
      <c r="U141" s="229">
        <v>0.01</v>
      </c>
      <c r="V141" s="228">
        <v>442.3</v>
      </c>
      <c r="W141" s="228">
        <v>438.7</v>
      </c>
      <c r="X141" s="228">
        <v>3.6</v>
      </c>
      <c r="Y141" s="229">
        <v>8.2000000000000007E-3</v>
      </c>
      <c r="Z141" s="228">
        <v>-0.1</v>
      </c>
      <c r="AA141" s="228">
        <v>1.3</v>
      </c>
      <c r="AB141" s="228">
        <v>-1.4</v>
      </c>
      <c r="AC141" s="229">
        <v>-2.0000000000000001E-4</v>
      </c>
      <c r="AD141" s="228">
        <v>-0.1</v>
      </c>
      <c r="AE141" s="228">
        <v>1.3</v>
      </c>
      <c r="AF141" s="228">
        <v>-1.4</v>
      </c>
      <c r="AG141" s="229">
        <v>-2.0000000000000001E-4</v>
      </c>
      <c r="AH141" s="228">
        <v>1.75</v>
      </c>
      <c r="AI141" s="228">
        <v>3.45</v>
      </c>
      <c r="AJ141" s="228">
        <v>-1.7</v>
      </c>
      <c r="AK141" s="229">
        <v>4.0000000000000001E-3</v>
      </c>
      <c r="AL141" s="228">
        <v>3.55</v>
      </c>
      <c r="AM141" s="228">
        <v>6</v>
      </c>
      <c r="AN141" s="228">
        <v>-2.4500000000000002</v>
      </c>
      <c r="AO141" s="229">
        <v>8.0999999999999996E-3</v>
      </c>
      <c r="AP141" s="228">
        <v>433.49</v>
      </c>
      <c r="AQ141" s="228">
        <v>436.07</v>
      </c>
      <c r="AR141" s="228">
        <v>0</v>
      </c>
      <c r="AS141" s="228">
        <v>785</v>
      </c>
      <c r="AT141" s="230">
        <v>1006</v>
      </c>
      <c r="AU141" s="228">
        <v>-220</v>
      </c>
      <c r="AV141" s="229">
        <v>-0.219</v>
      </c>
      <c r="AW141" s="228">
        <v>677</v>
      </c>
      <c r="AX141" s="228">
        <v>885</v>
      </c>
      <c r="AY141" s="228">
        <v>-208</v>
      </c>
      <c r="AZ141" s="229">
        <v>-0.23530000000000001</v>
      </c>
      <c r="BA141" s="228">
        <v>99</v>
      </c>
      <c r="BB141" s="228">
        <v>105</v>
      </c>
      <c r="BC141" s="228">
        <v>-6</v>
      </c>
      <c r="BD141" s="229">
        <v>-5.6300000000000003E-2</v>
      </c>
      <c r="BE141" s="228">
        <v>10</v>
      </c>
      <c r="BF141" s="228">
        <v>16</v>
      </c>
      <c r="BG141" s="228">
        <v>-6</v>
      </c>
      <c r="BH141" s="229">
        <v>-0.38950000000000001</v>
      </c>
      <c r="BI141" s="230">
        <v>2663</v>
      </c>
      <c r="BJ141" s="230">
        <v>3992</v>
      </c>
      <c r="BK141" s="230">
        <v>-1329</v>
      </c>
      <c r="BL141" s="229">
        <v>-0.33289999999999997</v>
      </c>
      <c r="BM141" s="230">
        <v>1454</v>
      </c>
      <c r="BN141" s="230">
        <v>1600</v>
      </c>
      <c r="BO141" s="228">
        <v>-146</v>
      </c>
      <c r="BP141" s="229">
        <v>-9.0999999999999998E-2</v>
      </c>
      <c r="BQ141" s="230">
        <v>4902</v>
      </c>
      <c r="BR141" s="230">
        <v>6597</v>
      </c>
      <c r="BS141" s="230">
        <v>-1695</v>
      </c>
      <c r="BT141" s="229">
        <v>-0.25690000000000002</v>
      </c>
      <c r="BU141" s="230">
        <v>9158674</v>
      </c>
      <c r="BV141" s="230">
        <v>13984467</v>
      </c>
      <c r="BW141" s="230">
        <v>-4825793</v>
      </c>
      <c r="BX141" s="229">
        <v>-0.34510000000000002</v>
      </c>
      <c r="BY141" s="230">
        <v>2374</v>
      </c>
      <c r="BZ141" s="230">
        <v>2376</v>
      </c>
      <c r="CA141" s="228">
        <v>-2</v>
      </c>
      <c r="CB141" s="229">
        <v>-8.9999999999999998E-4</v>
      </c>
      <c r="CC141" s="230">
        <v>2243</v>
      </c>
      <c r="CD141" s="230">
        <v>2251</v>
      </c>
      <c r="CE141" s="228">
        <v>-8</v>
      </c>
      <c r="CF141" s="229">
        <v>-3.3999999999999998E-3</v>
      </c>
      <c r="CG141" s="228">
        <v>112</v>
      </c>
      <c r="CH141" s="228">
        <v>108</v>
      </c>
      <c r="CI141" s="228">
        <v>4</v>
      </c>
      <c r="CJ141" s="229">
        <v>3.6600000000000001E-2</v>
      </c>
      <c r="CK141" s="228">
        <v>19</v>
      </c>
      <c r="CL141" s="228">
        <v>18</v>
      </c>
      <c r="CM141" s="228">
        <v>2</v>
      </c>
      <c r="CN141" s="229">
        <v>9.35E-2</v>
      </c>
      <c r="CO141" s="230">
        <v>1496</v>
      </c>
      <c r="CP141" s="230">
        <v>1569</v>
      </c>
      <c r="CQ141" s="228">
        <v>-73</v>
      </c>
      <c r="CR141" s="229">
        <v>-4.65E-2</v>
      </c>
      <c r="CS141" s="230">
        <v>1493</v>
      </c>
      <c r="CT141" s="230">
        <v>1455</v>
      </c>
      <c r="CU141" s="228">
        <v>38</v>
      </c>
      <c r="CV141" s="229">
        <v>2.6499999999999999E-2</v>
      </c>
      <c r="CW141" s="230">
        <v>5363</v>
      </c>
      <c r="CX141" s="230">
        <v>5400</v>
      </c>
      <c r="CY141" s="228">
        <v>-37</v>
      </c>
      <c r="CZ141" s="229">
        <v>-6.7999999999999996E-3</v>
      </c>
      <c r="DA141" s="228">
        <v>40.85</v>
      </c>
      <c r="DB141" s="228">
        <v>41.92</v>
      </c>
      <c r="DC141" s="228">
        <v>-1.07</v>
      </c>
      <c r="DD141" s="228">
        <v>-1.07</v>
      </c>
      <c r="DE141" s="228">
        <v>51.68</v>
      </c>
      <c r="DF141" s="228">
        <v>51.78</v>
      </c>
      <c r="DG141" s="228">
        <v>-10.83</v>
      </c>
      <c r="DH141" s="228">
        <v>-0.1</v>
      </c>
      <c r="DI141" s="228">
        <v>39.68</v>
      </c>
      <c r="DJ141" s="228">
        <v>41.24</v>
      </c>
      <c r="DK141" s="228">
        <v>-1.56</v>
      </c>
      <c r="DL141" s="228">
        <v>-1.56</v>
      </c>
      <c r="DM141" s="228">
        <v>43</v>
      </c>
      <c r="DN141" s="228">
        <v>43.64</v>
      </c>
      <c r="DO141" s="228">
        <v>-0.64</v>
      </c>
      <c r="DP141" s="228">
        <v>-0.64</v>
      </c>
      <c r="DQ141" s="228">
        <v>1</v>
      </c>
      <c r="DR141" s="228">
        <v>0.93</v>
      </c>
      <c r="DS141" s="228">
        <v>7.0000000000000007E-2</v>
      </c>
      <c r="DT141" s="229">
        <v>7.5300000000000006E-2</v>
      </c>
      <c r="DU141" s="228">
        <v>440</v>
      </c>
      <c r="DV141" s="228">
        <v>400</v>
      </c>
      <c r="DW141" s="228">
        <v>0.55000000000000004</v>
      </c>
      <c r="DX141" s="228">
        <v>0.4</v>
      </c>
      <c r="DY141" s="228">
        <v>0.15</v>
      </c>
      <c r="DZ141" s="229">
        <v>0.375</v>
      </c>
      <c r="EA141" s="229">
        <v>5.5199999999999999E-2</v>
      </c>
      <c r="EB141" s="230">
        <v>2861250</v>
      </c>
      <c r="EC141" s="229">
        <v>4.1999999999999997E-3</v>
      </c>
      <c r="ED141" s="229">
        <v>5.5199999999999999E-2</v>
      </c>
      <c r="EE141" s="228">
        <v>2.58</v>
      </c>
      <c r="EF141" s="229">
        <v>6.0000000000000001E-3</v>
      </c>
      <c r="EG141" s="230">
        <v>3801390</v>
      </c>
      <c r="EH141" s="230">
        <v>5113419</v>
      </c>
      <c r="EI141" s="229">
        <v>-0.25659999999999999</v>
      </c>
      <c r="EJ141" s="229">
        <v>0.41510000000000002</v>
      </c>
      <c r="EK141" s="231">
        <v>2766.9</v>
      </c>
      <c r="EL141" s="231">
        <v>1392.2</v>
      </c>
      <c r="EM141" s="228">
        <v>776.87</v>
      </c>
      <c r="EN141" s="228">
        <v>57.08</v>
      </c>
      <c r="EO141" s="231">
        <v>4935.96</v>
      </c>
      <c r="EP141" s="231">
        <v>6667.38</v>
      </c>
      <c r="EQ141" s="231">
        <v>-1731.42</v>
      </c>
      <c r="ER141" s="229">
        <v>-0.25969999999999999</v>
      </c>
      <c r="ES141" s="231">
        <v>1467.87</v>
      </c>
      <c r="ET141" s="231">
        <v>1331.11</v>
      </c>
      <c r="EU141" s="231">
        <v>2374.61</v>
      </c>
      <c r="EV141" s="231">
        <v>134225816</v>
      </c>
      <c r="EW141" s="231">
        <v>5173.59</v>
      </c>
      <c r="EX141" s="231">
        <v>5181.0600000000004</v>
      </c>
      <c r="EY141" s="228">
        <v>-7.47</v>
      </c>
      <c r="EZ141" s="229">
        <v>-1.4E-3</v>
      </c>
      <c r="FA141" s="229">
        <v>0.91090000000000004</v>
      </c>
      <c r="FB141" s="227" t="s">
        <v>693</v>
      </c>
      <c r="FC141">
        <f t="shared" si="2"/>
        <v>131</v>
      </c>
    </row>
    <row r="142" spans="1:159" ht="17.25" thickBot="1" x14ac:dyDescent="0.3">
      <c r="A142" s="226">
        <v>46129</v>
      </c>
      <c r="B142" s="227" t="s">
        <v>614</v>
      </c>
      <c r="C142" s="227" t="s">
        <v>264</v>
      </c>
      <c r="D142" s="228">
        <v>375</v>
      </c>
      <c r="E142" s="228">
        <v>11</v>
      </c>
      <c r="F142" s="231">
        <v>1055.5</v>
      </c>
      <c r="G142" s="231">
        <v>1051.0999999999999</v>
      </c>
      <c r="H142" s="228">
        <v>4.4000000000000004</v>
      </c>
      <c r="I142" s="229">
        <v>4.1999999999999997E-3</v>
      </c>
      <c r="J142" s="231">
        <v>1054.55</v>
      </c>
      <c r="K142" s="231">
        <v>1047.7</v>
      </c>
      <c r="L142" s="228">
        <v>6.85</v>
      </c>
      <c r="M142" s="229">
        <v>6.4999999999999997E-3</v>
      </c>
      <c r="N142" s="231">
        <v>1055.5</v>
      </c>
      <c r="O142" s="231">
        <v>1051.0999999999999</v>
      </c>
      <c r="P142" s="228">
        <v>4.4000000000000004</v>
      </c>
      <c r="Q142" s="229">
        <v>4.1999999999999997E-3</v>
      </c>
      <c r="R142" s="231">
        <v>1054</v>
      </c>
      <c r="S142" s="231">
        <v>1048.2</v>
      </c>
      <c r="T142" s="228">
        <v>5.8</v>
      </c>
      <c r="U142" s="229">
        <v>5.4999999999999997E-3</v>
      </c>
      <c r="V142" s="231">
        <v>1057.05</v>
      </c>
      <c r="W142" s="231">
        <v>1049.8</v>
      </c>
      <c r="X142" s="228">
        <v>7.25</v>
      </c>
      <c r="Y142" s="229">
        <v>6.8999999999999999E-3</v>
      </c>
      <c r="Z142" s="228">
        <v>0.95</v>
      </c>
      <c r="AA142" s="228">
        <v>3.4</v>
      </c>
      <c r="AB142" s="228">
        <v>-2.4500000000000002</v>
      </c>
      <c r="AC142" s="229">
        <v>8.9999999999999998E-4</v>
      </c>
      <c r="AD142" s="228">
        <v>0.95</v>
      </c>
      <c r="AE142" s="228">
        <v>3.4</v>
      </c>
      <c r="AF142" s="228">
        <v>-2.4500000000000002</v>
      </c>
      <c r="AG142" s="229">
        <v>8.9999999999999998E-4</v>
      </c>
      <c r="AH142" s="228">
        <v>-0.55000000000000004</v>
      </c>
      <c r="AI142" s="228">
        <v>0.5</v>
      </c>
      <c r="AJ142" s="228">
        <v>-1.05</v>
      </c>
      <c r="AK142" s="229">
        <v>-5.0000000000000001E-4</v>
      </c>
      <c r="AL142" s="228">
        <v>2.5</v>
      </c>
      <c r="AM142" s="228">
        <v>2.1</v>
      </c>
      <c r="AN142" s="228">
        <v>0.4</v>
      </c>
      <c r="AO142" s="229">
        <v>2.3999999999999998E-3</v>
      </c>
      <c r="AP142" s="231">
        <v>1051.51</v>
      </c>
      <c r="AQ142" s="231">
        <v>1050.4000000000001</v>
      </c>
      <c r="AR142" s="228">
        <v>0</v>
      </c>
      <c r="AS142" s="228">
        <v>129</v>
      </c>
      <c r="AT142" s="228">
        <v>197</v>
      </c>
      <c r="AU142" s="228">
        <v>-68</v>
      </c>
      <c r="AV142" s="229">
        <v>-0.3453</v>
      </c>
      <c r="AW142" s="228">
        <v>121</v>
      </c>
      <c r="AX142" s="228">
        <v>186</v>
      </c>
      <c r="AY142" s="228">
        <v>-65</v>
      </c>
      <c r="AZ142" s="229">
        <v>-0.3513</v>
      </c>
      <c r="BA142" s="228">
        <v>7</v>
      </c>
      <c r="BB142" s="228">
        <v>8</v>
      </c>
      <c r="BC142" s="228">
        <v>-1</v>
      </c>
      <c r="BD142" s="229">
        <v>-0.10290000000000001</v>
      </c>
      <c r="BE142" s="228">
        <v>1</v>
      </c>
      <c r="BF142" s="228">
        <v>3</v>
      </c>
      <c r="BG142" s="228">
        <v>-2</v>
      </c>
      <c r="BH142" s="229">
        <v>-0.66669999999999996</v>
      </c>
      <c r="BI142" s="228">
        <v>248</v>
      </c>
      <c r="BJ142" s="228">
        <v>370</v>
      </c>
      <c r="BK142" s="228">
        <v>-122</v>
      </c>
      <c r="BL142" s="229">
        <v>-0.32900000000000001</v>
      </c>
      <c r="BM142" s="228">
        <v>107</v>
      </c>
      <c r="BN142" s="228">
        <v>118</v>
      </c>
      <c r="BO142" s="228">
        <v>-11</v>
      </c>
      <c r="BP142" s="229">
        <v>-9.5699999999999993E-2</v>
      </c>
      <c r="BQ142" s="228">
        <v>484</v>
      </c>
      <c r="BR142" s="228">
        <v>685</v>
      </c>
      <c r="BS142" s="228">
        <v>-201</v>
      </c>
      <c r="BT142" s="229">
        <v>-0.29349999999999998</v>
      </c>
      <c r="BU142" s="230">
        <v>1055380</v>
      </c>
      <c r="BV142" s="230">
        <v>1358131</v>
      </c>
      <c r="BW142" s="230">
        <v>-302751</v>
      </c>
      <c r="BX142" s="229">
        <v>-0.22289999999999999</v>
      </c>
      <c r="BY142" s="230">
        <v>1051</v>
      </c>
      <c r="BZ142" s="230">
        <v>1073</v>
      </c>
      <c r="CA142" s="228">
        <v>-22</v>
      </c>
      <c r="CB142" s="229">
        <v>-2.01E-2</v>
      </c>
      <c r="CC142" s="230">
        <v>1028</v>
      </c>
      <c r="CD142" s="230">
        <v>1050</v>
      </c>
      <c r="CE142" s="228">
        <v>-22</v>
      </c>
      <c r="CF142" s="229">
        <v>-2.06E-2</v>
      </c>
      <c r="CG142" s="228">
        <v>20</v>
      </c>
      <c r="CH142" s="228">
        <v>20</v>
      </c>
      <c r="CI142" s="228">
        <v>0</v>
      </c>
      <c r="CJ142" s="229">
        <v>2E-3</v>
      </c>
      <c r="CK142" s="228">
        <v>3</v>
      </c>
      <c r="CL142" s="228">
        <v>3</v>
      </c>
      <c r="CM142" s="228">
        <v>0</v>
      </c>
      <c r="CN142" s="229">
        <v>2.63E-2</v>
      </c>
      <c r="CO142" s="228">
        <v>328</v>
      </c>
      <c r="CP142" s="228">
        <v>302</v>
      </c>
      <c r="CQ142" s="228">
        <v>26</v>
      </c>
      <c r="CR142" s="229">
        <v>8.72E-2</v>
      </c>
      <c r="CS142" s="228">
        <v>142</v>
      </c>
      <c r="CT142" s="228">
        <v>137</v>
      </c>
      <c r="CU142" s="228">
        <v>5</v>
      </c>
      <c r="CV142" s="229">
        <v>3.6700000000000003E-2</v>
      </c>
      <c r="CW142" s="230">
        <v>1522</v>
      </c>
      <c r="CX142" s="230">
        <v>1512</v>
      </c>
      <c r="CY142" s="228">
        <v>10</v>
      </c>
      <c r="CZ142" s="229">
        <v>6.4999999999999997E-3</v>
      </c>
      <c r="DA142" s="228">
        <v>30.38</v>
      </c>
      <c r="DB142" s="228">
        <v>31.52</v>
      </c>
      <c r="DC142" s="228">
        <v>-1.1399999999999999</v>
      </c>
      <c r="DD142" s="228">
        <v>-1.1399999999999999</v>
      </c>
      <c r="DE142" s="228">
        <v>36.69</v>
      </c>
      <c r="DF142" s="228">
        <v>36.770000000000003</v>
      </c>
      <c r="DG142" s="228">
        <v>-6.31</v>
      </c>
      <c r="DH142" s="228">
        <v>-0.08</v>
      </c>
      <c r="DI142" s="228">
        <v>29.16</v>
      </c>
      <c r="DJ142" s="228">
        <v>30.49</v>
      </c>
      <c r="DK142" s="228">
        <v>-1.33</v>
      </c>
      <c r="DL142" s="228">
        <v>-1.33</v>
      </c>
      <c r="DM142" s="228">
        <v>33.24</v>
      </c>
      <c r="DN142" s="228">
        <v>34.75</v>
      </c>
      <c r="DO142" s="228">
        <v>-1.51</v>
      </c>
      <c r="DP142" s="228">
        <v>-1.51</v>
      </c>
      <c r="DQ142" s="228">
        <v>0.43</v>
      </c>
      <c r="DR142" s="228">
        <v>0.45</v>
      </c>
      <c r="DS142" s="228">
        <v>-0.02</v>
      </c>
      <c r="DT142" s="229">
        <v>-4.4400000000000002E-2</v>
      </c>
      <c r="DU142" s="231">
        <v>1100</v>
      </c>
      <c r="DV142" s="231">
        <v>1000</v>
      </c>
      <c r="DW142" s="228">
        <v>0.43</v>
      </c>
      <c r="DX142" s="228">
        <v>0.32</v>
      </c>
      <c r="DY142" s="228">
        <v>0.11</v>
      </c>
      <c r="DZ142" s="229">
        <v>0.34370000000000001</v>
      </c>
      <c r="EA142" s="229">
        <v>2.1999999999999999E-2</v>
      </c>
      <c r="EB142" s="230">
        <v>218250</v>
      </c>
      <c r="EC142" s="229">
        <v>-1.4E-3</v>
      </c>
      <c r="ED142" s="229">
        <v>2.1999999999999999E-2</v>
      </c>
      <c r="EE142" s="228">
        <v>-1.1100000000000001</v>
      </c>
      <c r="EF142" s="229">
        <v>-1.1000000000000001E-3</v>
      </c>
      <c r="EG142" s="230">
        <v>567858</v>
      </c>
      <c r="EH142" s="230">
        <v>769711</v>
      </c>
      <c r="EI142" s="229">
        <v>-0.26219999999999999</v>
      </c>
      <c r="EJ142" s="229">
        <v>0.53810000000000002</v>
      </c>
      <c r="EK142" s="228">
        <v>256.56</v>
      </c>
      <c r="EL142" s="228">
        <v>103.63</v>
      </c>
      <c r="EM142" s="228">
        <v>128.30000000000001</v>
      </c>
      <c r="EN142" s="228">
        <v>52.78</v>
      </c>
      <c r="EO142" s="228">
        <v>488.49</v>
      </c>
      <c r="EP142" s="228">
        <v>688.16</v>
      </c>
      <c r="EQ142" s="228">
        <v>-199.67</v>
      </c>
      <c r="ER142" s="229">
        <v>-0.29020000000000001</v>
      </c>
      <c r="ES142" s="228">
        <v>330.37</v>
      </c>
      <c r="ET142" s="228">
        <v>133.94999999999999</v>
      </c>
      <c r="EU142" s="231">
        <v>1051.4100000000001</v>
      </c>
      <c r="EV142" s="231">
        <v>60562281</v>
      </c>
      <c r="EW142" s="231">
        <v>1515.74</v>
      </c>
      <c r="EX142" s="231">
        <v>1499.1</v>
      </c>
      <c r="EY142" s="228">
        <v>16.64</v>
      </c>
      <c r="EZ142" s="229">
        <v>1.11E-2</v>
      </c>
      <c r="FA142" s="229">
        <v>0.23810000000000001</v>
      </c>
      <c r="FB142" s="227" t="s">
        <v>693</v>
      </c>
      <c r="FC142">
        <f t="shared" si="2"/>
        <v>23</v>
      </c>
    </row>
    <row r="143" spans="1:159" ht="17.25" thickBot="1" x14ac:dyDescent="0.3">
      <c r="A143" s="226">
        <v>46129</v>
      </c>
      <c r="B143" s="227" t="s">
        <v>206</v>
      </c>
      <c r="C143" s="227" t="s">
        <v>550</v>
      </c>
      <c r="D143" s="228">
        <v>6500</v>
      </c>
      <c r="E143" s="228">
        <v>11</v>
      </c>
      <c r="F143" s="228">
        <v>94.45</v>
      </c>
      <c r="G143" s="228">
        <v>93.3</v>
      </c>
      <c r="H143" s="228">
        <v>1.1499999999999999</v>
      </c>
      <c r="I143" s="229">
        <v>1.23E-2</v>
      </c>
      <c r="J143" s="228">
        <v>94.32</v>
      </c>
      <c r="K143" s="228">
        <v>93.05</v>
      </c>
      <c r="L143" s="228">
        <v>1.27</v>
      </c>
      <c r="M143" s="229">
        <v>1.3599999999999999E-2</v>
      </c>
      <c r="N143" s="228">
        <v>94.45</v>
      </c>
      <c r="O143" s="228">
        <v>93.3</v>
      </c>
      <c r="P143" s="228">
        <v>1.1499999999999999</v>
      </c>
      <c r="Q143" s="229">
        <v>1.23E-2</v>
      </c>
      <c r="R143" s="228">
        <v>95.03</v>
      </c>
      <c r="S143" s="228">
        <v>93.74</v>
      </c>
      <c r="T143" s="228">
        <v>1.29</v>
      </c>
      <c r="U143" s="229">
        <v>1.38E-2</v>
      </c>
      <c r="V143" s="228">
        <v>95.7</v>
      </c>
      <c r="W143" s="228">
        <v>94.26</v>
      </c>
      <c r="X143" s="228">
        <v>1.44</v>
      </c>
      <c r="Y143" s="229">
        <v>1.5299999999999999E-2</v>
      </c>
      <c r="Z143" s="228">
        <v>0.13</v>
      </c>
      <c r="AA143" s="228">
        <v>0.25</v>
      </c>
      <c r="AB143" s="228">
        <v>-0.12</v>
      </c>
      <c r="AC143" s="229">
        <v>1.4E-3</v>
      </c>
      <c r="AD143" s="228">
        <v>0.13</v>
      </c>
      <c r="AE143" s="228">
        <v>0.25</v>
      </c>
      <c r="AF143" s="228">
        <v>-0.12</v>
      </c>
      <c r="AG143" s="229">
        <v>1.4E-3</v>
      </c>
      <c r="AH143" s="228">
        <v>0.71</v>
      </c>
      <c r="AI143" s="228">
        <v>0.69</v>
      </c>
      <c r="AJ143" s="228">
        <v>0.02</v>
      </c>
      <c r="AK143" s="229">
        <v>7.4999999999999997E-3</v>
      </c>
      <c r="AL143" s="228">
        <v>1.38</v>
      </c>
      <c r="AM143" s="228">
        <v>1.21</v>
      </c>
      <c r="AN143" s="228">
        <v>0.17</v>
      </c>
      <c r="AO143" s="229">
        <v>1.46E-2</v>
      </c>
      <c r="AP143" s="228">
        <v>94.05</v>
      </c>
      <c r="AQ143" s="228">
        <v>94.74</v>
      </c>
      <c r="AR143" s="228">
        <v>0</v>
      </c>
      <c r="AS143" s="228">
        <v>136</v>
      </c>
      <c r="AT143" s="228">
        <v>98</v>
      </c>
      <c r="AU143" s="228">
        <v>38</v>
      </c>
      <c r="AV143" s="229">
        <v>0.39429999999999998</v>
      </c>
      <c r="AW143" s="228">
        <v>96</v>
      </c>
      <c r="AX143" s="228">
        <v>81</v>
      </c>
      <c r="AY143" s="228">
        <v>15</v>
      </c>
      <c r="AZ143" s="229">
        <v>0.1797</v>
      </c>
      <c r="BA143" s="228">
        <v>38</v>
      </c>
      <c r="BB143" s="228">
        <v>15</v>
      </c>
      <c r="BC143" s="228">
        <v>24</v>
      </c>
      <c r="BD143" s="229">
        <v>1.6456</v>
      </c>
      <c r="BE143" s="228">
        <v>2</v>
      </c>
      <c r="BF143" s="228">
        <v>2</v>
      </c>
      <c r="BG143" s="228">
        <v>0</v>
      </c>
      <c r="BH143" s="229">
        <v>0</v>
      </c>
      <c r="BI143" s="228">
        <v>219</v>
      </c>
      <c r="BJ143" s="228">
        <v>150</v>
      </c>
      <c r="BK143" s="228">
        <v>69</v>
      </c>
      <c r="BL143" s="229">
        <v>0.45689999999999997</v>
      </c>
      <c r="BM143" s="228">
        <v>92</v>
      </c>
      <c r="BN143" s="228">
        <v>70</v>
      </c>
      <c r="BO143" s="228">
        <v>22</v>
      </c>
      <c r="BP143" s="229">
        <v>0.31869999999999998</v>
      </c>
      <c r="BQ143" s="228">
        <v>447</v>
      </c>
      <c r="BR143" s="228">
        <v>318</v>
      </c>
      <c r="BS143" s="228">
        <v>129</v>
      </c>
      <c r="BT143" s="229">
        <v>0.4073</v>
      </c>
      <c r="BU143" s="230">
        <v>12279043</v>
      </c>
      <c r="BV143" s="230">
        <v>13482294</v>
      </c>
      <c r="BW143" s="230">
        <v>-1203251</v>
      </c>
      <c r="BX143" s="229">
        <v>-8.9200000000000002E-2</v>
      </c>
      <c r="BY143" s="228">
        <v>748</v>
      </c>
      <c r="BZ143" s="228">
        <v>725</v>
      </c>
      <c r="CA143" s="228">
        <v>22</v>
      </c>
      <c r="CB143" s="229">
        <v>3.0700000000000002E-2</v>
      </c>
      <c r="CC143" s="228">
        <v>693</v>
      </c>
      <c r="CD143" s="228">
        <v>693</v>
      </c>
      <c r="CE143" s="228">
        <v>0</v>
      </c>
      <c r="CF143" s="229">
        <v>-5.0000000000000001E-4</v>
      </c>
      <c r="CG143" s="228">
        <v>50</v>
      </c>
      <c r="CH143" s="228">
        <v>29</v>
      </c>
      <c r="CI143" s="228">
        <v>21</v>
      </c>
      <c r="CJ143" s="229">
        <v>0.75270000000000004</v>
      </c>
      <c r="CK143" s="228">
        <v>5</v>
      </c>
      <c r="CL143" s="228">
        <v>4</v>
      </c>
      <c r="CM143" s="228">
        <v>1</v>
      </c>
      <c r="CN143" s="229">
        <v>0.32200000000000001</v>
      </c>
      <c r="CO143" s="228">
        <v>189</v>
      </c>
      <c r="CP143" s="228">
        <v>168</v>
      </c>
      <c r="CQ143" s="228">
        <v>21</v>
      </c>
      <c r="CR143" s="229">
        <v>0.12379999999999999</v>
      </c>
      <c r="CS143" s="228">
        <v>128</v>
      </c>
      <c r="CT143" s="228">
        <v>127</v>
      </c>
      <c r="CU143" s="228">
        <v>0</v>
      </c>
      <c r="CV143" s="229">
        <v>5.0000000000000001E-4</v>
      </c>
      <c r="CW143" s="230">
        <v>1064</v>
      </c>
      <c r="CX143" s="230">
        <v>1021</v>
      </c>
      <c r="CY143" s="228">
        <v>43</v>
      </c>
      <c r="CZ143" s="229">
        <v>4.2299999999999997E-2</v>
      </c>
      <c r="DA143" s="228">
        <v>42.22</v>
      </c>
      <c r="DB143" s="228">
        <v>42.28</v>
      </c>
      <c r="DC143" s="228">
        <v>-0.06</v>
      </c>
      <c r="DD143" s="228">
        <v>-0.06</v>
      </c>
      <c r="DE143" s="228">
        <v>51.85</v>
      </c>
      <c r="DF143" s="228">
        <v>51.96</v>
      </c>
      <c r="DG143" s="228">
        <v>-9.6300000000000008</v>
      </c>
      <c r="DH143" s="228">
        <v>-0.11</v>
      </c>
      <c r="DI143" s="228">
        <v>39.46</v>
      </c>
      <c r="DJ143" s="228">
        <v>40.479999999999997</v>
      </c>
      <c r="DK143" s="228">
        <v>-1.02</v>
      </c>
      <c r="DL143" s="228">
        <v>-1.02</v>
      </c>
      <c r="DM143" s="228">
        <v>48.77</v>
      </c>
      <c r="DN143" s="228">
        <v>46.16</v>
      </c>
      <c r="DO143" s="228">
        <v>2.61</v>
      </c>
      <c r="DP143" s="228">
        <v>2.61</v>
      </c>
      <c r="DQ143" s="228">
        <v>0.67</v>
      </c>
      <c r="DR143" s="228">
        <v>0.76</v>
      </c>
      <c r="DS143" s="228">
        <v>-0.09</v>
      </c>
      <c r="DT143" s="229">
        <v>-0.11840000000000001</v>
      </c>
      <c r="DU143" s="228">
        <v>105</v>
      </c>
      <c r="DV143" s="228">
        <v>85</v>
      </c>
      <c r="DW143" s="228">
        <v>0.42</v>
      </c>
      <c r="DX143" s="228">
        <v>0.46</v>
      </c>
      <c r="DY143" s="228">
        <v>-0.04</v>
      </c>
      <c r="DZ143" s="229">
        <v>-8.6999999999999994E-2</v>
      </c>
      <c r="EA143" s="229">
        <v>7.3300000000000004E-2</v>
      </c>
      <c r="EB143" s="230">
        <v>3406000</v>
      </c>
      <c r="EC143" s="229">
        <v>6.1000000000000004E-3</v>
      </c>
      <c r="ED143" s="229">
        <v>7.3300000000000004E-2</v>
      </c>
      <c r="EE143" s="228">
        <v>0.69</v>
      </c>
      <c r="EF143" s="229">
        <v>7.3000000000000001E-3</v>
      </c>
      <c r="EG143" s="230">
        <v>3538105</v>
      </c>
      <c r="EH143" s="230">
        <v>3497220</v>
      </c>
      <c r="EI143" s="229">
        <v>1.17E-2</v>
      </c>
      <c r="EJ143" s="229">
        <v>0.28810000000000002</v>
      </c>
      <c r="EK143" s="228">
        <v>229.69</v>
      </c>
      <c r="EL143" s="228">
        <v>86.36</v>
      </c>
      <c r="EM143" s="228">
        <v>135.83000000000001</v>
      </c>
      <c r="EN143" s="228">
        <v>12.23</v>
      </c>
      <c r="EO143" s="228">
        <v>451.88</v>
      </c>
      <c r="EP143" s="228">
        <v>316.64999999999998</v>
      </c>
      <c r="EQ143" s="228">
        <v>135.22999999999999</v>
      </c>
      <c r="ER143" s="229">
        <v>0.42709999999999998</v>
      </c>
      <c r="ES143" s="228">
        <v>187.46</v>
      </c>
      <c r="ET143" s="228">
        <v>115.94</v>
      </c>
      <c r="EU143" s="228">
        <v>748.13</v>
      </c>
      <c r="EV143" s="231">
        <v>154894704</v>
      </c>
      <c r="EW143" s="231">
        <v>1051.53</v>
      </c>
      <c r="EX143" s="228">
        <v>995.96</v>
      </c>
      <c r="EY143" s="228">
        <v>55.57</v>
      </c>
      <c r="EZ143" s="229">
        <v>5.5800000000000002E-2</v>
      </c>
      <c r="FA143" s="229">
        <v>0.72740000000000005</v>
      </c>
      <c r="FB143" s="227" t="s">
        <v>555</v>
      </c>
      <c r="FC143">
        <f t="shared" si="2"/>
        <v>55</v>
      </c>
    </row>
    <row r="144" spans="1:159" ht="17.25" thickBot="1" x14ac:dyDescent="0.3">
      <c r="A144" s="226">
        <v>46129</v>
      </c>
      <c r="B144" s="227" t="s">
        <v>168</v>
      </c>
      <c r="C144" s="227" t="s">
        <v>265</v>
      </c>
      <c r="D144" s="228">
        <v>500</v>
      </c>
      <c r="E144" s="228">
        <v>11</v>
      </c>
      <c r="F144" s="231">
        <v>1286</v>
      </c>
      <c r="G144" s="231">
        <v>1257.8</v>
      </c>
      <c r="H144" s="228">
        <v>28.2</v>
      </c>
      <c r="I144" s="229">
        <v>2.24E-2</v>
      </c>
      <c r="J144" s="231">
        <v>1285.5999999999999</v>
      </c>
      <c r="K144" s="231">
        <v>1257.4000000000001</v>
      </c>
      <c r="L144" s="228">
        <v>28.2</v>
      </c>
      <c r="M144" s="229">
        <v>2.24E-2</v>
      </c>
      <c r="N144" s="231">
        <v>1286</v>
      </c>
      <c r="O144" s="231">
        <v>1257.8</v>
      </c>
      <c r="P144" s="228">
        <v>28.2</v>
      </c>
      <c r="Q144" s="229">
        <v>2.24E-2</v>
      </c>
      <c r="R144" s="231">
        <v>1293.5</v>
      </c>
      <c r="S144" s="231">
        <v>1265.4000000000001</v>
      </c>
      <c r="T144" s="228">
        <v>28.1</v>
      </c>
      <c r="U144" s="229">
        <v>2.2200000000000001E-2</v>
      </c>
      <c r="V144" s="231">
        <v>1301.0999999999999</v>
      </c>
      <c r="W144" s="231">
        <v>1273</v>
      </c>
      <c r="X144" s="228">
        <v>28.1</v>
      </c>
      <c r="Y144" s="229">
        <v>2.2100000000000002E-2</v>
      </c>
      <c r="Z144" s="228">
        <v>0.4</v>
      </c>
      <c r="AA144" s="228">
        <v>0.4</v>
      </c>
      <c r="AB144" s="228">
        <v>0</v>
      </c>
      <c r="AC144" s="229">
        <v>2.9999999999999997E-4</v>
      </c>
      <c r="AD144" s="228">
        <v>0.4</v>
      </c>
      <c r="AE144" s="228">
        <v>0.4</v>
      </c>
      <c r="AF144" s="228">
        <v>0</v>
      </c>
      <c r="AG144" s="229">
        <v>2.9999999999999997E-4</v>
      </c>
      <c r="AH144" s="228">
        <v>7.9</v>
      </c>
      <c r="AI144" s="228">
        <v>8</v>
      </c>
      <c r="AJ144" s="228">
        <v>-0.1</v>
      </c>
      <c r="AK144" s="229">
        <v>6.1000000000000004E-3</v>
      </c>
      <c r="AL144" s="228">
        <v>15.5</v>
      </c>
      <c r="AM144" s="228">
        <v>15.6</v>
      </c>
      <c r="AN144" s="228">
        <v>-0.1</v>
      </c>
      <c r="AO144" s="229">
        <v>1.21E-2</v>
      </c>
      <c r="AP144" s="231">
        <v>1280.6600000000001</v>
      </c>
      <c r="AQ144" s="231">
        <v>1286.4000000000001</v>
      </c>
      <c r="AR144" s="228">
        <v>0</v>
      </c>
      <c r="AS144" s="228">
        <v>259</v>
      </c>
      <c r="AT144" s="228">
        <v>418</v>
      </c>
      <c r="AU144" s="228">
        <v>-159</v>
      </c>
      <c r="AV144" s="229">
        <v>-0.38</v>
      </c>
      <c r="AW144" s="228">
        <v>237</v>
      </c>
      <c r="AX144" s="228">
        <v>316</v>
      </c>
      <c r="AY144" s="228">
        <v>-79</v>
      </c>
      <c r="AZ144" s="229">
        <v>-0.25009999999999999</v>
      </c>
      <c r="BA144" s="228">
        <v>21</v>
      </c>
      <c r="BB144" s="228">
        <v>18</v>
      </c>
      <c r="BC144" s="228">
        <v>3</v>
      </c>
      <c r="BD144" s="229">
        <v>0.19270000000000001</v>
      </c>
      <c r="BE144" s="228">
        <v>1</v>
      </c>
      <c r="BF144" s="228">
        <v>84</v>
      </c>
      <c r="BG144" s="228">
        <v>-83</v>
      </c>
      <c r="BH144" s="229">
        <v>-0.98929999999999996</v>
      </c>
      <c r="BI144" s="230">
        <v>1281</v>
      </c>
      <c r="BJ144" s="228">
        <v>604</v>
      </c>
      <c r="BK144" s="228">
        <v>677</v>
      </c>
      <c r="BL144" s="229">
        <v>1.1206</v>
      </c>
      <c r="BM144" s="228">
        <v>334</v>
      </c>
      <c r="BN144" s="228">
        <v>243</v>
      </c>
      <c r="BO144" s="228">
        <v>91</v>
      </c>
      <c r="BP144" s="229">
        <v>0.37440000000000001</v>
      </c>
      <c r="BQ144" s="230">
        <v>1875</v>
      </c>
      <c r="BR144" s="230">
        <v>1266</v>
      </c>
      <c r="BS144" s="228">
        <v>609</v>
      </c>
      <c r="BT144" s="229">
        <v>0.48149999999999998</v>
      </c>
      <c r="BU144" s="230">
        <v>2070753</v>
      </c>
      <c r="BV144" s="230">
        <v>1230572</v>
      </c>
      <c r="BW144" s="230">
        <v>840181</v>
      </c>
      <c r="BX144" s="229">
        <v>0.68279999999999996</v>
      </c>
      <c r="BY144" s="230">
        <v>2435</v>
      </c>
      <c r="BZ144" s="230">
        <v>2468</v>
      </c>
      <c r="CA144" s="228">
        <v>-32</v>
      </c>
      <c r="CB144" s="229">
        <v>-1.3100000000000001E-2</v>
      </c>
      <c r="CC144" s="230">
        <v>2266</v>
      </c>
      <c r="CD144" s="230">
        <v>2302</v>
      </c>
      <c r="CE144" s="228">
        <v>-35</v>
      </c>
      <c r="CF144" s="229">
        <v>-1.5299999999999999E-2</v>
      </c>
      <c r="CG144" s="228">
        <v>74</v>
      </c>
      <c r="CH144" s="228">
        <v>72</v>
      </c>
      <c r="CI144" s="228">
        <v>3</v>
      </c>
      <c r="CJ144" s="229">
        <v>3.49E-2</v>
      </c>
      <c r="CK144" s="228">
        <v>95</v>
      </c>
      <c r="CL144" s="228">
        <v>94</v>
      </c>
      <c r="CM144" s="228">
        <v>0</v>
      </c>
      <c r="CN144" s="229">
        <v>4.1000000000000003E-3</v>
      </c>
      <c r="CO144" s="228">
        <v>538</v>
      </c>
      <c r="CP144" s="228">
        <v>371</v>
      </c>
      <c r="CQ144" s="228">
        <v>167</v>
      </c>
      <c r="CR144" s="229">
        <v>0.44979999999999998</v>
      </c>
      <c r="CS144" s="228">
        <v>302</v>
      </c>
      <c r="CT144" s="228">
        <v>260</v>
      </c>
      <c r="CU144" s="228">
        <v>42</v>
      </c>
      <c r="CV144" s="229">
        <v>0.161</v>
      </c>
      <c r="CW144" s="230">
        <v>3276</v>
      </c>
      <c r="CX144" s="230">
        <v>3099</v>
      </c>
      <c r="CY144" s="228">
        <v>177</v>
      </c>
      <c r="CZ144" s="229">
        <v>5.7000000000000002E-2</v>
      </c>
      <c r="DA144" s="228">
        <v>28.7</v>
      </c>
      <c r="DB144" s="228">
        <v>30.66</v>
      </c>
      <c r="DC144" s="228">
        <v>-1.96</v>
      </c>
      <c r="DD144" s="228">
        <v>-1.96</v>
      </c>
      <c r="DE144" s="228">
        <v>23.57</v>
      </c>
      <c r="DF144" s="228">
        <v>23.44</v>
      </c>
      <c r="DG144" s="228">
        <v>5.13</v>
      </c>
      <c r="DH144" s="228">
        <v>0.13</v>
      </c>
      <c r="DI144" s="228">
        <v>28.27</v>
      </c>
      <c r="DJ144" s="228">
        <v>30.33</v>
      </c>
      <c r="DK144" s="228">
        <v>-2.06</v>
      </c>
      <c r="DL144" s="228">
        <v>-2.06</v>
      </c>
      <c r="DM144" s="228">
        <v>30.36</v>
      </c>
      <c r="DN144" s="228">
        <v>31.48</v>
      </c>
      <c r="DO144" s="228">
        <v>-1.1200000000000001</v>
      </c>
      <c r="DP144" s="228">
        <v>-1.1200000000000001</v>
      </c>
      <c r="DQ144" s="228">
        <v>0.56000000000000005</v>
      </c>
      <c r="DR144" s="228">
        <v>0.7</v>
      </c>
      <c r="DS144" s="228">
        <v>-0.14000000000000001</v>
      </c>
      <c r="DT144" s="229">
        <v>-0.2</v>
      </c>
      <c r="DU144" s="231">
        <v>1300</v>
      </c>
      <c r="DV144" s="231">
        <v>1200</v>
      </c>
      <c r="DW144" s="228">
        <v>0.26</v>
      </c>
      <c r="DX144" s="228">
        <v>0.4</v>
      </c>
      <c r="DY144" s="228">
        <v>-0.14000000000000001</v>
      </c>
      <c r="DZ144" s="229">
        <v>-0.35</v>
      </c>
      <c r="EA144" s="229">
        <v>6.9400000000000003E-2</v>
      </c>
      <c r="EB144" s="230">
        <v>1291500</v>
      </c>
      <c r="EC144" s="229">
        <v>5.7999999999999996E-3</v>
      </c>
      <c r="ED144" s="229">
        <v>6.9400000000000003E-2</v>
      </c>
      <c r="EE144" s="228">
        <v>5.74</v>
      </c>
      <c r="EF144" s="229">
        <v>4.4999999999999997E-3</v>
      </c>
      <c r="EG144" s="230">
        <v>1138206</v>
      </c>
      <c r="EH144" s="230">
        <v>686841</v>
      </c>
      <c r="EI144" s="229">
        <v>0.65720000000000001</v>
      </c>
      <c r="EJ144" s="229">
        <v>0.54969999999999997</v>
      </c>
      <c r="EK144" s="231">
        <v>1329.28</v>
      </c>
      <c r="EL144" s="228">
        <v>325.52</v>
      </c>
      <c r="EM144" s="228">
        <v>258.22000000000003</v>
      </c>
      <c r="EN144" s="228">
        <v>44.09</v>
      </c>
      <c r="EO144" s="231">
        <v>1913.02</v>
      </c>
      <c r="EP144" s="231">
        <v>1251.01</v>
      </c>
      <c r="EQ144" s="228">
        <v>662.01</v>
      </c>
      <c r="ER144" s="229">
        <v>0.5292</v>
      </c>
      <c r="ES144" s="228">
        <v>536.38</v>
      </c>
      <c r="ET144" s="228">
        <v>283.17</v>
      </c>
      <c r="EU144" s="231">
        <v>2436.9699999999998</v>
      </c>
      <c r="EV144" s="231">
        <v>71801274</v>
      </c>
      <c r="EW144" s="231">
        <v>3256.52</v>
      </c>
      <c r="EX144" s="231">
        <v>3020.68</v>
      </c>
      <c r="EY144" s="228">
        <v>235.84</v>
      </c>
      <c r="EZ144" s="229">
        <v>7.8100000000000003E-2</v>
      </c>
      <c r="FA144" s="229">
        <v>0.3548</v>
      </c>
      <c r="FB144" s="227" t="s">
        <v>693</v>
      </c>
      <c r="FC144">
        <f t="shared" si="2"/>
        <v>169</v>
      </c>
    </row>
    <row r="145" spans="1:159" ht="17.25" thickBot="1" x14ac:dyDescent="0.3">
      <c r="A145" s="226">
        <v>46129</v>
      </c>
      <c r="B145" s="227" t="s">
        <v>161</v>
      </c>
      <c r="C145" s="227" t="s">
        <v>584</v>
      </c>
      <c r="D145" s="228">
        <v>6400</v>
      </c>
      <c r="E145" s="228">
        <v>11</v>
      </c>
      <c r="F145" s="228">
        <v>82.41</v>
      </c>
      <c r="G145" s="228">
        <v>81.44</v>
      </c>
      <c r="H145" s="228">
        <v>0.97</v>
      </c>
      <c r="I145" s="229">
        <v>1.1900000000000001E-2</v>
      </c>
      <c r="J145" s="228">
        <v>83.56</v>
      </c>
      <c r="K145" s="228">
        <v>81.38</v>
      </c>
      <c r="L145" s="228">
        <v>2.1800000000000002</v>
      </c>
      <c r="M145" s="229">
        <v>2.6800000000000001E-2</v>
      </c>
      <c r="N145" s="228">
        <v>82.41</v>
      </c>
      <c r="O145" s="228">
        <v>81.44</v>
      </c>
      <c r="P145" s="228">
        <v>0.97</v>
      </c>
      <c r="Q145" s="229">
        <v>1.1900000000000001E-2</v>
      </c>
      <c r="R145" s="228">
        <v>82.5</v>
      </c>
      <c r="S145" s="228">
        <v>81.94</v>
      </c>
      <c r="T145" s="228">
        <v>0.56000000000000005</v>
      </c>
      <c r="U145" s="229">
        <v>6.7999999999999996E-3</v>
      </c>
      <c r="V145" s="228">
        <v>82.93</v>
      </c>
      <c r="W145" s="228">
        <v>82.27</v>
      </c>
      <c r="X145" s="228">
        <v>0.66</v>
      </c>
      <c r="Y145" s="229">
        <v>8.0000000000000002E-3</v>
      </c>
      <c r="Z145" s="228">
        <v>-1.1499999999999999</v>
      </c>
      <c r="AA145" s="228">
        <v>0.06</v>
      </c>
      <c r="AB145" s="228">
        <v>-1.21</v>
      </c>
      <c r="AC145" s="229">
        <v>-1.38E-2</v>
      </c>
      <c r="AD145" s="228">
        <v>-1.1499999999999999</v>
      </c>
      <c r="AE145" s="228">
        <v>0.06</v>
      </c>
      <c r="AF145" s="228">
        <v>-1.21</v>
      </c>
      <c r="AG145" s="229">
        <v>-1.38E-2</v>
      </c>
      <c r="AH145" s="228">
        <v>-1.06</v>
      </c>
      <c r="AI145" s="228">
        <v>0.56000000000000005</v>
      </c>
      <c r="AJ145" s="228">
        <v>-1.62</v>
      </c>
      <c r="AK145" s="229">
        <v>-1.2699999999999999E-2</v>
      </c>
      <c r="AL145" s="228">
        <v>-0.63</v>
      </c>
      <c r="AM145" s="228">
        <v>0.89</v>
      </c>
      <c r="AN145" s="228">
        <v>-1.52</v>
      </c>
      <c r="AO145" s="229">
        <v>-7.4999999999999997E-3</v>
      </c>
      <c r="AP145" s="228">
        <v>82.42</v>
      </c>
      <c r="AQ145" s="228">
        <v>82.6</v>
      </c>
      <c r="AR145" s="228">
        <v>0</v>
      </c>
      <c r="AS145" s="228">
        <v>356</v>
      </c>
      <c r="AT145" s="228">
        <v>176</v>
      </c>
      <c r="AU145" s="228">
        <v>180</v>
      </c>
      <c r="AV145" s="229">
        <v>1.0216000000000001</v>
      </c>
      <c r="AW145" s="228">
        <v>303</v>
      </c>
      <c r="AX145" s="228">
        <v>153</v>
      </c>
      <c r="AY145" s="228">
        <v>149</v>
      </c>
      <c r="AZ145" s="229">
        <v>0.97389999999999999</v>
      </c>
      <c r="BA145" s="228">
        <v>47</v>
      </c>
      <c r="BB145" s="228">
        <v>19</v>
      </c>
      <c r="BC145" s="228">
        <v>27</v>
      </c>
      <c r="BD145" s="229">
        <v>1.4126000000000001</v>
      </c>
      <c r="BE145" s="228">
        <v>6</v>
      </c>
      <c r="BF145" s="228">
        <v>3</v>
      </c>
      <c r="BG145" s="228">
        <v>3</v>
      </c>
      <c r="BH145" s="229">
        <v>0.94920000000000004</v>
      </c>
      <c r="BI145" s="228">
        <v>500</v>
      </c>
      <c r="BJ145" s="228">
        <v>453</v>
      </c>
      <c r="BK145" s="228">
        <v>47</v>
      </c>
      <c r="BL145" s="229">
        <v>0.1032</v>
      </c>
      <c r="BM145" s="228">
        <v>214</v>
      </c>
      <c r="BN145" s="228">
        <v>210</v>
      </c>
      <c r="BO145" s="228">
        <v>4</v>
      </c>
      <c r="BP145" s="229">
        <v>1.78E-2</v>
      </c>
      <c r="BQ145" s="230">
        <v>1070</v>
      </c>
      <c r="BR145" s="228">
        <v>840</v>
      </c>
      <c r="BS145" s="228">
        <v>230</v>
      </c>
      <c r="BT145" s="229">
        <v>0.2742</v>
      </c>
      <c r="BU145" s="230">
        <v>52883630</v>
      </c>
      <c r="BV145" s="230">
        <v>20385084</v>
      </c>
      <c r="BW145" s="230">
        <v>32498546</v>
      </c>
      <c r="BX145" s="229">
        <v>1.5942000000000001</v>
      </c>
      <c r="BY145" s="228">
        <v>703</v>
      </c>
      <c r="BZ145" s="228">
        <v>632</v>
      </c>
      <c r="CA145" s="228">
        <v>71</v>
      </c>
      <c r="CB145" s="229">
        <v>0.1125</v>
      </c>
      <c r="CC145" s="228">
        <v>657</v>
      </c>
      <c r="CD145" s="228">
        <v>598</v>
      </c>
      <c r="CE145" s="228">
        <v>59</v>
      </c>
      <c r="CF145" s="229">
        <v>9.8199999999999996E-2</v>
      </c>
      <c r="CG145" s="228">
        <v>40</v>
      </c>
      <c r="CH145" s="228">
        <v>29</v>
      </c>
      <c r="CI145" s="228">
        <v>11</v>
      </c>
      <c r="CJ145" s="229">
        <v>0.38350000000000001</v>
      </c>
      <c r="CK145" s="228">
        <v>6</v>
      </c>
      <c r="CL145" s="228">
        <v>5</v>
      </c>
      <c r="CM145" s="228">
        <v>1</v>
      </c>
      <c r="CN145" s="229">
        <v>0.27660000000000001</v>
      </c>
      <c r="CO145" s="228">
        <v>311</v>
      </c>
      <c r="CP145" s="228">
        <v>334</v>
      </c>
      <c r="CQ145" s="228">
        <v>-23</v>
      </c>
      <c r="CR145" s="229">
        <v>-6.8000000000000005E-2</v>
      </c>
      <c r="CS145" s="228">
        <v>250</v>
      </c>
      <c r="CT145" s="228">
        <v>244</v>
      </c>
      <c r="CU145" s="228">
        <v>6</v>
      </c>
      <c r="CV145" s="229">
        <v>2.29E-2</v>
      </c>
      <c r="CW145" s="230">
        <v>1264</v>
      </c>
      <c r="CX145" s="230">
        <v>1210</v>
      </c>
      <c r="CY145" s="228">
        <v>54</v>
      </c>
      <c r="CZ145" s="229">
        <v>4.4600000000000001E-2</v>
      </c>
      <c r="DA145" s="228">
        <v>31.46</v>
      </c>
      <c r="DB145" s="228">
        <v>32.229999999999997</v>
      </c>
      <c r="DC145" s="228">
        <v>-0.77</v>
      </c>
      <c r="DD145" s="228">
        <v>-0.77</v>
      </c>
      <c r="DE145" s="228">
        <v>34.950000000000003</v>
      </c>
      <c r="DF145" s="228">
        <v>35.01</v>
      </c>
      <c r="DG145" s="228">
        <v>-3.49</v>
      </c>
      <c r="DH145" s="228">
        <v>-0.06</v>
      </c>
      <c r="DI145" s="228">
        <v>31.44</v>
      </c>
      <c r="DJ145" s="228">
        <v>32.39</v>
      </c>
      <c r="DK145" s="228">
        <v>-0.95</v>
      </c>
      <c r="DL145" s="228">
        <v>-0.95</v>
      </c>
      <c r="DM145" s="228">
        <v>31.52</v>
      </c>
      <c r="DN145" s="228">
        <v>31.89</v>
      </c>
      <c r="DO145" s="228">
        <v>-0.37</v>
      </c>
      <c r="DP145" s="228">
        <v>-0.37</v>
      </c>
      <c r="DQ145" s="228">
        <v>0.8</v>
      </c>
      <c r="DR145" s="228">
        <v>0.73</v>
      </c>
      <c r="DS145" s="228">
        <v>7.0000000000000007E-2</v>
      </c>
      <c r="DT145" s="229">
        <v>9.5899999999999999E-2</v>
      </c>
      <c r="DU145" s="228">
        <v>90</v>
      </c>
      <c r="DV145" s="228">
        <v>77</v>
      </c>
      <c r="DW145" s="228">
        <v>0.43</v>
      </c>
      <c r="DX145" s="228">
        <v>0.46</v>
      </c>
      <c r="DY145" s="228">
        <v>-0.03</v>
      </c>
      <c r="DZ145" s="229">
        <v>-6.5199999999999994E-2</v>
      </c>
      <c r="EA145" s="229">
        <v>6.5600000000000006E-2</v>
      </c>
      <c r="EB145" s="230">
        <v>4089600</v>
      </c>
      <c r="EC145" s="229">
        <v>1.1000000000000001E-3</v>
      </c>
      <c r="ED145" s="229">
        <v>6.5600000000000006E-2</v>
      </c>
      <c r="EE145" s="228">
        <v>0.18</v>
      </c>
      <c r="EF145" s="229">
        <v>2.2000000000000001E-3</v>
      </c>
      <c r="EG145" s="230">
        <v>31580380</v>
      </c>
      <c r="EH145" s="230">
        <v>8360761</v>
      </c>
      <c r="EI145" s="229">
        <v>2.7772000000000001</v>
      </c>
      <c r="EJ145" s="229">
        <v>0.59719999999999995</v>
      </c>
      <c r="EK145" s="228">
        <v>520.64</v>
      </c>
      <c r="EL145" s="228">
        <v>207.44</v>
      </c>
      <c r="EM145" s="228">
        <v>355.8</v>
      </c>
      <c r="EN145" s="228">
        <v>28.38</v>
      </c>
      <c r="EO145" s="231">
        <v>1083.8800000000001</v>
      </c>
      <c r="EP145" s="228">
        <v>837.58</v>
      </c>
      <c r="EQ145" s="228">
        <v>246.3</v>
      </c>
      <c r="ER145" s="229">
        <v>0.29409999999999997</v>
      </c>
      <c r="ES145" s="228">
        <v>315.14999999999998</v>
      </c>
      <c r="ET145" s="228">
        <v>230.86</v>
      </c>
      <c r="EU145" s="228">
        <v>702.88</v>
      </c>
      <c r="EV145" s="231">
        <v>491233252</v>
      </c>
      <c r="EW145" s="231">
        <v>1248.8900000000001</v>
      </c>
      <c r="EX145" s="231">
        <v>1186.04</v>
      </c>
      <c r="EY145" s="228">
        <v>62.85</v>
      </c>
      <c r="EZ145" s="229">
        <v>5.2999999999999999E-2</v>
      </c>
      <c r="FA145" s="229">
        <v>0.31209999999999999</v>
      </c>
      <c r="FB145" s="227" t="s">
        <v>555</v>
      </c>
      <c r="FC145">
        <f t="shared" si="2"/>
        <v>46</v>
      </c>
    </row>
    <row r="146" spans="1:159" ht="17.25" thickBot="1" x14ac:dyDescent="0.3">
      <c r="A146" s="226">
        <v>46129</v>
      </c>
      <c r="B146" s="227" t="s">
        <v>181</v>
      </c>
      <c r="C146" s="227" t="s">
        <v>266</v>
      </c>
      <c r="D146" s="228">
        <v>65</v>
      </c>
      <c r="E146" s="228">
        <v>11</v>
      </c>
      <c r="F146" s="231">
        <v>24368</v>
      </c>
      <c r="G146" s="231">
        <v>24195.8</v>
      </c>
      <c r="H146" s="228">
        <v>172.2</v>
      </c>
      <c r="I146" s="229">
        <v>7.1000000000000004E-3</v>
      </c>
      <c r="J146" s="231">
        <v>24353.55</v>
      </c>
      <c r="K146" s="231">
        <v>24196.75</v>
      </c>
      <c r="L146" s="228">
        <v>156.80000000000001</v>
      </c>
      <c r="M146" s="229">
        <v>6.4999999999999997E-3</v>
      </c>
      <c r="N146" s="231">
        <v>24368</v>
      </c>
      <c r="O146" s="231">
        <v>24195.8</v>
      </c>
      <c r="P146" s="228">
        <v>172.2</v>
      </c>
      <c r="Q146" s="229">
        <v>7.1000000000000004E-3</v>
      </c>
      <c r="R146" s="231">
        <v>24500.400000000001</v>
      </c>
      <c r="S146" s="231">
        <v>24328.2</v>
      </c>
      <c r="T146" s="228">
        <v>172.2</v>
      </c>
      <c r="U146" s="229">
        <v>7.1000000000000004E-3</v>
      </c>
      <c r="V146" s="231">
        <v>24653</v>
      </c>
      <c r="W146" s="231">
        <v>24487.4</v>
      </c>
      <c r="X146" s="228">
        <v>165.6</v>
      </c>
      <c r="Y146" s="229">
        <v>6.7999999999999996E-3</v>
      </c>
      <c r="Z146" s="228">
        <v>14.45</v>
      </c>
      <c r="AA146" s="228">
        <v>-0.95</v>
      </c>
      <c r="AB146" s="228">
        <v>15.4</v>
      </c>
      <c r="AC146" s="229">
        <v>5.9999999999999995E-4</v>
      </c>
      <c r="AD146" s="228">
        <v>14.45</v>
      </c>
      <c r="AE146" s="228">
        <v>-0.95</v>
      </c>
      <c r="AF146" s="228">
        <v>15.4</v>
      </c>
      <c r="AG146" s="229">
        <v>5.9999999999999995E-4</v>
      </c>
      <c r="AH146" s="228">
        <v>146.85</v>
      </c>
      <c r="AI146" s="228">
        <v>131.44999999999999</v>
      </c>
      <c r="AJ146" s="228">
        <v>15.4</v>
      </c>
      <c r="AK146" s="229">
        <v>6.0000000000000001E-3</v>
      </c>
      <c r="AL146" s="228">
        <v>299.45</v>
      </c>
      <c r="AM146" s="228">
        <v>290.64999999999998</v>
      </c>
      <c r="AN146" s="228">
        <v>8.8000000000000007</v>
      </c>
      <c r="AO146" s="229">
        <v>1.23E-2</v>
      </c>
      <c r="AP146" s="231">
        <v>24290.58</v>
      </c>
      <c r="AQ146" s="231">
        <v>24425.11</v>
      </c>
      <c r="AR146" s="228">
        <v>0</v>
      </c>
      <c r="AS146" s="230">
        <v>9928</v>
      </c>
      <c r="AT146" s="230">
        <v>12953</v>
      </c>
      <c r="AU146" s="230">
        <v>-3025</v>
      </c>
      <c r="AV146" s="229">
        <v>-0.23350000000000001</v>
      </c>
      <c r="AW146" s="230">
        <v>8185</v>
      </c>
      <c r="AX146" s="230">
        <v>10878</v>
      </c>
      <c r="AY146" s="230">
        <v>-2693</v>
      </c>
      <c r="AZ146" s="229">
        <v>-0.24759999999999999</v>
      </c>
      <c r="BA146" s="230">
        <v>1287</v>
      </c>
      <c r="BB146" s="230">
        <v>1587</v>
      </c>
      <c r="BC146" s="228">
        <v>-300</v>
      </c>
      <c r="BD146" s="229">
        <v>-0.189</v>
      </c>
      <c r="BE146" s="228">
        <v>457</v>
      </c>
      <c r="BF146" s="228">
        <v>488</v>
      </c>
      <c r="BG146" s="228">
        <v>-32</v>
      </c>
      <c r="BH146" s="229">
        <v>-6.5199999999999994E-2</v>
      </c>
      <c r="BI146" s="230">
        <v>5993290</v>
      </c>
      <c r="BJ146" s="230">
        <v>3549603</v>
      </c>
      <c r="BK146" s="230">
        <v>2443687</v>
      </c>
      <c r="BL146" s="229">
        <v>0.68840000000000001</v>
      </c>
      <c r="BM146" s="230">
        <v>5038202</v>
      </c>
      <c r="BN146" s="230">
        <v>3519154</v>
      </c>
      <c r="BO146" s="230">
        <v>1519048</v>
      </c>
      <c r="BP146" s="229">
        <v>0.43169999999999997</v>
      </c>
      <c r="BQ146" s="230">
        <v>11041420</v>
      </c>
      <c r="BR146" s="230">
        <v>7081710</v>
      </c>
      <c r="BS146" s="230">
        <v>3959710</v>
      </c>
      <c r="BT146" s="229">
        <v>0.55910000000000004</v>
      </c>
      <c r="BU146" s="228">
        <v>0</v>
      </c>
      <c r="BV146" s="228">
        <v>0</v>
      </c>
      <c r="BW146" s="228">
        <v>0</v>
      </c>
      <c r="BX146" s="229">
        <v>0</v>
      </c>
      <c r="BY146" s="230">
        <v>50062</v>
      </c>
      <c r="BZ146" s="230">
        <v>50637</v>
      </c>
      <c r="CA146" s="228">
        <v>-575</v>
      </c>
      <c r="CB146" s="229">
        <v>-1.14E-2</v>
      </c>
      <c r="CC146" s="230">
        <v>41917</v>
      </c>
      <c r="CD146" s="230">
        <v>42529</v>
      </c>
      <c r="CE146" s="228">
        <v>-612</v>
      </c>
      <c r="CF146" s="229">
        <v>-1.44E-2</v>
      </c>
      <c r="CG146" s="230">
        <v>6009</v>
      </c>
      <c r="CH146" s="230">
        <v>5983</v>
      </c>
      <c r="CI146" s="228">
        <v>26</v>
      </c>
      <c r="CJ146" s="229">
        <v>4.3E-3</v>
      </c>
      <c r="CK146" s="230">
        <v>2136</v>
      </c>
      <c r="CL146" s="230">
        <v>2125</v>
      </c>
      <c r="CM146" s="228">
        <v>11</v>
      </c>
      <c r="CN146" s="229">
        <v>5.1000000000000004E-3</v>
      </c>
      <c r="CO146" s="230">
        <v>579699</v>
      </c>
      <c r="CP146" s="230">
        <v>531532</v>
      </c>
      <c r="CQ146" s="230">
        <v>48167</v>
      </c>
      <c r="CR146" s="229">
        <v>9.06E-2</v>
      </c>
      <c r="CS146" s="230">
        <v>634632</v>
      </c>
      <c r="CT146" s="230">
        <v>521945</v>
      </c>
      <c r="CU146" s="230">
        <v>112686</v>
      </c>
      <c r="CV146" s="229">
        <v>0.21590000000000001</v>
      </c>
      <c r="CW146" s="230">
        <v>1264392</v>
      </c>
      <c r="CX146" s="230">
        <v>1104114</v>
      </c>
      <c r="CY146" s="230">
        <v>160278</v>
      </c>
      <c r="CZ146" s="229">
        <v>0.1452</v>
      </c>
      <c r="DA146" s="228">
        <v>18.309999999999999</v>
      </c>
      <c r="DB146" s="228">
        <v>18.75</v>
      </c>
      <c r="DC146" s="228">
        <v>-0.44</v>
      </c>
      <c r="DD146" s="228">
        <v>-0.44</v>
      </c>
      <c r="DE146" s="228">
        <v>17.7</v>
      </c>
      <c r="DF146" s="228">
        <v>17.72</v>
      </c>
      <c r="DG146" s="228">
        <v>0.61</v>
      </c>
      <c r="DH146" s="228">
        <v>-0.02</v>
      </c>
      <c r="DI146" s="228">
        <v>15.94</v>
      </c>
      <c r="DJ146" s="228">
        <v>16.68</v>
      </c>
      <c r="DK146" s="228">
        <v>-0.74</v>
      </c>
      <c r="DL146" s="228">
        <v>-0.74</v>
      </c>
      <c r="DM146" s="228">
        <v>20.46</v>
      </c>
      <c r="DN146" s="228">
        <v>20.53</v>
      </c>
      <c r="DO146" s="228">
        <v>-7.0000000000000007E-2</v>
      </c>
      <c r="DP146" s="228">
        <v>-7.0000000000000007E-2</v>
      </c>
      <c r="DQ146" s="228">
        <v>1.0900000000000001</v>
      </c>
      <c r="DR146" s="228">
        <v>0.98</v>
      </c>
      <c r="DS146" s="228">
        <v>0.11</v>
      </c>
      <c r="DT146" s="229">
        <v>0.11219999999999999</v>
      </c>
      <c r="DU146" s="231">
        <v>25000</v>
      </c>
      <c r="DV146" s="231">
        <v>23000</v>
      </c>
      <c r="DW146" s="228">
        <v>0.84</v>
      </c>
      <c r="DX146" s="228">
        <v>0.99</v>
      </c>
      <c r="DY146" s="228">
        <v>-0.15</v>
      </c>
      <c r="DZ146" s="229">
        <v>-0.1515</v>
      </c>
      <c r="EA146" s="229">
        <v>0.16270000000000001</v>
      </c>
      <c r="EB146" s="230">
        <v>3327350</v>
      </c>
      <c r="EC146" s="229">
        <v>5.4000000000000003E-3</v>
      </c>
      <c r="ED146" s="229">
        <v>0.16270000000000001</v>
      </c>
      <c r="EE146" s="228">
        <v>134.53</v>
      </c>
      <c r="EF146" s="229">
        <v>5.4999999999999997E-3</v>
      </c>
      <c r="EG146" s="228">
        <v>0</v>
      </c>
      <c r="EH146" s="228">
        <v>0</v>
      </c>
      <c r="EI146" s="229">
        <v>0</v>
      </c>
      <c r="EJ146" s="229">
        <v>0</v>
      </c>
      <c r="EK146" s="231">
        <v>6077918.71</v>
      </c>
      <c r="EL146" s="231">
        <v>4927509.71</v>
      </c>
      <c r="EM146" s="231">
        <v>9909.44</v>
      </c>
      <c r="EN146" s="228">
        <v>877.96</v>
      </c>
      <c r="EO146" s="231">
        <v>11015337.859999999</v>
      </c>
      <c r="EP146" s="231">
        <v>7049440.9199999999</v>
      </c>
      <c r="EQ146" s="231">
        <v>3965896.95</v>
      </c>
      <c r="ER146" s="229">
        <v>0.56259999999999999</v>
      </c>
      <c r="ES146" s="231">
        <v>596699.13</v>
      </c>
      <c r="ET146" s="231">
        <v>606053.66</v>
      </c>
      <c r="EU146" s="231">
        <v>50119.48</v>
      </c>
      <c r="EV146" s="228">
        <v>0</v>
      </c>
      <c r="EW146" s="231">
        <v>1252872.27</v>
      </c>
      <c r="EX146" s="231">
        <v>1091454.97</v>
      </c>
      <c r="EY146" s="231">
        <v>161417.29999999999</v>
      </c>
      <c r="EZ146" s="229">
        <v>0.1479</v>
      </c>
      <c r="FA146" s="229">
        <v>0</v>
      </c>
      <c r="FB146" s="227" t="s">
        <v>693</v>
      </c>
      <c r="FC146">
        <f t="shared" si="2"/>
        <v>8145</v>
      </c>
    </row>
    <row r="147" spans="1:159" ht="17.25" thickBot="1" x14ac:dyDescent="0.3">
      <c r="A147" s="226">
        <v>46129</v>
      </c>
      <c r="B147" s="227" t="s">
        <v>181</v>
      </c>
      <c r="C147" s="227" t="s">
        <v>565</v>
      </c>
      <c r="D147" s="228">
        <v>25</v>
      </c>
      <c r="E147" s="228">
        <v>11</v>
      </c>
      <c r="F147" s="231">
        <v>70321.2</v>
      </c>
      <c r="G147" s="231">
        <v>69334.8</v>
      </c>
      <c r="H147" s="228">
        <v>986.4</v>
      </c>
      <c r="I147" s="229">
        <v>1.4200000000000001E-2</v>
      </c>
      <c r="J147" s="231">
        <v>70273.8</v>
      </c>
      <c r="K147" s="231">
        <v>69300.600000000006</v>
      </c>
      <c r="L147" s="228">
        <v>973.2</v>
      </c>
      <c r="M147" s="229">
        <v>1.4E-2</v>
      </c>
      <c r="N147" s="231">
        <v>70321.2</v>
      </c>
      <c r="O147" s="231">
        <v>69334.8</v>
      </c>
      <c r="P147" s="228">
        <v>986.4</v>
      </c>
      <c r="Q147" s="229">
        <v>1.4200000000000001E-2</v>
      </c>
      <c r="R147" s="231">
        <v>70620.2</v>
      </c>
      <c r="S147" s="231">
        <v>69677.2</v>
      </c>
      <c r="T147" s="228">
        <v>943</v>
      </c>
      <c r="U147" s="229">
        <v>1.35E-2</v>
      </c>
      <c r="V147" s="231">
        <v>67400</v>
      </c>
      <c r="W147" s="231">
        <v>67400</v>
      </c>
      <c r="X147" s="228">
        <v>0</v>
      </c>
      <c r="Y147" s="229">
        <v>0</v>
      </c>
      <c r="Z147" s="228">
        <v>47.4</v>
      </c>
      <c r="AA147" s="228">
        <v>34.200000000000003</v>
      </c>
      <c r="AB147" s="228">
        <v>13.2</v>
      </c>
      <c r="AC147" s="229">
        <v>6.9999999999999999E-4</v>
      </c>
      <c r="AD147" s="228">
        <v>47.4</v>
      </c>
      <c r="AE147" s="228">
        <v>34.200000000000003</v>
      </c>
      <c r="AF147" s="228">
        <v>13.2</v>
      </c>
      <c r="AG147" s="229">
        <v>6.9999999999999999E-4</v>
      </c>
      <c r="AH147" s="228">
        <v>346.4</v>
      </c>
      <c r="AI147" s="228">
        <v>376.6</v>
      </c>
      <c r="AJ147" s="228">
        <v>-30.2</v>
      </c>
      <c r="AK147" s="229">
        <v>4.8999999999999998E-3</v>
      </c>
      <c r="AL147" s="231">
        <v>-2873.8</v>
      </c>
      <c r="AM147" s="231">
        <v>-1900.6</v>
      </c>
      <c r="AN147" s="228">
        <v>-973.2</v>
      </c>
      <c r="AO147" s="229">
        <v>-4.0899999999999999E-2</v>
      </c>
      <c r="AP147" s="231">
        <v>69883.710000000006</v>
      </c>
      <c r="AQ147" s="231">
        <v>70262</v>
      </c>
      <c r="AR147" s="228">
        <v>0</v>
      </c>
      <c r="AS147" s="228">
        <v>54</v>
      </c>
      <c r="AT147" s="228">
        <v>48</v>
      </c>
      <c r="AU147" s="228">
        <v>6</v>
      </c>
      <c r="AV147" s="229">
        <v>0.1241</v>
      </c>
      <c r="AW147" s="228">
        <v>44</v>
      </c>
      <c r="AX147" s="228">
        <v>42</v>
      </c>
      <c r="AY147" s="228">
        <v>2</v>
      </c>
      <c r="AZ147" s="229">
        <v>3.7699999999999997E-2</v>
      </c>
      <c r="BA147" s="228">
        <v>11</v>
      </c>
      <c r="BB147" s="228">
        <v>6</v>
      </c>
      <c r="BC147" s="228">
        <v>4</v>
      </c>
      <c r="BD147" s="229">
        <v>0.71430000000000005</v>
      </c>
      <c r="BE147" s="228">
        <v>0</v>
      </c>
      <c r="BF147" s="228">
        <v>0</v>
      </c>
      <c r="BG147" s="228">
        <v>0</v>
      </c>
      <c r="BH147" s="229">
        <v>0</v>
      </c>
      <c r="BI147" s="228">
        <v>142</v>
      </c>
      <c r="BJ147" s="228">
        <v>26</v>
      </c>
      <c r="BK147" s="228">
        <v>116</v>
      </c>
      <c r="BL147" s="229">
        <v>4.5137</v>
      </c>
      <c r="BM147" s="228">
        <v>30</v>
      </c>
      <c r="BN147" s="228">
        <v>28</v>
      </c>
      <c r="BO147" s="228">
        <v>2</v>
      </c>
      <c r="BP147" s="229">
        <v>8.8599999999999998E-2</v>
      </c>
      <c r="BQ147" s="228">
        <v>226</v>
      </c>
      <c r="BR147" s="228">
        <v>102</v>
      </c>
      <c r="BS147" s="228">
        <v>124</v>
      </c>
      <c r="BT147" s="229">
        <v>1.2232000000000001</v>
      </c>
      <c r="BU147" s="228">
        <v>0</v>
      </c>
      <c r="BV147" s="228">
        <v>0</v>
      </c>
      <c r="BW147" s="228">
        <v>0</v>
      </c>
      <c r="BX147" s="229">
        <v>0</v>
      </c>
      <c r="BY147" s="228">
        <v>146</v>
      </c>
      <c r="BZ147" s="228">
        <v>140</v>
      </c>
      <c r="CA147" s="228">
        <v>6</v>
      </c>
      <c r="CB147" s="229">
        <v>4.3999999999999997E-2</v>
      </c>
      <c r="CC147" s="228">
        <v>130</v>
      </c>
      <c r="CD147" s="228">
        <v>126</v>
      </c>
      <c r="CE147" s="228">
        <v>4</v>
      </c>
      <c r="CF147" s="229">
        <v>3.49E-2</v>
      </c>
      <c r="CG147" s="228">
        <v>15</v>
      </c>
      <c r="CH147" s="228">
        <v>14</v>
      </c>
      <c r="CI147" s="228">
        <v>2</v>
      </c>
      <c r="CJ147" s="229">
        <v>0.12820000000000001</v>
      </c>
      <c r="CK147" s="228">
        <v>0</v>
      </c>
      <c r="CL147" s="228">
        <v>0</v>
      </c>
      <c r="CM147" s="228">
        <v>0</v>
      </c>
      <c r="CN147" s="229">
        <v>0</v>
      </c>
      <c r="CO147" s="228">
        <v>96</v>
      </c>
      <c r="CP147" s="228">
        <v>30</v>
      </c>
      <c r="CQ147" s="228">
        <v>66</v>
      </c>
      <c r="CR147" s="229">
        <v>2.2118000000000002</v>
      </c>
      <c r="CS147" s="228">
        <v>34</v>
      </c>
      <c r="CT147" s="228">
        <v>31</v>
      </c>
      <c r="CU147" s="228">
        <v>4</v>
      </c>
      <c r="CV147" s="229">
        <v>0.11360000000000001</v>
      </c>
      <c r="CW147" s="228">
        <v>277</v>
      </c>
      <c r="CX147" s="228">
        <v>201</v>
      </c>
      <c r="CY147" s="228">
        <v>76</v>
      </c>
      <c r="CZ147" s="229">
        <v>0.37740000000000001</v>
      </c>
      <c r="DA147" s="228">
        <v>19.28</v>
      </c>
      <c r="DB147" s="228">
        <v>19.79</v>
      </c>
      <c r="DC147" s="228">
        <v>-0.51</v>
      </c>
      <c r="DD147" s="228">
        <v>-0.51</v>
      </c>
      <c r="DE147" s="228">
        <v>23.29</v>
      </c>
      <c r="DF147" s="228">
        <v>23.27</v>
      </c>
      <c r="DG147" s="228">
        <v>-4.01</v>
      </c>
      <c r="DH147" s="228">
        <v>0.02</v>
      </c>
      <c r="DI147" s="228">
        <v>18.98</v>
      </c>
      <c r="DJ147" s="228">
        <v>17.63</v>
      </c>
      <c r="DK147" s="228">
        <v>1.35</v>
      </c>
      <c r="DL147" s="228">
        <v>1.35</v>
      </c>
      <c r="DM147" s="228">
        <v>20.68</v>
      </c>
      <c r="DN147" s="228">
        <v>21.79</v>
      </c>
      <c r="DO147" s="228">
        <v>-1.1100000000000001</v>
      </c>
      <c r="DP147" s="228">
        <v>-1.1100000000000001</v>
      </c>
      <c r="DQ147" s="228">
        <v>0.36</v>
      </c>
      <c r="DR147" s="228">
        <v>1.04</v>
      </c>
      <c r="DS147" s="228">
        <v>-0.68</v>
      </c>
      <c r="DT147" s="229">
        <v>-0.65380000000000005</v>
      </c>
      <c r="DU147" s="231">
        <v>70000</v>
      </c>
      <c r="DV147" s="231">
        <v>54000</v>
      </c>
      <c r="DW147" s="228">
        <v>0.21</v>
      </c>
      <c r="DX147" s="228">
        <v>1.08</v>
      </c>
      <c r="DY147" s="228">
        <v>-0.87</v>
      </c>
      <c r="DZ147" s="229">
        <v>-0.80559999999999998</v>
      </c>
      <c r="EA147" s="229">
        <v>0.1071</v>
      </c>
      <c r="EB147" s="230">
        <v>1975</v>
      </c>
      <c r="EC147" s="229">
        <v>4.3E-3</v>
      </c>
      <c r="ED147" s="229">
        <v>0.1071</v>
      </c>
      <c r="EE147" s="228">
        <v>378.29</v>
      </c>
      <c r="EF147" s="229">
        <v>5.4000000000000003E-3</v>
      </c>
      <c r="EG147" s="228">
        <v>0</v>
      </c>
      <c r="EH147" s="228">
        <v>0</v>
      </c>
      <c r="EI147" s="229">
        <v>0</v>
      </c>
      <c r="EJ147" s="229">
        <v>0</v>
      </c>
      <c r="EK147" s="228">
        <v>143.32</v>
      </c>
      <c r="EL147" s="228">
        <v>28.65</v>
      </c>
      <c r="EM147" s="228">
        <v>53.87</v>
      </c>
      <c r="EN147" s="228">
        <v>0</v>
      </c>
      <c r="EO147" s="228">
        <v>225.84</v>
      </c>
      <c r="EP147" s="228">
        <v>97.83</v>
      </c>
      <c r="EQ147" s="228">
        <v>128.01</v>
      </c>
      <c r="ER147" s="229">
        <v>1.3085</v>
      </c>
      <c r="ES147" s="228">
        <v>94.53</v>
      </c>
      <c r="ET147" s="228">
        <v>30.74</v>
      </c>
      <c r="EU147" s="228">
        <v>146.15</v>
      </c>
      <c r="EV147" s="228">
        <v>0</v>
      </c>
      <c r="EW147" s="228">
        <v>271.42</v>
      </c>
      <c r="EX147" s="228">
        <v>193.38</v>
      </c>
      <c r="EY147" s="228">
        <v>78.040000000000006</v>
      </c>
      <c r="EZ147" s="229">
        <v>0.40360000000000001</v>
      </c>
      <c r="FA147" s="229">
        <v>0</v>
      </c>
      <c r="FB147" s="227" t="s">
        <v>555</v>
      </c>
      <c r="FC147">
        <f t="shared" si="2"/>
        <v>16</v>
      </c>
    </row>
    <row r="148" spans="1:159" ht="17.25" thickBot="1" x14ac:dyDescent="0.3">
      <c r="A148" s="226">
        <v>46129</v>
      </c>
      <c r="B148" s="227" t="s">
        <v>227</v>
      </c>
      <c r="C148" s="227" t="s">
        <v>267</v>
      </c>
      <c r="D148" s="228">
        <v>6750</v>
      </c>
      <c r="E148" s="228">
        <v>11</v>
      </c>
      <c r="F148" s="228">
        <v>89.95</v>
      </c>
      <c r="G148" s="228">
        <v>87.23</v>
      </c>
      <c r="H148" s="228">
        <v>2.72</v>
      </c>
      <c r="I148" s="229">
        <v>3.1199999999999999E-2</v>
      </c>
      <c r="J148" s="228">
        <v>89.78</v>
      </c>
      <c r="K148" s="228">
        <v>87.16</v>
      </c>
      <c r="L148" s="228">
        <v>2.62</v>
      </c>
      <c r="M148" s="229">
        <v>3.0099999999999998E-2</v>
      </c>
      <c r="N148" s="228">
        <v>89.95</v>
      </c>
      <c r="O148" s="228">
        <v>87.23</v>
      </c>
      <c r="P148" s="228">
        <v>2.72</v>
      </c>
      <c r="Q148" s="229">
        <v>3.1199999999999999E-2</v>
      </c>
      <c r="R148" s="228">
        <v>90.45</v>
      </c>
      <c r="S148" s="228">
        <v>87.75</v>
      </c>
      <c r="T148" s="228">
        <v>2.7</v>
      </c>
      <c r="U148" s="229">
        <v>3.0800000000000001E-2</v>
      </c>
      <c r="V148" s="228">
        <v>90.89</v>
      </c>
      <c r="W148" s="228">
        <v>88.4</v>
      </c>
      <c r="X148" s="228">
        <v>2.4900000000000002</v>
      </c>
      <c r="Y148" s="229">
        <v>2.8199999999999999E-2</v>
      </c>
      <c r="Z148" s="228">
        <v>0.17</v>
      </c>
      <c r="AA148" s="228">
        <v>7.0000000000000007E-2</v>
      </c>
      <c r="AB148" s="228">
        <v>0.1</v>
      </c>
      <c r="AC148" s="229">
        <v>1.9E-3</v>
      </c>
      <c r="AD148" s="228">
        <v>0.17</v>
      </c>
      <c r="AE148" s="228">
        <v>7.0000000000000007E-2</v>
      </c>
      <c r="AF148" s="228">
        <v>0.1</v>
      </c>
      <c r="AG148" s="229">
        <v>1.9E-3</v>
      </c>
      <c r="AH148" s="228">
        <v>0.67</v>
      </c>
      <c r="AI148" s="228">
        <v>0.59</v>
      </c>
      <c r="AJ148" s="228">
        <v>0.08</v>
      </c>
      <c r="AK148" s="229">
        <v>7.4999999999999997E-3</v>
      </c>
      <c r="AL148" s="228">
        <v>1.1100000000000001</v>
      </c>
      <c r="AM148" s="228">
        <v>1.24</v>
      </c>
      <c r="AN148" s="228">
        <v>-0.13</v>
      </c>
      <c r="AO148" s="229">
        <v>1.24E-2</v>
      </c>
      <c r="AP148" s="228">
        <v>89.18</v>
      </c>
      <c r="AQ148" s="228">
        <v>89.75</v>
      </c>
      <c r="AR148" s="228">
        <v>0</v>
      </c>
      <c r="AS148" s="228">
        <v>456</v>
      </c>
      <c r="AT148" s="228">
        <v>535</v>
      </c>
      <c r="AU148" s="228">
        <v>-78</v>
      </c>
      <c r="AV148" s="229">
        <v>-0.14660000000000001</v>
      </c>
      <c r="AW148" s="228">
        <v>353</v>
      </c>
      <c r="AX148" s="228">
        <v>459</v>
      </c>
      <c r="AY148" s="228">
        <v>-107</v>
      </c>
      <c r="AZ148" s="229">
        <v>-0.23250000000000001</v>
      </c>
      <c r="BA148" s="228">
        <v>60</v>
      </c>
      <c r="BB148" s="228">
        <v>69</v>
      </c>
      <c r="BC148" s="228">
        <v>-9</v>
      </c>
      <c r="BD148" s="229">
        <v>-0.13469999999999999</v>
      </c>
      <c r="BE148" s="228">
        <v>44</v>
      </c>
      <c r="BF148" s="228">
        <v>6</v>
      </c>
      <c r="BG148" s="228">
        <v>38</v>
      </c>
      <c r="BH148" s="229">
        <v>6.0881999999999996</v>
      </c>
      <c r="BI148" s="230">
        <v>1503</v>
      </c>
      <c r="BJ148" s="230">
        <v>1139</v>
      </c>
      <c r="BK148" s="228">
        <v>364</v>
      </c>
      <c r="BL148" s="229">
        <v>0.31929999999999997</v>
      </c>
      <c r="BM148" s="228">
        <v>516</v>
      </c>
      <c r="BN148" s="228">
        <v>425</v>
      </c>
      <c r="BO148" s="228">
        <v>90</v>
      </c>
      <c r="BP148" s="229">
        <v>0.21260000000000001</v>
      </c>
      <c r="BQ148" s="230">
        <v>2475</v>
      </c>
      <c r="BR148" s="230">
        <v>2099</v>
      </c>
      <c r="BS148" s="228">
        <v>376</v>
      </c>
      <c r="BT148" s="229">
        <v>0.17899999999999999</v>
      </c>
      <c r="BU148" s="230">
        <v>44723434</v>
      </c>
      <c r="BV148" s="230">
        <v>43625487</v>
      </c>
      <c r="BW148" s="230">
        <v>1097947</v>
      </c>
      <c r="BX148" s="229">
        <v>2.52E-2</v>
      </c>
      <c r="BY148" s="230">
        <v>2936</v>
      </c>
      <c r="BZ148" s="230">
        <v>2933</v>
      </c>
      <c r="CA148" s="228">
        <v>3</v>
      </c>
      <c r="CB148" s="229">
        <v>1.1000000000000001E-3</v>
      </c>
      <c r="CC148" s="230">
        <v>2758</v>
      </c>
      <c r="CD148" s="230">
        <v>2811</v>
      </c>
      <c r="CE148" s="228">
        <v>-52</v>
      </c>
      <c r="CF148" s="229">
        <v>-1.8700000000000001E-2</v>
      </c>
      <c r="CG148" s="228">
        <v>130</v>
      </c>
      <c r="CH148" s="228">
        <v>111</v>
      </c>
      <c r="CI148" s="228">
        <v>19</v>
      </c>
      <c r="CJ148" s="229">
        <v>0.1668</v>
      </c>
      <c r="CK148" s="228">
        <v>48</v>
      </c>
      <c r="CL148" s="228">
        <v>11</v>
      </c>
      <c r="CM148" s="228">
        <v>37</v>
      </c>
      <c r="CN148" s="229">
        <v>3.3626</v>
      </c>
      <c r="CO148" s="228">
        <v>721</v>
      </c>
      <c r="CP148" s="228">
        <v>661</v>
      </c>
      <c r="CQ148" s="228">
        <v>60</v>
      </c>
      <c r="CR148" s="229">
        <v>9.0899999999999995E-2</v>
      </c>
      <c r="CS148" s="228">
        <v>495</v>
      </c>
      <c r="CT148" s="228">
        <v>427</v>
      </c>
      <c r="CU148" s="228">
        <v>68</v>
      </c>
      <c r="CV148" s="229">
        <v>0.158</v>
      </c>
      <c r="CW148" s="230">
        <v>4152</v>
      </c>
      <c r="CX148" s="230">
        <v>4021</v>
      </c>
      <c r="CY148" s="228">
        <v>131</v>
      </c>
      <c r="CZ148" s="229">
        <v>3.2500000000000001E-2</v>
      </c>
      <c r="DA148" s="228">
        <v>33.1</v>
      </c>
      <c r="DB148" s="228">
        <v>34.01</v>
      </c>
      <c r="DC148" s="228">
        <v>-0.91</v>
      </c>
      <c r="DD148" s="228">
        <v>-0.91</v>
      </c>
      <c r="DE148" s="228">
        <v>39.090000000000003</v>
      </c>
      <c r="DF148" s="228">
        <v>38.96</v>
      </c>
      <c r="DG148" s="228">
        <v>-5.99</v>
      </c>
      <c r="DH148" s="228">
        <v>0.13</v>
      </c>
      <c r="DI148" s="228">
        <v>32.17</v>
      </c>
      <c r="DJ148" s="228">
        <v>33.14</v>
      </c>
      <c r="DK148" s="228">
        <v>-0.97</v>
      </c>
      <c r="DL148" s="228">
        <v>-0.97</v>
      </c>
      <c r="DM148" s="228">
        <v>35.799999999999997</v>
      </c>
      <c r="DN148" s="228">
        <v>36.32</v>
      </c>
      <c r="DO148" s="228">
        <v>-0.52</v>
      </c>
      <c r="DP148" s="228">
        <v>-0.52</v>
      </c>
      <c r="DQ148" s="228">
        <v>0.69</v>
      </c>
      <c r="DR148" s="228">
        <v>0.65</v>
      </c>
      <c r="DS148" s="228">
        <v>0.04</v>
      </c>
      <c r="DT148" s="229">
        <v>6.1499999999999999E-2</v>
      </c>
      <c r="DU148" s="228">
        <v>90</v>
      </c>
      <c r="DV148" s="228">
        <v>80</v>
      </c>
      <c r="DW148" s="228">
        <v>0.34</v>
      </c>
      <c r="DX148" s="228">
        <v>0.37</v>
      </c>
      <c r="DY148" s="228">
        <v>-0.03</v>
      </c>
      <c r="DZ148" s="229">
        <v>-8.1100000000000005E-2</v>
      </c>
      <c r="EA148" s="229">
        <v>6.0699999999999997E-2</v>
      </c>
      <c r="EB148" s="230">
        <v>13608000</v>
      </c>
      <c r="EC148" s="229">
        <v>5.5999999999999999E-3</v>
      </c>
      <c r="ED148" s="229">
        <v>6.0699999999999997E-2</v>
      </c>
      <c r="EE148" s="228">
        <v>0.56999999999999995</v>
      </c>
      <c r="EF148" s="229">
        <v>6.4000000000000003E-3</v>
      </c>
      <c r="EG148" s="230">
        <v>21621115</v>
      </c>
      <c r="EH148" s="230">
        <v>19919788</v>
      </c>
      <c r="EI148" s="229">
        <v>8.5400000000000004E-2</v>
      </c>
      <c r="EJ148" s="229">
        <v>0.4834</v>
      </c>
      <c r="EK148" s="231">
        <v>1549.42</v>
      </c>
      <c r="EL148" s="228">
        <v>493.89</v>
      </c>
      <c r="EM148" s="228">
        <v>453.37</v>
      </c>
      <c r="EN148" s="228">
        <v>54.2</v>
      </c>
      <c r="EO148" s="231">
        <v>2496.6799999999998</v>
      </c>
      <c r="EP148" s="231">
        <v>2069.61</v>
      </c>
      <c r="EQ148" s="228">
        <v>427.07</v>
      </c>
      <c r="ER148" s="229">
        <v>0.2064</v>
      </c>
      <c r="ES148" s="228">
        <v>708.7</v>
      </c>
      <c r="ET148" s="228">
        <v>443.22</v>
      </c>
      <c r="EU148" s="231">
        <v>2937.71</v>
      </c>
      <c r="EV148" s="231">
        <v>517037525</v>
      </c>
      <c r="EW148" s="231">
        <v>4089.62</v>
      </c>
      <c r="EX148" s="231">
        <v>3862.07</v>
      </c>
      <c r="EY148" s="228">
        <v>227.55</v>
      </c>
      <c r="EZ148" s="229">
        <v>5.8900000000000001E-2</v>
      </c>
      <c r="FA148" s="229">
        <v>0.89270000000000005</v>
      </c>
      <c r="FB148" s="227" t="s">
        <v>555</v>
      </c>
      <c r="FC148">
        <f>BY221-CC221</f>
        <v>0</v>
      </c>
    </row>
    <row r="149" spans="1:159" ht="17.25" thickBot="1" x14ac:dyDescent="0.3">
      <c r="A149" s="226">
        <v>46129</v>
      </c>
      <c r="B149" s="227" t="s">
        <v>161</v>
      </c>
      <c r="C149" s="227" t="s">
        <v>268</v>
      </c>
      <c r="D149" s="228">
        <v>1500</v>
      </c>
      <c r="E149" s="228">
        <v>11</v>
      </c>
      <c r="F149" s="228">
        <v>395.2</v>
      </c>
      <c r="G149" s="228">
        <v>391.95</v>
      </c>
      <c r="H149" s="228">
        <v>3.25</v>
      </c>
      <c r="I149" s="229">
        <v>8.3000000000000001E-3</v>
      </c>
      <c r="J149" s="228">
        <v>393.6</v>
      </c>
      <c r="K149" s="228">
        <v>390.8</v>
      </c>
      <c r="L149" s="228">
        <v>2.8</v>
      </c>
      <c r="M149" s="229">
        <v>7.1999999999999998E-3</v>
      </c>
      <c r="N149" s="228">
        <v>395.2</v>
      </c>
      <c r="O149" s="228">
        <v>391.95</v>
      </c>
      <c r="P149" s="228">
        <v>3.25</v>
      </c>
      <c r="Q149" s="229">
        <v>8.3000000000000001E-3</v>
      </c>
      <c r="R149" s="228">
        <v>397.1</v>
      </c>
      <c r="S149" s="228">
        <v>394.25</v>
      </c>
      <c r="T149" s="228">
        <v>2.85</v>
      </c>
      <c r="U149" s="229">
        <v>7.1999999999999998E-3</v>
      </c>
      <c r="V149" s="228">
        <v>399.1</v>
      </c>
      <c r="W149" s="228">
        <v>396.6</v>
      </c>
      <c r="X149" s="228">
        <v>2.5</v>
      </c>
      <c r="Y149" s="229">
        <v>6.3E-3</v>
      </c>
      <c r="Z149" s="228">
        <v>1.6</v>
      </c>
      <c r="AA149" s="228">
        <v>1.1499999999999999</v>
      </c>
      <c r="AB149" s="228">
        <v>0.45</v>
      </c>
      <c r="AC149" s="229">
        <v>4.1000000000000003E-3</v>
      </c>
      <c r="AD149" s="228">
        <v>1.6</v>
      </c>
      <c r="AE149" s="228">
        <v>1.1499999999999999</v>
      </c>
      <c r="AF149" s="228">
        <v>0.45</v>
      </c>
      <c r="AG149" s="229">
        <v>4.1000000000000003E-3</v>
      </c>
      <c r="AH149" s="228">
        <v>3.5</v>
      </c>
      <c r="AI149" s="228">
        <v>3.45</v>
      </c>
      <c r="AJ149" s="228">
        <v>0.05</v>
      </c>
      <c r="AK149" s="229">
        <v>8.8999999999999999E-3</v>
      </c>
      <c r="AL149" s="228">
        <v>5.5</v>
      </c>
      <c r="AM149" s="228">
        <v>5.8</v>
      </c>
      <c r="AN149" s="228">
        <v>-0.3</v>
      </c>
      <c r="AO149" s="229">
        <v>1.4E-2</v>
      </c>
      <c r="AP149" s="228">
        <v>393.65</v>
      </c>
      <c r="AQ149" s="228">
        <v>394.88</v>
      </c>
      <c r="AR149" s="228">
        <v>0</v>
      </c>
      <c r="AS149" s="228">
        <v>813</v>
      </c>
      <c r="AT149" s="228">
        <v>504</v>
      </c>
      <c r="AU149" s="228">
        <v>309</v>
      </c>
      <c r="AV149" s="229">
        <v>0.61360000000000003</v>
      </c>
      <c r="AW149" s="228">
        <v>663</v>
      </c>
      <c r="AX149" s="228">
        <v>404</v>
      </c>
      <c r="AY149" s="228">
        <v>258</v>
      </c>
      <c r="AZ149" s="229">
        <v>0.6391</v>
      </c>
      <c r="BA149" s="228">
        <v>145</v>
      </c>
      <c r="BB149" s="228">
        <v>36</v>
      </c>
      <c r="BC149" s="228">
        <v>109</v>
      </c>
      <c r="BD149" s="229">
        <v>3.0131000000000001</v>
      </c>
      <c r="BE149" s="228">
        <v>5</v>
      </c>
      <c r="BF149" s="228">
        <v>63</v>
      </c>
      <c r="BG149" s="228">
        <v>-58</v>
      </c>
      <c r="BH149" s="229">
        <v>-0.92579999999999996</v>
      </c>
      <c r="BI149" s="230">
        <v>3358</v>
      </c>
      <c r="BJ149" s="230">
        <v>2929</v>
      </c>
      <c r="BK149" s="228">
        <v>430</v>
      </c>
      <c r="BL149" s="229">
        <v>0.14680000000000001</v>
      </c>
      <c r="BM149" s="230">
        <v>1589</v>
      </c>
      <c r="BN149" s="230">
        <v>1291</v>
      </c>
      <c r="BO149" s="228">
        <v>298</v>
      </c>
      <c r="BP149" s="229">
        <v>0.23119999999999999</v>
      </c>
      <c r="BQ149" s="230">
        <v>5760</v>
      </c>
      <c r="BR149" s="230">
        <v>4723</v>
      </c>
      <c r="BS149" s="230">
        <v>1037</v>
      </c>
      <c r="BT149" s="229">
        <v>0.21959999999999999</v>
      </c>
      <c r="BU149" s="230">
        <v>15936041</v>
      </c>
      <c r="BV149" s="230">
        <v>10966414</v>
      </c>
      <c r="BW149" s="230">
        <v>4969627</v>
      </c>
      <c r="BX149" s="229">
        <v>0.45319999999999999</v>
      </c>
      <c r="BY149" s="230">
        <v>3874</v>
      </c>
      <c r="BZ149" s="230">
        <v>3611</v>
      </c>
      <c r="CA149" s="228">
        <v>263</v>
      </c>
      <c r="CB149" s="229">
        <v>7.2900000000000006E-2</v>
      </c>
      <c r="CC149" s="230">
        <v>3265</v>
      </c>
      <c r="CD149" s="230">
        <v>3103</v>
      </c>
      <c r="CE149" s="228">
        <v>162</v>
      </c>
      <c r="CF149" s="229">
        <v>5.21E-2</v>
      </c>
      <c r="CG149" s="228">
        <v>476</v>
      </c>
      <c r="CH149" s="228">
        <v>375</v>
      </c>
      <c r="CI149" s="228">
        <v>101</v>
      </c>
      <c r="CJ149" s="229">
        <v>0.26939999999999997</v>
      </c>
      <c r="CK149" s="228">
        <v>133</v>
      </c>
      <c r="CL149" s="228">
        <v>133</v>
      </c>
      <c r="CM149" s="228">
        <v>0</v>
      </c>
      <c r="CN149" s="229">
        <v>2.2000000000000001E-3</v>
      </c>
      <c r="CO149" s="230">
        <v>2345</v>
      </c>
      <c r="CP149" s="230">
        <v>2032</v>
      </c>
      <c r="CQ149" s="228">
        <v>314</v>
      </c>
      <c r="CR149" s="229">
        <v>0.15429999999999999</v>
      </c>
      <c r="CS149" s="230">
        <v>1238</v>
      </c>
      <c r="CT149" s="230">
        <v>1146</v>
      </c>
      <c r="CU149" s="228">
        <v>92</v>
      </c>
      <c r="CV149" s="229">
        <v>8.0299999999999996E-2</v>
      </c>
      <c r="CW149" s="230">
        <v>7458</v>
      </c>
      <c r="CX149" s="230">
        <v>6789</v>
      </c>
      <c r="CY149" s="228">
        <v>669</v>
      </c>
      <c r="CZ149" s="229">
        <v>9.8500000000000004E-2</v>
      </c>
      <c r="DA149" s="228">
        <v>19.97</v>
      </c>
      <c r="DB149" s="228">
        <v>21.65</v>
      </c>
      <c r="DC149" s="228">
        <v>-1.68</v>
      </c>
      <c r="DD149" s="228">
        <v>-1.68</v>
      </c>
      <c r="DE149" s="228">
        <v>27.42</v>
      </c>
      <c r="DF149" s="228">
        <v>27.47</v>
      </c>
      <c r="DG149" s="228">
        <v>-7.45</v>
      </c>
      <c r="DH149" s="228">
        <v>-0.05</v>
      </c>
      <c r="DI149" s="228">
        <v>19.21</v>
      </c>
      <c r="DJ149" s="228">
        <v>21.05</v>
      </c>
      <c r="DK149" s="228">
        <v>-1.84</v>
      </c>
      <c r="DL149" s="228">
        <v>-1.84</v>
      </c>
      <c r="DM149" s="228">
        <v>21.58</v>
      </c>
      <c r="DN149" s="228">
        <v>23</v>
      </c>
      <c r="DO149" s="228">
        <v>-1.42</v>
      </c>
      <c r="DP149" s="228">
        <v>-1.42</v>
      </c>
      <c r="DQ149" s="228">
        <v>0.53</v>
      </c>
      <c r="DR149" s="228">
        <v>0.56000000000000005</v>
      </c>
      <c r="DS149" s="228">
        <v>-0.03</v>
      </c>
      <c r="DT149" s="229">
        <v>-5.3600000000000002E-2</v>
      </c>
      <c r="DU149" s="228">
        <v>395</v>
      </c>
      <c r="DV149" s="228">
        <v>380</v>
      </c>
      <c r="DW149" s="228">
        <v>0.47</v>
      </c>
      <c r="DX149" s="228">
        <v>0.44</v>
      </c>
      <c r="DY149" s="228">
        <v>0.03</v>
      </c>
      <c r="DZ149" s="229">
        <v>6.8199999999999997E-2</v>
      </c>
      <c r="EA149" s="229">
        <v>0.1573</v>
      </c>
      <c r="EB149" s="230">
        <v>12852000</v>
      </c>
      <c r="EC149" s="229">
        <v>4.7999999999999996E-3</v>
      </c>
      <c r="ED149" s="229">
        <v>0.1573</v>
      </c>
      <c r="EE149" s="228">
        <v>1.23</v>
      </c>
      <c r="EF149" s="229">
        <v>3.0999999999999999E-3</v>
      </c>
      <c r="EG149" s="230">
        <v>10153267</v>
      </c>
      <c r="EH149" s="230">
        <v>5164136</v>
      </c>
      <c r="EI149" s="229">
        <v>0.96609999999999996</v>
      </c>
      <c r="EJ149" s="229">
        <v>0.6371</v>
      </c>
      <c r="EK149" s="231">
        <v>3422.68</v>
      </c>
      <c r="EL149" s="231">
        <v>1567.49</v>
      </c>
      <c r="EM149" s="228">
        <v>809.98</v>
      </c>
      <c r="EN149" s="228">
        <v>91.62</v>
      </c>
      <c r="EO149" s="231">
        <v>5800.16</v>
      </c>
      <c r="EP149" s="231">
        <v>4767.58</v>
      </c>
      <c r="EQ149" s="231">
        <v>1032.58</v>
      </c>
      <c r="ER149" s="229">
        <v>0.21659999999999999</v>
      </c>
      <c r="ES149" s="231">
        <v>2315.81</v>
      </c>
      <c r="ET149" s="231">
        <v>1168.22</v>
      </c>
      <c r="EU149" s="231">
        <v>3877.97</v>
      </c>
      <c r="EV149" s="231">
        <v>550512361</v>
      </c>
      <c r="EW149" s="231">
        <v>7361.99</v>
      </c>
      <c r="EX149" s="231">
        <v>6661.66</v>
      </c>
      <c r="EY149" s="228">
        <v>700.33</v>
      </c>
      <c r="EZ149" s="229">
        <v>0.1051</v>
      </c>
      <c r="FA149" s="229">
        <v>0.34279999999999999</v>
      </c>
      <c r="FB149" s="227" t="s">
        <v>555</v>
      </c>
      <c r="FC149">
        <f t="shared" ref="FC149:FC194" si="3">BY220-CC220</f>
        <v>28</v>
      </c>
    </row>
    <row r="150" spans="1:159" ht="17.25" thickBot="1" x14ac:dyDescent="0.3">
      <c r="A150" s="226">
        <v>46129</v>
      </c>
      <c r="B150" s="227" t="s">
        <v>175</v>
      </c>
      <c r="C150" s="227" t="s">
        <v>683</v>
      </c>
      <c r="D150" s="228">
        <v>500</v>
      </c>
      <c r="E150" s="228">
        <v>11</v>
      </c>
      <c r="F150" s="231">
        <v>1394.8</v>
      </c>
      <c r="G150" s="231">
        <v>1355.9</v>
      </c>
      <c r="H150" s="228">
        <v>38.9</v>
      </c>
      <c r="I150" s="229">
        <v>2.87E-2</v>
      </c>
      <c r="J150" s="231">
        <v>1400.7</v>
      </c>
      <c r="K150" s="231">
        <v>1366.4</v>
      </c>
      <c r="L150" s="228">
        <v>34.299999999999997</v>
      </c>
      <c r="M150" s="229">
        <v>2.5100000000000001E-2</v>
      </c>
      <c r="N150" s="231">
        <v>1394.8</v>
      </c>
      <c r="O150" s="231">
        <v>1355.9</v>
      </c>
      <c r="P150" s="228">
        <v>38.9</v>
      </c>
      <c r="Q150" s="229">
        <v>2.87E-2</v>
      </c>
      <c r="R150" s="231">
        <v>1384.8</v>
      </c>
      <c r="S150" s="231">
        <v>1345.7</v>
      </c>
      <c r="T150" s="228">
        <v>39.1</v>
      </c>
      <c r="U150" s="229">
        <v>2.9100000000000001E-2</v>
      </c>
      <c r="V150" s="231">
        <v>1375.9</v>
      </c>
      <c r="W150" s="231">
        <v>1349.1</v>
      </c>
      <c r="X150" s="228">
        <v>26.8</v>
      </c>
      <c r="Y150" s="229">
        <v>1.9900000000000001E-2</v>
      </c>
      <c r="Z150" s="228">
        <v>-5.9</v>
      </c>
      <c r="AA150" s="228">
        <v>-10.5</v>
      </c>
      <c r="AB150" s="228">
        <v>4.5999999999999996</v>
      </c>
      <c r="AC150" s="229">
        <v>-4.1999999999999997E-3</v>
      </c>
      <c r="AD150" s="228">
        <v>-5.9</v>
      </c>
      <c r="AE150" s="228">
        <v>-10.5</v>
      </c>
      <c r="AF150" s="228">
        <v>4.5999999999999996</v>
      </c>
      <c r="AG150" s="229">
        <v>-4.1999999999999997E-3</v>
      </c>
      <c r="AH150" s="228">
        <v>-15.9</v>
      </c>
      <c r="AI150" s="228">
        <v>-20.7</v>
      </c>
      <c r="AJ150" s="228">
        <v>4.8</v>
      </c>
      <c r="AK150" s="229">
        <v>-1.14E-2</v>
      </c>
      <c r="AL150" s="228">
        <v>-24.8</v>
      </c>
      <c r="AM150" s="228">
        <v>-17.3</v>
      </c>
      <c r="AN150" s="228">
        <v>-7.5</v>
      </c>
      <c r="AO150" s="229">
        <v>-1.77E-2</v>
      </c>
      <c r="AP150" s="231">
        <v>1387.62</v>
      </c>
      <c r="AQ150" s="231">
        <v>1371.3</v>
      </c>
      <c r="AR150" s="228">
        <v>0</v>
      </c>
      <c r="AS150" s="228">
        <v>95</v>
      </c>
      <c r="AT150" s="228">
        <v>74</v>
      </c>
      <c r="AU150" s="228">
        <v>21</v>
      </c>
      <c r="AV150" s="229">
        <v>0.2903</v>
      </c>
      <c r="AW150" s="228">
        <v>79</v>
      </c>
      <c r="AX150" s="228">
        <v>65</v>
      </c>
      <c r="AY150" s="228">
        <v>15</v>
      </c>
      <c r="AZ150" s="229">
        <v>0.22919999999999999</v>
      </c>
      <c r="BA150" s="228">
        <v>15</v>
      </c>
      <c r="BB150" s="228">
        <v>9</v>
      </c>
      <c r="BC150" s="228">
        <v>7</v>
      </c>
      <c r="BD150" s="229">
        <v>0.752</v>
      </c>
      <c r="BE150" s="228">
        <v>0</v>
      </c>
      <c r="BF150" s="228">
        <v>0</v>
      </c>
      <c r="BG150" s="228">
        <v>0</v>
      </c>
      <c r="BH150" s="229">
        <v>0</v>
      </c>
      <c r="BI150" s="228">
        <v>196</v>
      </c>
      <c r="BJ150" s="228">
        <v>64</v>
      </c>
      <c r="BK150" s="228">
        <v>132</v>
      </c>
      <c r="BL150" s="229">
        <v>2.0577000000000001</v>
      </c>
      <c r="BM150" s="228">
        <v>57</v>
      </c>
      <c r="BN150" s="228">
        <v>92</v>
      </c>
      <c r="BO150" s="228">
        <v>-35</v>
      </c>
      <c r="BP150" s="229">
        <v>-0.377</v>
      </c>
      <c r="BQ150" s="228">
        <v>348</v>
      </c>
      <c r="BR150" s="228">
        <v>230</v>
      </c>
      <c r="BS150" s="228">
        <v>118</v>
      </c>
      <c r="BT150" s="229">
        <v>0.51580000000000004</v>
      </c>
      <c r="BU150" s="230">
        <v>389302</v>
      </c>
      <c r="BV150" s="230">
        <v>500996</v>
      </c>
      <c r="BW150" s="230">
        <v>-111694</v>
      </c>
      <c r="BX150" s="229">
        <v>-0.22289999999999999</v>
      </c>
      <c r="BY150" s="228">
        <v>284</v>
      </c>
      <c r="BZ150" s="228">
        <v>280</v>
      </c>
      <c r="CA150" s="228">
        <v>4</v>
      </c>
      <c r="CB150" s="229">
        <v>1.54E-2</v>
      </c>
      <c r="CC150" s="228">
        <v>262</v>
      </c>
      <c r="CD150" s="228">
        <v>266</v>
      </c>
      <c r="CE150" s="228">
        <v>-4</v>
      </c>
      <c r="CF150" s="229">
        <v>-1.37E-2</v>
      </c>
      <c r="CG150" s="228">
        <v>20</v>
      </c>
      <c r="CH150" s="228">
        <v>12</v>
      </c>
      <c r="CI150" s="228">
        <v>8</v>
      </c>
      <c r="CJ150" s="229">
        <v>0.63429999999999997</v>
      </c>
      <c r="CK150" s="228">
        <v>2</v>
      </c>
      <c r="CL150" s="228">
        <v>2</v>
      </c>
      <c r="CM150" s="228">
        <v>0</v>
      </c>
      <c r="CN150" s="229">
        <v>9.3799999999999994E-2</v>
      </c>
      <c r="CO150" s="228">
        <v>134</v>
      </c>
      <c r="CP150" s="228">
        <v>123</v>
      </c>
      <c r="CQ150" s="228">
        <v>12</v>
      </c>
      <c r="CR150" s="229">
        <v>9.6699999999999994E-2</v>
      </c>
      <c r="CS150" s="228">
        <v>114</v>
      </c>
      <c r="CT150" s="228">
        <v>109</v>
      </c>
      <c r="CU150" s="228">
        <v>4</v>
      </c>
      <c r="CV150" s="229">
        <v>3.95E-2</v>
      </c>
      <c r="CW150" s="228">
        <v>532</v>
      </c>
      <c r="CX150" s="228">
        <v>512</v>
      </c>
      <c r="CY150" s="228">
        <v>21</v>
      </c>
      <c r="CZ150" s="229">
        <v>0.04</v>
      </c>
      <c r="DA150" s="228">
        <v>40.909999999999997</v>
      </c>
      <c r="DB150" s="228">
        <v>49.64</v>
      </c>
      <c r="DC150" s="228">
        <v>-8.73</v>
      </c>
      <c r="DD150" s="228">
        <v>-8.73</v>
      </c>
      <c r="DE150" s="228">
        <v>51.01</v>
      </c>
      <c r="DF150" s="228">
        <v>51</v>
      </c>
      <c r="DG150" s="228">
        <v>-10.1</v>
      </c>
      <c r="DH150" s="228">
        <v>0.01</v>
      </c>
      <c r="DI150" s="228">
        <v>38.950000000000003</v>
      </c>
      <c r="DJ150" s="228">
        <v>38.68</v>
      </c>
      <c r="DK150" s="228">
        <v>0.27</v>
      </c>
      <c r="DL150" s="228">
        <v>0.27</v>
      </c>
      <c r="DM150" s="228">
        <v>47.62</v>
      </c>
      <c r="DN150" s="228">
        <v>57.27</v>
      </c>
      <c r="DO150" s="228">
        <v>-9.65</v>
      </c>
      <c r="DP150" s="228">
        <v>-9.65</v>
      </c>
      <c r="DQ150" s="228">
        <v>0.85</v>
      </c>
      <c r="DR150" s="228">
        <v>0.89</v>
      </c>
      <c r="DS150" s="228">
        <v>-0.04</v>
      </c>
      <c r="DT150" s="229">
        <v>-4.4900000000000002E-2</v>
      </c>
      <c r="DU150" s="231">
        <v>1480</v>
      </c>
      <c r="DV150" s="231">
        <v>1300</v>
      </c>
      <c r="DW150" s="228">
        <v>0.28999999999999998</v>
      </c>
      <c r="DX150" s="228">
        <v>1.44</v>
      </c>
      <c r="DY150" s="228">
        <v>-1.1499999999999999</v>
      </c>
      <c r="DZ150" s="229">
        <v>-0.79859999999999998</v>
      </c>
      <c r="EA150" s="229">
        <v>7.8799999999999995E-2</v>
      </c>
      <c r="EB150" s="230">
        <v>103500</v>
      </c>
      <c r="EC150" s="229">
        <v>-7.1999999999999998E-3</v>
      </c>
      <c r="ED150" s="229">
        <v>7.8799999999999995E-2</v>
      </c>
      <c r="EE150" s="228">
        <v>-16.32</v>
      </c>
      <c r="EF150" s="229">
        <v>-1.18E-2</v>
      </c>
      <c r="EG150" s="230">
        <v>169158</v>
      </c>
      <c r="EH150" s="230">
        <v>261311</v>
      </c>
      <c r="EI150" s="229">
        <v>-0.35270000000000001</v>
      </c>
      <c r="EJ150" s="229">
        <v>0.4345</v>
      </c>
      <c r="EK150" s="228">
        <v>205.18</v>
      </c>
      <c r="EL150" s="228">
        <v>51.97</v>
      </c>
      <c r="EM150" s="228">
        <v>94.18</v>
      </c>
      <c r="EN150" s="228">
        <v>7.3</v>
      </c>
      <c r="EO150" s="228">
        <v>351.33</v>
      </c>
      <c r="EP150" s="228">
        <v>211.92</v>
      </c>
      <c r="EQ150" s="228">
        <v>139.41</v>
      </c>
      <c r="ER150" s="229">
        <v>0.65780000000000005</v>
      </c>
      <c r="ES150" s="228">
        <v>129.83000000000001</v>
      </c>
      <c r="ET150" s="228">
        <v>98.45</v>
      </c>
      <c r="EU150" s="228">
        <v>284.08</v>
      </c>
      <c r="EV150" s="231">
        <v>12490416</v>
      </c>
      <c r="EW150" s="228">
        <v>512.37</v>
      </c>
      <c r="EX150" s="228">
        <v>482.14</v>
      </c>
      <c r="EY150" s="228">
        <v>30.23</v>
      </c>
      <c r="EZ150" s="229">
        <v>6.2700000000000006E-2</v>
      </c>
      <c r="FA150" s="229">
        <v>0.30559999999999998</v>
      </c>
      <c r="FB150" s="227" t="s">
        <v>555</v>
      </c>
      <c r="FC150">
        <f t="shared" si="3"/>
        <v>0</v>
      </c>
    </row>
    <row r="151" spans="1:159" ht="17.25" thickBot="1" x14ac:dyDescent="0.3">
      <c r="A151" s="226">
        <v>46129</v>
      </c>
      <c r="B151" s="227" t="s">
        <v>614</v>
      </c>
      <c r="C151" s="227" t="s">
        <v>612</v>
      </c>
      <c r="D151" s="228">
        <v>3125</v>
      </c>
      <c r="E151" s="228">
        <v>11</v>
      </c>
      <c r="F151" s="228">
        <v>270.02999999999997</v>
      </c>
      <c r="G151" s="228">
        <v>263.43</v>
      </c>
      <c r="H151" s="228">
        <v>6.6</v>
      </c>
      <c r="I151" s="229">
        <v>2.5100000000000001E-2</v>
      </c>
      <c r="J151" s="228">
        <v>269.66000000000003</v>
      </c>
      <c r="K151" s="228">
        <v>262.61</v>
      </c>
      <c r="L151" s="228">
        <v>7.05</v>
      </c>
      <c r="M151" s="229">
        <v>2.6800000000000001E-2</v>
      </c>
      <c r="N151" s="228">
        <v>270.02999999999997</v>
      </c>
      <c r="O151" s="228">
        <v>263.43</v>
      </c>
      <c r="P151" s="228">
        <v>6.6</v>
      </c>
      <c r="Q151" s="229">
        <v>2.5100000000000001E-2</v>
      </c>
      <c r="R151" s="228">
        <v>270.89</v>
      </c>
      <c r="S151" s="228">
        <v>264.91000000000003</v>
      </c>
      <c r="T151" s="228">
        <v>5.98</v>
      </c>
      <c r="U151" s="229">
        <v>2.2599999999999999E-2</v>
      </c>
      <c r="V151" s="228">
        <v>270</v>
      </c>
      <c r="W151" s="228">
        <v>264.48</v>
      </c>
      <c r="X151" s="228">
        <v>5.52</v>
      </c>
      <c r="Y151" s="229">
        <v>2.0899999999999998E-2</v>
      </c>
      <c r="Z151" s="228">
        <v>0.37</v>
      </c>
      <c r="AA151" s="228">
        <v>0.82</v>
      </c>
      <c r="AB151" s="228">
        <v>-0.45</v>
      </c>
      <c r="AC151" s="229">
        <v>1.4E-3</v>
      </c>
      <c r="AD151" s="228">
        <v>0.37</v>
      </c>
      <c r="AE151" s="228">
        <v>0.82</v>
      </c>
      <c r="AF151" s="228">
        <v>-0.45</v>
      </c>
      <c r="AG151" s="229">
        <v>1.4E-3</v>
      </c>
      <c r="AH151" s="228">
        <v>1.23</v>
      </c>
      <c r="AI151" s="228">
        <v>2.2999999999999998</v>
      </c>
      <c r="AJ151" s="228">
        <v>-1.07</v>
      </c>
      <c r="AK151" s="229">
        <v>4.5999999999999999E-3</v>
      </c>
      <c r="AL151" s="228">
        <v>0.34</v>
      </c>
      <c r="AM151" s="228">
        <v>1.87</v>
      </c>
      <c r="AN151" s="228">
        <v>-1.53</v>
      </c>
      <c r="AO151" s="229">
        <v>1.2999999999999999E-3</v>
      </c>
      <c r="AP151" s="228">
        <v>268.26</v>
      </c>
      <c r="AQ151" s="228">
        <v>268.88</v>
      </c>
      <c r="AR151" s="228">
        <v>0</v>
      </c>
      <c r="AS151" s="228">
        <v>129</v>
      </c>
      <c r="AT151" s="228">
        <v>82</v>
      </c>
      <c r="AU151" s="228">
        <v>47</v>
      </c>
      <c r="AV151" s="229">
        <v>0.5766</v>
      </c>
      <c r="AW151" s="228">
        <v>111</v>
      </c>
      <c r="AX151" s="228">
        <v>73</v>
      </c>
      <c r="AY151" s="228">
        <v>37</v>
      </c>
      <c r="AZ151" s="229">
        <v>0.504</v>
      </c>
      <c r="BA151" s="228">
        <v>17</v>
      </c>
      <c r="BB151" s="228">
        <v>7</v>
      </c>
      <c r="BC151" s="228">
        <v>10</v>
      </c>
      <c r="BD151" s="229">
        <v>1.3734999999999999</v>
      </c>
      <c r="BE151" s="228">
        <v>1</v>
      </c>
      <c r="BF151" s="228">
        <v>1</v>
      </c>
      <c r="BG151" s="228">
        <v>0</v>
      </c>
      <c r="BH151" s="229">
        <v>0.33329999999999999</v>
      </c>
      <c r="BI151" s="228">
        <v>338</v>
      </c>
      <c r="BJ151" s="228">
        <v>180</v>
      </c>
      <c r="BK151" s="228">
        <v>158</v>
      </c>
      <c r="BL151" s="229">
        <v>0.87939999999999996</v>
      </c>
      <c r="BM151" s="228">
        <v>126</v>
      </c>
      <c r="BN151" s="228">
        <v>58</v>
      </c>
      <c r="BO151" s="228">
        <v>68</v>
      </c>
      <c r="BP151" s="229">
        <v>1.1859</v>
      </c>
      <c r="BQ151" s="228">
        <v>592</v>
      </c>
      <c r="BR151" s="228">
        <v>319</v>
      </c>
      <c r="BS151" s="228">
        <v>273</v>
      </c>
      <c r="BT151" s="229">
        <v>0.85740000000000005</v>
      </c>
      <c r="BU151" s="230">
        <v>3779759</v>
      </c>
      <c r="BV151" s="230">
        <v>3179795</v>
      </c>
      <c r="BW151" s="230">
        <v>599964</v>
      </c>
      <c r="BX151" s="229">
        <v>0.18870000000000001</v>
      </c>
      <c r="BY151" s="230">
        <v>1230</v>
      </c>
      <c r="BZ151" s="230">
        <v>1235</v>
      </c>
      <c r="CA151" s="228">
        <v>-5</v>
      </c>
      <c r="CB151" s="229">
        <v>-3.8E-3</v>
      </c>
      <c r="CC151" s="230">
        <v>1196</v>
      </c>
      <c r="CD151" s="230">
        <v>1205</v>
      </c>
      <c r="CE151" s="228">
        <v>-8</v>
      </c>
      <c r="CF151" s="229">
        <v>-6.8999999999999999E-3</v>
      </c>
      <c r="CG151" s="228">
        <v>32</v>
      </c>
      <c r="CH151" s="228">
        <v>29</v>
      </c>
      <c r="CI151" s="228">
        <v>3</v>
      </c>
      <c r="CJ151" s="229">
        <v>0.1124</v>
      </c>
      <c r="CK151" s="228">
        <v>2</v>
      </c>
      <c r="CL151" s="228">
        <v>2</v>
      </c>
      <c r="CM151" s="228">
        <v>0</v>
      </c>
      <c r="CN151" s="229">
        <v>0.18179999999999999</v>
      </c>
      <c r="CO151" s="228">
        <v>207</v>
      </c>
      <c r="CP151" s="228">
        <v>221</v>
      </c>
      <c r="CQ151" s="228">
        <v>-14</v>
      </c>
      <c r="CR151" s="229">
        <v>-6.4500000000000002E-2</v>
      </c>
      <c r="CS151" s="228">
        <v>146</v>
      </c>
      <c r="CT151" s="228">
        <v>125</v>
      </c>
      <c r="CU151" s="228">
        <v>21</v>
      </c>
      <c r="CV151" s="229">
        <v>0.1696</v>
      </c>
      <c r="CW151" s="230">
        <v>1583</v>
      </c>
      <c r="CX151" s="230">
        <v>1581</v>
      </c>
      <c r="CY151" s="228">
        <v>2</v>
      </c>
      <c r="CZ151" s="229">
        <v>1.4E-3</v>
      </c>
      <c r="DA151" s="228">
        <v>29.56</v>
      </c>
      <c r="DB151" s="228">
        <v>30.95</v>
      </c>
      <c r="DC151" s="228">
        <v>-1.39</v>
      </c>
      <c r="DD151" s="228">
        <v>-1.39</v>
      </c>
      <c r="DE151" s="228">
        <v>36.020000000000003</v>
      </c>
      <c r="DF151" s="228">
        <v>35.94</v>
      </c>
      <c r="DG151" s="228">
        <v>-6.46</v>
      </c>
      <c r="DH151" s="228">
        <v>0.08</v>
      </c>
      <c r="DI151" s="228">
        <v>28.27</v>
      </c>
      <c r="DJ151" s="228">
        <v>30.14</v>
      </c>
      <c r="DK151" s="228">
        <v>-1.87</v>
      </c>
      <c r="DL151" s="228">
        <v>-1.87</v>
      </c>
      <c r="DM151" s="228">
        <v>33.03</v>
      </c>
      <c r="DN151" s="228">
        <v>33.49</v>
      </c>
      <c r="DO151" s="228">
        <v>-0.46</v>
      </c>
      <c r="DP151" s="228">
        <v>-0.46</v>
      </c>
      <c r="DQ151" s="228">
        <v>0.71</v>
      </c>
      <c r="DR151" s="228">
        <v>0.56000000000000005</v>
      </c>
      <c r="DS151" s="228">
        <v>0.15</v>
      </c>
      <c r="DT151" s="229">
        <v>0.26790000000000003</v>
      </c>
      <c r="DU151" s="228">
        <v>280</v>
      </c>
      <c r="DV151" s="228">
        <v>245</v>
      </c>
      <c r="DW151" s="228">
        <v>0.37</v>
      </c>
      <c r="DX151" s="228">
        <v>0.32</v>
      </c>
      <c r="DY151" s="228">
        <v>0.05</v>
      </c>
      <c r="DZ151" s="229">
        <v>0.15620000000000001</v>
      </c>
      <c r="EA151" s="229">
        <v>2.76E-2</v>
      </c>
      <c r="EB151" s="230">
        <v>1125000</v>
      </c>
      <c r="EC151" s="229">
        <v>3.2000000000000002E-3</v>
      </c>
      <c r="ED151" s="229">
        <v>2.76E-2</v>
      </c>
      <c r="EE151" s="228">
        <v>0.62</v>
      </c>
      <c r="EF151" s="229">
        <v>2.3E-3</v>
      </c>
      <c r="EG151" s="230">
        <v>1893254</v>
      </c>
      <c r="EH151" s="230">
        <v>1708444</v>
      </c>
      <c r="EI151" s="229">
        <v>0.1082</v>
      </c>
      <c r="EJ151" s="229">
        <v>0.50090000000000001</v>
      </c>
      <c r="EK151" s="228">
        <v>346.14</v>
      </c>
      <c r="EL151" s="228">
        <v>120.23</v>
      </c>
      <c r="EM151" s="228">
        <v>127.71</v>
      </c>
      <c r="EN151" s="228">
        <v>11.41</v>
      </c>
      <c r="EO151" s="228">
        <v>594.09</v>
      </c>
      <c r="EP151" s="228">
        <v>316.54000000000002</v>
      </c>
      <c r="EQ151" s="228">
        <v>277.55</v>
      </c>
      <c r="ER151" s="229">
        <v>0.87680000000000002</v>
      </c>
      <c r="ES151" s="228">
        <v>206.01</v>
      </c>
      <c r="ET151" s="228">
        <v>134.63</v>
      </c>
      <c r="EU151" s="231">
        <v>1230.3399999999999</v>
      </c>
      <c r="EV151" s="231">
        <v>205669742</v>
      </c>
      <c r="EW151" s="231">
        <v>1570.98</v>
      </c>
      <c r="EX151" s="231">
        <v>1537.21</v>
      </c>
      <c r="EY151" s="228">
        <v>33.770000000000003</v>
      </c>
      <c r="EZ151" s="229">
        <v>2.1999999999999999E-2</v>
      </c>
      <c r="FA151" s="229">
        <v>0.28510000000000002</v>
      </c>
      <c r="FB151" s="227" t="s">
        <v>693</v>
      </c>
      <c r="FC151">
        <f t="shared" si="3"/>
        <v>0</v>
      </c>
    </row>
    <row r="152" spans="1:159" ht="17.25" thickBot="1" x14ac:dyDescent="0.3">
      <c r="A152" s="226">
        <v>46129</v>
      </c>
      <c r="B152" s="227" t="s">
        <v>206</v>
      </c>
      <c r="C152" s="227" t="s">
        <v>528</v>
      </c>
      <c r="D152" s="228">
        <v>350</v>
      </c>
      <c r="E152" s="228">
        <v>11</v>
      </c>
      <c r="F152" s="231">
        <v>1713.1</v>
      </c>
      <c r="G152" s="231">
        <v>1714.3</v>
      </c>
      <c r="H152" s="228">
        <v>-1.2</v>
      </c>
      <c r="I152" s="229">
        <v>-6.9999999999999999E-4</v>
      </c>
      <c r="J152" s="231">
        <v>1710.6</v>
      </c>
      <c r="K152" s="231">
        <v>1710.4</v>
      </c>
      <c r="L152" s="228">
        <v>0.2</v>
      </c>
      <c r="M152" s="229">
        <v>1E-4</v>
      </c>
      <c r="N152" s="231">
        <v>1713.1</v>
      </c>
      <c r="O152" s="231">
        <v>1714.3</v>
      </c>
      <c r="P152" s="228">
        <v>-1.2</v>
      </c>
      <c r="Q152" s="229">
        <v>-6.9999999999999999E-4</v>
      </c>
      <c r="R152" s="231">
        <v>1687.9</v>
      </c>
      <c r="S152" s="231">
        <v>1686.2</v>
      </c>
      <c r="T152" s="228">
        <v>1.7</v>
      </c>
      <c r="U152" s="229">
        <v>1E-3</v>
      </c>
      <c r="V152" s="231">
        <v>1671.5</v>
      </c>
      <c r="W152" s="231">
        <v>1675.2</v>
      </c>
      <c r="X152" s="228">
        <v>-3.7</v>
      </c>
      <c r="Y152" s="229">
        <v>-2.2000000000000001E-3</v>
      </c>
      <c r="Z152" s="228">
        <v>2.5</v>
      </c>
      <c r="AA152" s="228">
        <v>3.9</v>
      </c>
      <c r="AB152" s="228">
        <v>-1.4</v>
      </c>
      <c r="AC152" s="229">
        <v>1.5E-3</v>
      </c>
      <c r="AD152" s="228">
        <v>2.5</v>
      </c>
      <c r="AE152" s="228">
        <v>3.9</v>
      </c>
      <c r="AF152" s="228">
        <v>-1.4</v>
      </c>
      <c r="AG152" s="229">
        <v>1.5E-3</v>
      </c>
      <c r="AH152" s="228">
        <v>-22.7</v>
      </c>
      <c r="AI152" s="228">
        <v>-24.2</v>
      </c>
      <c r="AJ152" s="228">
        <v>1.5</v>
      </c>
      <c r="AK152" s="229">
        <v>-1.3299999999999999E-2</v>
      </c>
      <c r="AL152" s="228">
        <v>-39.1</v>
      </c>
      <c r="AM152" s="228">
        <v>-35.200000000000003</v>
      </c>
      <c r="AN152" s="228">
        <v>-3.9</v>
      </c>
      <c r="AO152" s="229">
        <v>-2.29E-2</v>
      </c>
      <c r="AP152" s="231">
        <v>1713.44</v>
      </c>
      <c r="AQ152" s="231">
        <v>1685.93</v>
      </c>
      <c r="AR152" s="228">
        <v>0</v>
      </c>
      <c r="AS152" s="228">
        <v>126</v>
      </c>
      <c r="AT152" s="228">
        <v>176</v>
      </c>
      <c r="AU152" s="228">
        <v>-50</v>
      </c>
      <c r="AV152" s="229">
        <v>-0.28239999999999998</v>
      </c>
      <c r="AW152" s="228">
        <v>102</v>
      </c>
      <c r="AX152" s="228">
        <v>123</v>
      </c>
      <c r="AY152" s="228">
        <v>-20</v>
      </c>
      <c r="AZ152" s="229">
        <v>-0.1668</v>
      </c>
      <c r="BA152" s="228">
        <v>24</v>
      </c>
      <c r="BB152" s="228">
        <v>53</v>
      </c>
      <c r="BC152" s="228">
        <v>-29</v>
      </c>
      <c r="BD152" s="229">
        <v>-0.55010000000000003</v>
      </c>
      <c r="BE152" s="228">
        <v>0</v>
      </c>
      <c r="BF152" s="228">
        <v>0</v>
      </c>
      <c r="BG152" s="228">
        <v>0</v>
      </c>
      <c r="BH152" s="229">
        <v>0.33329999999999999</v>
      </c>
      <c r="BI152" s="228">
        <v>87</v>
      </c>
      <c r="BJ152" s="228">
        <v>135</v>
      </c>
      <c r="BK152" s="228">
        <v>-48</v>
      </c>
      <c r="BL152" s="229">
        <v>-0.3579</v>
      </c>
      <c r="BM152" s="228">
        <v>72</v>
      </c>
      <c r="BN152" s="228">
        <v>111</v>
      </c>
      <c r="BO152" s="228">
        <v>-39</v>
      </c>
      <c r="BP152" s="229">
        <v>-0.35489999999999999</v>
      </c>
      <c r="BQ152" s="228">
        <v>285</v>
      </c>
      <c r="BR152" s="228">
        <v>422</v>
      </c>
      <c r="BS152" s="228">
        <v>-137</v>
      </c>
      <c r="BT152" s="229">
        <v>-0.3256</v>
      </c>
      <c r="BU152" s="230">
        <v>516948</v>
      </c>
      <c r="BV152" s="230">
        <v>979573</v>
      </c>
      <c r="BW152" s="230">
        <v>-462625</v>
      </c>
      <c r="BX152" s="229">
        <v>-0.4723</v>
      </c>
      <c r="BY152" s="230">
        <v>1706</v>
      </c>
      <c r="BZ152" s="230">
        <v>1718</v>
      </c>
      <c r="CA152" s="228">
        <v>-12</v>
      </c>
      <c r="CB152" s="229">
        <v>-6.8999999999999999E-3</v>
      </c>
      <c r="CC152" s="230">
        <v>1491</v>
      </c>
      <c r="CD152" s="230">
        <v>1511</v>
      </c>
      <c r="CE152" s="228">
        <v>-20</v>
      </c>
      <c r="CF152" s="229">
        <v>-1.2999999999999999E-2</v>
      </c>
      <c r="CG152" s="228">
        <v>214</v>
      </c>
      <c r="CH152" s="228">
        <v>206</v>
      </c>
      <c r="CI152" s="228">
        <v>8</v>
      </c>
      <c r="CJ152" s="229">
        <v>3.7600000000000001E-2</v>
      </c>
      <c r="CK152" s="228">
        <v>1</v>
      </c>
      <c r="CL152" s="228">
        <v>1</v>
      </c>
      <c r="CM152" s="228">
        <v>0</v>
      </c>
      <c r="CN152" s="229">
        <v>8.6999999999999994E-2</v>
      </c>
      <c r="CO152" s="228">
        <v>204</v>
      </c>
      <c r="CP152" s="228">
        <v>204</v>
      </c>
      <c r="CQ152" s="228">
        <v>-1</v>
      </c>
      <c r="CR152" s="229">
        <v>-3.5000000000000001E-3</v>
      </c>
      <c r="CS152" s="228">
        <v>189</v>
      </c>
      <c r="CT152" s="228">
        <v>194</v>
      </c>
      <c r="CU152" s="228">
        <v>-5</v>
      </c>
      <c r="CV152" s="229">
        <v>-2.47E-2</v>
      </c>
      <c r="CW152" s="230">
        <v>2100</v>
      </c>
      <c r="CX152" s="230">
        <v>2117</v>
      </c>
      <c r="CY152" s="228">
        <v>-17</v>
      </c>
      <c r="CZ152" s="229">
        <v>-8.2000000000000007E-3</v>
      </c>
      <c r="DA152" s="228">
        <v>32.4</v>
      </c>
      <c r="DB152" s="228">
        <v>33.729999999999997</v>
      </c>
      <c r="DC152" s="228">
        <v>-1.33</v>
      </c>
      <c r="DD152" s="228">
        <v>-1.33</v>
      </c>
      <c r="DE152" s="228">
        <v>36.950000000000003</v>
      </c>
      <c r="DF152" s="228">
        <v>37.049999999999997</v>
      </c>
      <c r="DG152" s="228">
        <v>-4.55</v>
      </c>
      <c r="DH152" s="228">
        <v>-0.1</v>
      </c>
      <c r="DI152" s="228">
        <v>30.6</v>
      </c>
      <c r="DJ152" s="228">
        <v>30.98</v>
      </c>
      <c r="DK152" s="228">
        <v>-0.38</v>
      </c>
      <c r="DL152" s="228">
        <v>-0.38</v>
      </c>
      <c r="DM152" s="228">
        <v>34.58</v>
      </c>
      <c r="DN152" s="228">
        <v>37.090000000000003</v>
      </c>
      <c r="DO152" s="228">
        <v>-2.5099999999999998</v>
      </c>
      <c r="DP152" s="228">
        <v>-2.5099999999999998</v>
      </c>
      <c r="DQ152" s="228">
        <v>0.93</v>
      </c>
      <c r="DR152" s="228">
        <v>0.95</v>
      </c>
      <c r="DS152" s="228">
        <v>-0.02</v>
      </c>
      <c r="DT152" s="229">
        <v>-2.1100000000000001E-2</v>
      </c>
      <c r="DU152" s="231">
        <v>1800</v>
      </c>
      <c r="DV152" s="231">
        <v>1520</v>
      </c>
      <c r="DW152" s="228">
        <v>0.83</v>
      </c>
      <c r="DX152" s="228">
        <v>0.82</v>
      </c>
      <c r="DY152" s="228">
        <v>0.01</v>
      </c>
      <c r="DZ152" s="229">
        <v>1.2200000000000001E-2</v>
      </c>
      <c r="EA152" s="229">
        <v>0.126</v>
      </c>
      <c r="EB152" s="230">
        <v>1209250</v>
      </c>
      <c r="EC152" s="229">
        <v>-1.47E-2</v>
      </c>
      <c r="ED152" s="229">
        <v>0.126</v>
      </c>
      <c r="EE152" s="228">
        <v>-27.51</v>
      </c>
      <c r="EF152" s="229">
        <v>-1.61E-2</v>
      </c>
      <c r="EG152" s="230">
        <v>323385</v>
      </c>
      <c r="EH152" s="230">
        <v>677105</v>
      </c>
      <c r="EI152" s="229">
        <v>-0.52239999999999998</v>
      </c>
      <c r="EJ152" s="229">
        <v>0.62560000000000004</v>
      </c>
      <c r="EK152" s="228">
        <v>89.42</v>
      </c>
      <c r="EL152" s="228">
        <v>69.680000000000007</v>
      </c>
      <c r="EM152" s="228">
        <v>125.97</v>
      </c>
      <c r="EN152" s="228">
        <v>33.659999999999997</v>
      </c>
      <c r="EO152" s="228">
        <v>285.07</v>
      </c>
      <c r="EP152" s="228">
        <v>420.18</v>
      </c>
      <c r="EQ152" s="228">
        <v>-135.11000000000001</v>
      </c>
      <c r="ER152" s="229">
        <v>-0.3216</v>
      </c>
      <c r="ES152" s="228">
        <v>189.85</v>
      </c>
      <c r="ET152" s="228">
        <v>168.56</v>
      </c>
      <c r="EU152" s="231">
        <v>1703.3</v>
      </c>
      <c r="EV152" s="231">
        <v>17614093</v>
      </c>
      <c r="EW152" s="231">
        <v>2061.71</v>
      </c>
      <c r="EX152" s="231">
        <v>2079.23</v>
      </c>
      <c r="EY152" s="228">
        <v>-17.52</v>
      </c>
      <c r="EZ152" s="229">
        <v>-8.3999999999999995E-3</v>
      </c>
      <c r="FA152" s="229">
        <v>0.69579999999999997</v>
      </c>
      <c r="FB152" s="227" t="s">
        <v>567</v>
      </c>
      <c r="FC152">
        <f t="shared" si="3"/>
        <v>0</v>
      </c>
    </row>
    <row r="153" spans="1:159" ht="17.25" thickBot="1" x14ac:dyDescent="0.3">
      <c r="A153" s="226">
        <v>46129</v>
      </c>
      <c r="B153" s="227" t="s">
        <v>221</v>
      </c>
      <c r="C153" s="227" t="s">
        <v>518</v>
      </c>
      <c r="D153" s="228">
        <v>75</v>
      </c>
      <c r="E153" s="228">
        <v>11</v>
      </c>
      <c r="F153" s="231">
        <v>8011.5</v>
      </c>
      <c r="G153" s="231">
        <v>7748.5</v>
      </c>
      <c r="H153" s="228">
        <v>263</v>
      </c>
      <c r="I153" s="229">
        <v>3.39E-2</v>
      </c>
      <c r="J153" s="231">
        <v>7992.5</v>
      </c>
      <c r="K153" s="231">
        <v>7776</v>
      </c>
      <c r="L153" s="228">
        <v>216.5</v>
      </c>
      <c r="M153" s="229">
        <v>2.7799999999999998E-2</v>
      </c>
      <c r="N153" s="231">
        <v>8011.5</v>
      </c>
      <c r="O153" s="231">
        <v>7748.5</v>
      </c>
      <c r="P153" s="228">
        <v>263</v>
      </c>
      <c r="Q153" s="229">
        <v>3.39E-2</v>
      </c>
      <c r="R153" s="231">
        <v>7879.5</v>
      </c>
      <c r="S153" s="231">
        <v>7610</v>
      </c>
      <c r="T153" s="228">
        <v>269.5</v>
      </c>
      <c r="U153" s="229">
        <v>3.5400000000000001E-2</v>
      </c>
      <c r="V153" s="231">
        <v>7807</v>
      </c>
      <c r="W153" s="231">
        <v>7573</v>
      </c>
      <c r="X153" s="228">
        <v>234</v>
      </c>
      <c r="Y153" s="229">
        <v>3.09E-2</v>
      </c>
      <c r="Z153" s="228">
        <v>19</v>
      </c>
      <c r="AA153" s="228">
        <v>-27.5</v>
      </c>
      <c r="AB153" s="228">
        <v>46.5</v>
      </c>
      <c r="AC153" s="229">
        <v>2.3999999999999998E-3</v>
      </c>
      <c r="AD153" s="228">
        <v>19</v>
      </c>
      <c r="AE153" s="228">
        <v>-27.5</v>
      </c>
      <c r="AF153" s="228">
        <v>46.5</v>
      </c>
      <c r="AG153" s="229">
        <v>2.3999999999999998E-3</v>
      </c>
      <c r="AH153" s="228">
        <v>-113</v>
      </c>
      <c r="AI153" s="228">
        <v>-166</v>
      </c>
      <c r="AJ153" s="228">
        <v>53</v>
      </c>
      <c r="AK153" s="229">
        <v>-1.41E-2</v>
      </c>
      <c r="AL153" s="228">
        <v>-185.5</v>
      </c>
      <c r="AM153" s="228">
        <v>-203</v>
      </c>
      <c r="AN153" s="228">
        <v>17.5</v>
      </c>
      <c r="AO153" s="229">
        <v>-2.3199999999999998E-2</v>
      </c>
      <c r="AP153" s="231">
        <v>7942.3</v>
      </c>
      <c r="AQ153" s="231">
        <v>7804.68</v>
      </c>
      <c r="AR153" s="228">
        <v>0</v>
      </c>
      <c r="AS153" s="228">
        <v>209</v>
      </c>
      <c r="AT153" s="228">
        <v>215</v>
      </c>
      <c r="AU153" s="228">
        <v>-6</v>
      </c>
      <c r="AV153" s="229">
        <v>-2.7099999999999999E-2</v>
      </c>
      <c r="AW153" s="228">
        <v>169</v>
      </c>
      <c r="AX153" s="228">
        <v>179</v>
      </c>
      <c r="AY153" s="228">
        <v>-11</v>
      </c>
      <c r="AZ153" s="229">
        <v>-5.9299999999999999E-2</v>
      </c>
      <c r="BA153" s="228">
        <v>38</v>
      </c>
      <c r="BB153" s="228">
        <v>34</v>
      </c>
      <c r="BC153" s="228">
        <v>4</v>
      </c>
      <c r="BD153" s="229">
        <v>0.1137</v>
      </c>
      <c r="BE153" s="228">
        <v>3</v>
      </c>
      <c r="BF153" s="228">
        <v>2</v>
      </c>
      <c r="BG153" s="228">
        <v>1</v>
      </c>
      <c r="BH153" s="229">
        <v>0.43240000000000001</v>
      </c>
      <c r="BI153" s="230">
        <v>1187</v>
      </c>
      <c r="BJ153" s="230">
        <v>1345</v>
      </c>
      <c r="BK153" s="228">
        <v>-158</v>
      </c>
      <c r="BL153" s="229">
        <v>-0.11749999999999999</v>
      </c>
      <c r="BM153" s="228">
        <v>997</v>
      </c>
      <c r="BN153" s="228">
        <v>963</v>
      </c>
      <c r="BO153" s="228">
        <v>34</v>
      </c>
      <c r="BP153" s="229">
        <v>3.5200000000000002E-2</v>
      </c>
      <c r="BQ153" s="230">
        <v>2393</v>
      </c>
      <c r="BR153" s="230">
        <v>2523</v>
      </c>
      <c r="BS153" s="228">
        <v>-130</v>
      </c>
      <c r="BT153" s="229">
        <v>-5.1499999999999997E-2</v>
      </c>
      <c r="BU153" s="230">
        <v>189689</v>
      </c>
      <c r="BV153" s="230">
        <v>218410</v>
      </c>
      <c r="BW153" s="230">
        <v>-28721</v>
      </c>
      <c r="BX153" s="229">
        <v>-0.13150000000000001</v>
      </c>
      <c r="BY153" s="230">
        <v>1150</v>
      </c>
      <c r="BZ153" s="230">
        <v>1174</v>
      </c>
      <c r="CA153" s="228">
        <v>-23</v>
      </c>
      <c r="CB153" s="229">
        <v>-1.9900000000000001E-2</v>
      </c>
      <c r="CC153" s="230">
        <v>1079</v>
      </c>
      <c r="CD153" s="230">
        <v>1109</v>
      </c>
      <c r="CE153" s="228">
        <v>-31</v>
      </c>
      <c r="CF153" s="229">
        <v>-2.7799999999999998E-2</v>
      </c>
      <c r="CG153" s="228">
        <v>63</v>
      </c>
      <c r="CH153" s="228">
        <v>57</v>
      </c>
      <c r="CI153" s="228">
        <v>6</v>
      </c>
      <c r="CJ153" s="229">
        <v>0.1091</v>
      </c>
      <c r="CK153" s="228">
        <v>9</v>
      </c>
      <c r="CL153" s="228">
        <v>7</v>
      </c>
      <c r="CM153" s="228">
        <v>1</v>
      </c>
      <c r="CN153" s="229">
        <v>0.1885</v>
      </c>
      <c r="CO153" s="228">
        <v>425</v>
      </c>
      <c r="CP153" s="228">
        <v>423</v>
      </c>
      <c r="CQ153" s="228">
        <v>3</v>
      </c>
      <c r="CR153" s="229">
        <v>7.0000000000000001E-3</v>
      </c>
      <c r="CS153" s="228">
        <v>481</v>
      </c>
      <c r="CT153" s="228">
        <v>444</v>
      </c>
      <c r="CU153" s="228">
        <v>36</v>
      </c>
      <c r="CV153" s="229">
        <v>8.1500000000000003E-2</v>
      </c>
      <c r="CW153" s="230">
        <v>2056</v>
      </c>
      <c r="CX153" s="230">
        <v>2040</v>
      </c>
      <c r="CY153" s="228">
        <v>16</v>
      </c>
      <c r="CZ153" s="229">
        <v>7.7999999999999996E-3</v>
      </c>
      <c r="DA153" s="228">
        <v>41.94</v>
      </c>
      <c r="DB153" s="228">
        <v>39.619999999999997</v>
      </c>
      <c r="DC153" s="228">
        <v>2.3199999999999998</v>
      </c>
      <c r="DD153" s="228">
        <v>2.3199999999999998</v>
      </c>
      <c r="DE153" s="228">
        <v>40.1</v>
      </c>
      <c r="DF153" s="228">
        <v>40.01</v>
      </c>
      <c r="DG153" s="228">
        <v>1.84</v>
      </c>
      <c r="DH153" s="228">
        <v>0.09</v>
      </c>
      <c r="DI153" s="228">
        <v>37.479999999999997</v>
      </c>
      <c r="DJ153" s="228">
        <v>37.01</v>
      </c>
      <c r="DK153" s="228">
        <v>0.47</v>
      </c>
      <c r="DL153" s="228">
        <v>0.47</v>
      </c>
      <c r="DM153" s="228">
        <v>47.25</v>
      </c>
      <c r="DN153" s="228">
        <v>43.25</v>
      </c>
      <c r="DO153" s="228">
        <v>4</v>
      </c>
      <c r="DP153" s="228">
        <v>4</v>
      </c>
      <c r="DQ153" s="228">
        <v>1.1299999999999999</v>
      </c>
      <c r="DR153" s="228">
        <v>1.05</v>
      </c>
      <c r="DS153" s="228">
        <v>0.08</v>
      </c>
      <c r="DT153" s="229">
        <v>7.6200000000000004E-2</v>
      </c>
      <c r="DU153" s="231">
        <v>8000</v>
      </c>
      <c r="DV153" s="231">
        <v>7000</v>
      </c>
      <c r="DW153" s="228">
        <v>0.84</v>
      </c>
      <c r="DX153" s="228">
        <v>0.72</v>
      </c>
      <c r="DY153" s="228">
        <v>0.12</v>
      </c>
      <c r="DZ153" s="229">
        <v>0.16669999999999999</v>
      </c>
      <c r="EA153" s="229">
        <v>6.2300000000000001E-2</v>
      </c>
      <c r="EB153" s="230">
        <v>79950</v>
      </c>
      <c r="EC153" s="229">
        <v>-1.6500000000000001E-2</v>
      </c>
      <c r="ED153" s="229">
        <v>6.2300000000000001E-2</v>
      </c>
      <c r="EE153" s="228">
        <v>-137.62</v>
      </c>
      <c r="EF153" s="229">
        <v>-1.7299999999999999E-2</v>
      </c>
      <c r="EG153" s="230">
        <v>67245</v>
      </c>
      <c r="EH153" s="230">
        <v>67697</v>
      </c>
      <c r="EI153" s="229">
        <v>-6.7000000000000002E-3</v>
      </c>
      <c r="EJ153" s="229">
        <v>0.35449999999999998</v>
      </c>
      <c r="EK153" s="231">
        <v>1224.29</v>
      </c>
      <c r="EL153" s="228">
        <v>904.57</v>
      </c>
      <c r="EM153" s="228">
        <v>206.93</v>
      </c>
      <c r="EN153" s="228">
        <v>31.78</v>
      </c>
      <c r="EO153" s="231">
        <v>2335.7800000000002</v>
      </c>
      <c r="EP153" s="231">
        <v>2337.54</v>
      </c>
      <c r="EQ153" s="228">
        <v>-1.76</v>
      </c>
      <c r="ER153" s="229">
        <v>-8.0000000000000004E-4</v>
      </c>
      <c r="ES153" s="228">
        <v>406.73</v>
      </c>
      <c r="ET153" s="228">
        <v>428.79</v>
      </c>
      <c r="EU153" s="231">
        <v>1148.97</v>
      </c>
      <c r="EV153" s="231">
        <v>3594855</v>
      </c>
      <c r="EW153" s="231">
        <v>1984.49</v>
      </c>
      <c r="EX153" s="231">
        <v>1924.07</v>
      </c>
      <c r="EY153" s="228">
        <v>60.42</v>
      </c>
      <c r="EZ153" s="229">
        <v>3.1399999999999997E-2</v>
      </c>
      <c r="FA153" s="229">
        <v>0.71399999999999997</v>
      </c>
      <c r="FB153" s="227" t="s">
        <v>693</v>
      </c>
      <c r="FC153">
        <f t="shared" si="3"/>
        <v>0</v>
      </c>
    </row>
    <row r="154" spans="1:159" ht="17.25" thickBot="1" x14ac:dyDescent="0.3">
      <c r="A154" s="226">
        <v>46129</v>
      </c>
      <c r="B154" s="227" t="s">
        <v>193</v>
      </c>
      <c r="C154" s="227" t="s">
        <v>586</v>
      </c>
      <c r="D154" s="228">
        <v>1400</v>
      </c>
      <c r="E154" s="228">
        <v>11</v>
      </c>
      <c r="F154" s="228">
        <v>470.6</v>
      </c>
      <c r="G154" s="228">
        <v>463.85</v>
      </c>
      <c r="H154" s="228">
        <v>6.75</v>
      </c>
      <c r="I154" s="229">
        <v>1.46E-2</v>
      </c>
      <c r="J154" s="228">
        <v>470.1</v>
      </c>
      <c r="K154" s="228">
        <v>462.4</v>
      </c>
      <c r="L154" s="228">
        <v>7.7</v>
      </c>
      <c r="M154" s="229">
        <v>1.67E-2</v>
      </c>
      <c r="N154" s="228">
        <v>470.6</v>
      </c>
      <c r="O154" s="228">
        <v>463.85</v>
      </c>
      <c r="P154" s="228">
        <v>6.75</v>
      </c>
      <c r="Q154" s="229">
        <v>1.46E-2</v>
      </c>
      <c r="R154" s="228">
        <v>467.25</v>
      </c>
      <c r="S154" s="228">
        <v>461.15</v>
      </c>
      <c r="T154" s="228">
        <v>6.1</v>
      </c>
      <c r="U154" s="229">
        <v>1.32E-2</v>
      </c>
      <c r="V154" s="228">
        <v>465.45</v>
      </c>
      <c r="W154" s="228">
        <v>459.6</v>
      </c>
      <c r="X154" s="228">
        <v>5.85</v>
      </c>
      <c r="Y154" s="229">
        <v>1.2699999999999999E-2</v>
      </c>
      <c r="Z154" s="228">
        <v>0.5</v>
      </c>
      <c r="AA154" s="228">
        <v>1.45</v>
      </c>
      <c r="AB154" s="228">
        <v>-0.95</v>
      </c>
      <c r="AC154" s="229">
        <v>1.1000000000000001E-3</v>
      </c>
      <c r="AD154" s="228">
        <v>0.5</v>
      </c>
      <c r="AE154" s="228">
        <v>1.45</v>
      </c>
      <c r="AF154" s="228">
        <v>-0.95</v>
      </c>
      <c r="AG154" s="229">
        <v>1.1000000000000001E-3</v>
      </c>
      <c r="AH154" s="228">
        <v>-2.85</v>
      </c>
      <c r="AI154" s="228">
        <v>-1.25</v>
      </c>
      <c r="AJ154" s="228">
        <v>-1.6</v>
      </c>
      <c r="AK154" s="229">
        <v>-6.1000000000000004E-3</v>
      </c>
      <c r="AL154" s="228">
        <v>-4.6500000000000004</v>
      </c>
      <c r="AM154" s="228">
        <v>-2.8</v>
      </c>
      <c r="AN154" s="228">
        <v>-1.85</v>
      </c>
      <c r="AO154" s="229">
        <v>-9.9000000000000008E-3</v>
      </c>
      <c r="AP154" s="228">
        <v>468.34</v>
      </c>
      <c r="AQ154" s="228">
        <v>465.29</v>
      </c>
      <c r="AR154" s="228">
        <v>0</v>
      </c>
      <c r="AS154" s="228">
        <v>133</v>
      </c>
      <c r="AT154" s="228">
        <v>103</v>
      </c>
      <c r="AU154" s="228">
        <v>31</v>
      </c>
      <c r="AV154" s="229">
        <v>0.29699999999999999</v>
      </c>
      <c r="AW154" s="228">
        <v>109</v>
      </c>
      <c r="AX154" s="228">
        <v>86</v>
      </c>
      <c r="AY154" s="228">
        <v>24</v>
      </c>
      <c r="AZ154" s="229">
        <v>0.27589999999999998</v>
      </c>
      <c r="BA154" s="228">
        <v>23</v>
      </c>
      <c r="BB154" s="228">
        <v>16</v>
      </c>
      <c r="BC154" s="228">
        <v>7</v>
      </c>
      <c r="BD154" s="229">
        <v>0.40410000000000001</v>
      </c>
      <c r="BE154" s="228">
        <v>1</v>
      </c>
      <c r="BF154" s="228">
        <v>1</v>
      </c>
      <c r="BG154" s="228">
        <v>0</v>
      </c>
      <c r="BH154" s="229">
        <v>0.3846</v>
      </c>
      <c r="BI154" s="228">
        <v>453</v>
      </c>
      <c r="BJ154" s="228">
        <v>365</v>
      </c>
      <c r="BK154" s="228">
        <v>87</v>
      </c>
      <c r="BL154" s="229">
        <v>0.23949999999999999</v>
      </c>
      <c r="BM154" s="228">
        <v>147</v>
      </c>
      <c r="BN154" s="228">
        <v>163</v>
      </c>
      <c r="BO154" s="228">
        <v>-16</v>
      </c>
      <c r="BP154" s="229">
        <v>-9.8299999999999998E-2</v>
      </c>
      <c r="BQ154" s="228">
        <v>733</v>
      </c>
      <c r="BR154" s="228">
        <v>631</v>
      </c>
      <c r="BS154" s="228">
        <v>102</v>
      </c>
      <c r="BT154" s="229">
        <v>0.16159999999999999</v>
      </c>
      <c r="BU154" s="230">
        <v>3719983</v>
      </c>
      <c r="BV154" s="230">
        <v>3780055</v>
      </c>
      <c r="BW154" s="230">
        <v>-60072</v>
      </c>
      <c r="BX154" s="229">
        <v>-1.5900000000000001E-2</v>
      </c>
      <c r="BY154" s="230">
        <v>1010</v>
      </c>
      <c r="BZ154" s="230">
        <v>1027</v>
      </c>
      <c r="CA154" s="228">
        <v>-17</v>
      </c>
      <c r="CB154" s="229">
        <v>-1.6500000000000001E-2</v>
      </c>
      <c r="CC154" s="228">
        <v>961</v>
      </c>
      <c r="CD154" s="228">
        <v>978</v>
      </c>
      <c r="CE154" s="228">
        <v>-17</v>
      </c>
      <c r="CF154" s="229">
        <v>-1.7399999999999999E-2</v>
      </c>
      <c r="CG154" s="228">
        <v>40</v>
      </c>
      <c r="CH154" s="228">
        <v>40</v>
      </c>
      <c r="CI154" s="228">
        <v>0</v>
      </c>
      <c r="CJ154" s="229">
        <v>8.3000000000000001E-3</v>
      </c>
      <c r="CK154" s="228">
        <v>8</v>
      </c>
      <c r="CL154" s="228">
        <v>9</v>
      </c>
      <c r="CM154" s="228">
        <v>0</v>
      </c>
      <c r="CN154" s="229">
        <v>-2.2700000000000001E-2</v>
      </c>
      <c r="CO154" s="228">
        <v>526</v>
      </c>
      <c r="CP154" s="228">
        <v>541</v>
      </c>
      <c r="CQ154" s="228">
        <v>-15</v>
      </c>
      <c r="CR154" s="229">
        <v>-2.8000000000000001E-2</v>
      </c>
      <c r="CS154" s="228">
        <v>230</v>
      </c>
      <c r="CT154" s="228">
        <v>236</v>
      </c>
      <c r="CU154" s="228">
        <v>-6</v>
      </c>
      <c r="CV154" s="229">
        <v>-2.3800000000000002E-2</v>
      </c>
      <c r="CW154" s="230">
        <v>1766</v>
      </c>
      <c r="CX154" s="230">
        <v>1804</v>
      </c>
      <c r="CY154" s="228">
        <v>-38</v>
      </c>
      <c r="CZ154" s="229">
        <v>-2.0899999999999998E-2</v>
      </c>
      <c r="DA154" s="228">
        <v>31.09</v>
      </c>
      <c r="DB154" s="228">
        <v>33.36</v>
      </c>
      <c r="DC154" s="228">
        <v>-2.27</v>
      </c>
      <c r="DD154" s="228">
        <v>-2.27</v>
      </c>
      <c r="DE154" s="228">
        <v>41.63</v>
      </c>
      <c r="DF154" s="228">
        <v>41.68</v>
      </c>
      <c r="DG154" s="228">
        <v>-10.54</v>
      </c>
      <c r="DH154" s="228">
        <v>-0.05</v>
      </c>
      <c r="DI154" s="228">
        <v>30.89</v>
      </c>
      <c r="DJ154" s="228">
        <v>33.53</v>
      </c>
      <c r="DK154" s="228">
        <v>-2.64</v>
      </c>
      <c r="DL154" s="228">
        <v>-2.64</v>
      </c>
      <c r="DM154" s="228">
        <v>31.71</v>
      </c>
      <c r="DN154" s="228">
        <v>32.97</v>
      </c>
      <c r="DO154" s="228">
        <v>-1.26</v>
      </c>
      <c r="DP154" s="228">
        <v>-1.26</v>
      </c>
      <c r="DQ154" s="228">
        <v>0.44</v>
      </c>
      <c r="DR154" s="228">
        <v>0.44</v>
      </c>
      <c r="DS154" s="228">
        <v>0</v>
      </c>
      <c r="DT154" s="229">
        <v>0</v>
      </c>
      <c r="DU154" s="228">
        <v>500</v>
      </c>
      <c r="DV154" s="228">
        <v>470</v>
      </c>
      <c r="DW154" s="228">
        <v>0.32</v>
      </c>
      <c r="DX154" s="228">
        <v>0.45</v>
      </c>
      <c r="DY154" s="228">
        <v>-0.13</v>
      </c>
      <c r="DZ154" s="229">
        <v>-0.28889999999999999</v>
      </c>
      <c r="EA154" s="229">
        <v>4.8099999999999997E-2</v>
      </c>
      <c r="EB154" s="230">
        <v>1030400</v>
      </c>
      <c r="EC154" s="229">
        <v>-7.1000000000000004E-3</v>
      </c>
      <c r="ED154" s="229">
        <v>4.8099999999999997E-2</v>
      </c>
      <c r="EE154" s="228">
        <v>-3.05</v>
      </c>
      <c r="EF154" s="229">
        <v>-6.4999999999999997E-3</v>
      </c>
      <c r="EG154" s="230">
        <v>1962223</v>
      </c>
      <c r="EH154" s="230">
        <v>1366857</v>
      </c>
      <c r="EI154" s="229">
        <v>0.43559999999999999</v>
      </c>
      <c r="EJ154" s="229">
        <v>0.52749999999999997</v>
      </c>
      <c r="EK154" s="228">
        <v>470.97</v>
      </c>
      <c r="EL154" s="228">
        <v>144.44999999999999</v>
      </c>
      <c r="EM154" s="228">
        <v>132.41999999999999</v>
      </c>
      <c r="EN154" s="228">
        <v>28.19</v>
      </c>
      <c r="EO154" s="228">
        <v>747.84</v>
      </c>
      <c r="EP154" s="228">
        <v>641.82000000000005</v>
      </c>
      <c r="EQ154" s="228">
        <v>106.02</v>
      </c>
      <c r="ER154" s="229">
        <v>0.16520000000000001</v>
      </c>
      <c r="ES154" s="228">
        <v>561.71</v>
      </c>
      <c r="ET154" s="228">
        <v>224.68</v>
      </c>
      <c r="EU154" s="231">
        <v>1009.62</v>
      </c>
      <c r="EV154" s="231">
        <v>105756420</v>
      </c>
      <c r="EW154" s="231">
        <v>1796.01</v>
      </c>
      <c r="EX154" s="231">
        <v>1818.35</v>
      </c>
      <c r="EY154" s="228">
        <v>-22.34</v>
      </c>
      <c r="EZ154" s="229">
        <v>-1.23E-2</v>
      </c>
      <c r="FA154" s="229">
        <v>0.35489999999999999</v>
      </c>
      <c r="FB154" s="227" t="s">
        <v>693</v>
      </c>
      <c r="FC154">
        <f t="shared" si="3"/>
        <v>0</v>
      </c>
    </row>
    <row r="155" spans="1:159" ht="17.25" thickBot="1" x14ac:dyDescent="0.3">
      <c r="A155" s="226">
        <v>46129</v>
      </c>
      <c r="B155" s="227" t="s">
        <v>193</v>
      </c>
      <c r="C155" s="227" t="s">
        <v>269</v>
      </c>
      <c r="D155" s="228">
        <v>2250</v>
      </c>
      <c r="E155" s="228">
        <v>11</v>
      </c>
      <c r="F155" s="228">
        <v>284.89999999999998</v>
      </c>
      <c r="G155" s="228">
        <v>283.55</v>
      </c>
      <c r="H155" s="228">
        <v>1.35</v>
      </c>
      <c r="I155" s="229">
        <v>4.7999999999999996E-3</v>
      </c>
      <c r="J155" s="228">
        <v>284.05</v>
      </c>
      <c r="K155" s="228">
        <v>282.75</v>
      </c>
      <c r="L155" s="228">
        <v>1.3</v>
      </c>
      <c r="M155" s="229">
        <v>4.5999999999999999E-3</v>
      </c>
      <c r="N155" s="228">
        <v>284.89999999999998</v>
      </c>
      <c r="O155" s="228">
        <v>283.55</v>
      </c>
      <c r="P155" s="228">
        <v>1.35</v>
      </c>
      <c r="Q155" s="229">
        <v>4.7999999999999996E-3</v>
      </c>
      <c r="R155" s="228">
        <v>286.35000000000002</v>
      </c>
      <c r="S155" s="228">
        <v>285.14999999999998</v>
      </c>
      <c r="T155" s="228">
        <v>1.2</v>
      </c>
      <c r="U155" s="229">
        <v>4.1999999999999997E-3</v>
      </c>
      <c r="V155" s="228">
        <v>288.10000000000002</v>
      </c>
      <c r="W155" s="228">
        <v>287</v>
      </c>
      <c r="X155" s="228">
        <v>1.1000000000000001</v>
      </c>
      <c r="Y155" s="229">
        <v>3.8E-3</v>
      </c>
      <c r="Z155" s="228">
        <v>0.85</v>
      </c>
      <c r="AA155" s="228">
        <v>0.8</v>
      </c>
      <c r="AB155" s="228">
        <v>0.05</v>
      </c>
      <c r="AC155" s="229">
        <v>3.0000000000000001E-3</v>
      </c>
      <c r="AD155" s="228">
        <v>0.85</v>
      </c>
      <c r="AE155" s="228">
        <v>0.8</v>
      </c>
      <c r="AF155" s="228">
        <v>0.05</v>
      </c>
      <c r="AG155" s="229">
        <v>3.0000000000000001E-3</v>
      </c>
      <c r="AH155" s="228">
        <v>2.2999999999999998</v>
      </c>
      <c r="AI155" s="228">
        <v>2.4</v>
      </c>
      <c r="AJ155" s="228">
        <v>-0.1</v>
      </c>
      <c r="AK155" s="229">
        <v>8.0999999999999996E-3</v>
      </c>
      <c r="AL155" s="228">
        <v>4.05</v>
      </c>
      <c r="AM155" s="228">
        <v>4.25</v>
      </c>
      <c r="AN155" s="228">
        <v>-0.2</v>
      </c>
      <c r="AO155" s="229">
        <v>1.43E-2</v>
      </c>
      <c r="AP155" s="228">
        <v>284.91000000000003</v>
      </c>
      <c r="AQ155" s="228">
        <v>286.31</v>
      </c>
      <c r="AR155" s="228">
        <v>0</v>
      </c>
      <c r="AS155" s="228">
        <v>384</v>
      </c>
      <c r="AT155" s="228">
        <v>389</v>
      </c>
      <c r="AU155" s="228">
        <v>-5</v>
      </c>
      <c r="AV155" s="229">
        <v>-1.3299999999999999E-2</v>
      </c>
      <c r="AW155" s="228">
        <v>292</v>
      </c>
      <c r="AX155" s="228">
        <v>293</v>
      </c>
      <c r="AY155" s="228">
        <v>-1</v>
      </c>
      <c r="AZ155" s="229">
        <v>-3.8999999999999998E-3</v>
      </c>
      <c r="BA155" s="228">
        <v>38</v>
      </c>
      <c r="BB155" s="228">
        <v>27</v>
      </c>
      <c r="BC155" s="228">
        <v>11</v>
      </c>
      <c r="BD155" s="229">
        <v>0.3962</v>
      </c>
      <c r="BE155" s="228">
        <v>54</v>
      </c>
      <c r="BF155" s="228">
        <v>69</v>
      </c>
      <c r="BG155" s="228">
        <v>-15</v>
      </c>
      <c r="BH155" s="229">
        <v>-0.2157</v>
      </c>
      <c r="BI155" s="230">
        <v>1600</v>
      </c>
      <c r="BJ155" s="230">
        <v>1896</v>
      </c>
      <c r="BK155" s="228">
        <v>-296</v>
      </c>
      <c r="BL155" s="229">
        <v>-0.156</v>
      </c>
      <c r="BM155" s="228">
        <v>711</v>
      </c>
      <c r="BN155" s="228">
        <v>892</v>
      </c>
      <c r="BO155" s="228">
        <v>-181</v>
      </c>
      <c r="BP155" s="229">
        <v>-0.20300000000000001</v>
      </c>
      <c r="BQ155" s="230">
        <v>2695</v>
      </c>
      <c r="BR155" s="230">
        <v>3177</v>
      </c>
      <c r="BS155" s="228">
        <v>-482</v>
      </c>
      <c r="BT155" s="229">
        <v>-0.15179999999999999</v>
      </c>
      <c r="BU155" s="230">
        <v>18639168</v>
      </c>
      <c r="BV155" s="230">
        <v>13969518</v>
      </c>
      <c r="BW155" s="230">
        <v>4669650</v>
      </c>
      <c r="BX155" s="229">
        <v>0.33429999999999999</v>
      </c>
      <c r="BY155" s="230">
        <v>2750</v>
      </c>
      <c r="BZ155" s="230">
        <v>2738</v>
      </c>
      <c r="CA155" s="228">
        <v>12</v>
      </c>
      <c r="CB155" s="229">
        <v>4.3E-3</v>
      </c>
      <c r="CC155" s="230">
        <v>2461</v>
      </c>
      <c r="CD155" s="230">
        <v>2517</v>
      </c>
      <c r="CE155" s="228">
        <v>-56</v>
      </c>
      <c r="CF155" s="229">
        <v>-2.23E-2</v>
      </c>
      <c r="CG155" s="228">
        <v>92</v>
      </c>
      <c r="CH155" s="228">
        <v>76</v>
      </c>
      <c r="CI155" s="228">
        <v>17</v>
      </c>
      <c r="CJ155" s="229">
        <v>0.22</v>
      </c>
      <c r="CK155" s="228">
        <v>196</v>
      </c>
      <c r="CL155" s="228">
        <v>145</v>
      </c>
      <c r="CM155" s="228">
        <v>51</v>
      </c>
      <c r="CN155" s="229">
        <v>0.35199999999999998</v>
      </c>
      <c r="CO155" s="230">
        <v>2768</v>
      </c>
      <c r="CP155" s="230">
        <v>2758</v>
      </c>
      <c r="CQ155" s="228">
        <v>10</v>
      </c>
      <c r="CR155" s="229">
        <v>3.8E-3</v>
      </c>
      <c r="CS155" s="230">
        <v>1031</v>
      </c>
      <c r="CT155" s="230">
        <v>1017</v>
      </c>
      <c r="CU155" s="228">
        <v>13</v>
      </c>
      <c r="CV155" s="229">
        <v>1.3100000000000001E-2</v>
      </c>
      <c r="CW155" s="230">
        <v>6549</v>
      </c>
      <c r="CX155" s="230">
        <v>6514</v>
      </c>
      <c r="CY155" s="228">
        <v>36</v>
      </c>
      <c r="CZ155" s="229">
        <v>5.4999999999999997E-3</v>
      </c>
      <c r="DA155" s="228">
        <v>24.42</v>
      </c>
      <c r="DB155" s="228">
        <v>26.06</v>
      </c>
      <c r="DC155" s="228">
        <v>-1.64</v>
      </c>
      <c r="DD155" s="228">
        <v>-1.64</v>
      </c>
      <c r="DE155" s="228">
        <v>31.73</v>
      </c>
      <c r="DF155" s="228">
        <v>31.81</v>
      </c>
      <c r="DG155" s="228">
        <v>-7.31</v>
      </c>
      <c r="DH155" s="228">
        <v>-0.08</v>
      </c>
      <c r="DI155" s="228">
        <v>23.91</v>
      </c>
      <c r="DJ155" s="228">
        <v>25.41</v>
      </c>
      <c r="DK155" s="228">
        <v>-1.5</v>
      </c>
      <c r="DL155" s="228">
        <v>-1.5</v>
      </c>
      <c r="DM155" s="228">
        <v>25.58</v>
      </c>
      <c r="DN155" s="228">
        <v>27.46</v>
      </c>
      <c r="DO155" s="228">
        <v>-1.88</v>
      </c>
      <c r="DP155" s="228">
        <v>-1.88</v>
      </c>
      <c r="DQ155" s="228">
        <v>0.37</v>
      </c>
      <c r="DR155" s="228">
        <v>0.37</v>
      </c>
      <c r="DS155" s="228">
        <v>0</v>
      </c>
      <c r="DT155" s="229">
        <v>0</v>
      </c>
      <c r="DU155" s="228">
        <v>290</v>
      </c>
      <c r="DV155" s="228">
        <v>270</v>
      </c>
      <c r="DW155" s="228">
        <v>0.44</v>
      </c>
      <c r="DX155" s="228">
        <v>0.47</v>
      </c>
      <c r="DY155" s="228">
        <v>-0.03</v>
      </c>
      <c r="DZ155" s="229">
        <v>-6.3799999999999996E-2</v>
      </c>
      <c r="EA155" s="229">
        <v>0.1051</v>
      </c>
      <c r="EB155" s="230">
        <v>7760250</v>
      </c>
      <c r="EC155" s="229">
        <v>5.1000000000000004E-3</v>
      </c>
      <c r="ED155" s="229">
        <v>0.1051</v>
      </c>
      <c r="EE155" s="228">
        <v>1.4</v>
      </c>
      <c r="EF155" s="229">
        <v>4.8999999999999998E-3</v>
      </c>
      <c r="EG155" s="230">
        <v>12382494</v>
      </c>
      <c r="EH155" s="230">
        <v>6996218</v>
      </c>
      <c r="EI155" s="229">
        <v>0.76990000000000003</v>
      </c>
      <c r="EJ155" s="229">
        <v>0.6643</v>
      </c>
      <c r="EK155" s="231">
        <v>1655.43</v>
      </c>
      <c r="EL155" s="228">
        <v>705.63</v>
      </c>
      <c r="EM155" s="228">
        <v>384.65</v>
      </c>
      <c r="EN155" s="228">
        <v>61.17</v>
      </c>
      <c r="EO155" s="231">
        <v>2745.7</v>
      </c>
      <c r="EP155" s="231">
        <v>3248.43</v>
      </c>
      <c r="EQ155" s="228">
        <v>-502.72</v>
      </c>
      <c r="ER155" s="229">
        <v>-0.15479999999999999</v>
      </c>
      <c r="ES155" s="231">
        <v>2873.15</v>
      </c>
      <c r="ET155" s="228">
        <v>992.95</v>
      </c>
      <c r="EU155" s="231">
        <v>2752.74</v>
      </c>
      <c r="EV155" s="231">
        <v>711370982</v>
      </c>
      <c r="EW155" s="231">
        <v>6618.84</v>
      </c>
      <c r="EX155" s="231">
        <v>6566.55</v>
      </c>
      <c r="EY155" s="228">
        <v>52.29</v>
      </c>
      <c r="EZ155" s="229">
        <v>8.0000000000000002E-3</v>
      </c>
      <c r="FA155" s="229">
        <v>0.3231</v>
      </c>
      <c r="FB155" s="227" t="s">
        <v>555</v>
      </c>
      <c r="FC155">
        <f t="shared" si="3"/>
        <v>0</v>
      </c>
    </row>
    <row r="156" spans="1:159" ht="17.25" thickBot="1" x14ac:dyDescent="0.3">
      <c r="A156" s="226">
        <v>46129</v>
      </c>
      <c r="B156" s="227" t="s">
        <v>197</v>
      </c>
      <c r="C156" s="227" t="s">
        <v>270</v>
      </c>
      <c r="D156" s="228">
        <v>15</v>
      </c>
      <c r="E156" s="228">
        <v>11</v>
      </c>
      <c r="F156" s="231">
        <v>37930</v>
      </c>
      <c r="G156" s="231">
        <v>37025</v>
      </c>
      <c r="H156" s="228">
        <v>905</v>
      </c>
      <c r="I156" s="229">
        <v>2.4400000000000002E-2</v>
      </c>
      <c r="J156" s="231">
        <v>37975</v>
      </c>
      <c r="K156" s="231">
        <v>36980</v>
      </c>
      <c r="L156" s="228">
        <v>995</v>
      </c>
      <c r="M156" s="229">
        <v>2.69E-2</v>
      </c>
      <c r="N156" s="231">
        <v>37930</v>
      </c>
      <c r="O156" s="231">
        <v>37025</v>
      </c>
      <c r="P156" s="228">
        <v>905</v>
      </c>
      <c r="Q156" s="229">
        <v>2.4400000000000002E-2</v>
      </c>
      <c r="R156" s="231">
        <v>37715</v>
      </c>
      <c r="S156" s="231">
        <v>36750</v>
      </c>
      <c r="T156" s="228">
        <v>965</v>
      </c>
      <c r="U156" s="229">
        <v>2.63E-2</v>
      </c>
      <c r="V156" s="231">
        <v>37590</v>
      </c>
      <c r="W156" s="231">
        <v>36600</v>
      </c>
      <c r="X156" s="228">
        <v>990</v>
      </c>
      <c r="Y156" s="229">
        <v>2.7E-2</v>
      </c>
      <c r="Z156" s="228">
        <v>-45</v>
      </c>
      <c r="AA156" s="228">
        <v>45</v>
      </c>
      <c r="AB156" s="228">
        <v>-90</v>
      </c>
      <c r="AC156" s="229">
        <v>-1.1999999999999999E-3</v>
      </c>
      <c r="AD156" s="228">
        <v>-45</v>
      </c>
      <c r="AE156" s="228">
        <v>45</v>
      </c>
      <c r="AF156" s="228">
        <v>-90</v>
      </c>
      <c r="AG156" s="229">
        <v>-1.1999999999999999E-3</v>
      </c>
      <c r="AH156" s="228">
        <v>-260</v>
      </c>
      <c r="AI156" s="228">
        <v>-230</v>
      </c>
      <c r="AJ156" s="228">
        <v>-30</v>
      </c>
      <c r="AK156" s="229">
        <v>-6.7999999999999996E-3</v>
      </c>
      <c r="AL156" s="228">
        <v>-385</v>
      </c>
      <c r="AM156" s="228">
        <v>-380</v>
      </c>
      <c r="AN156" s="228">
        <v>-5</v>
      </c>
      <c r="AO156" s="229">
        <v>-1.01E-2</v>
      </c>
      <c r="AP156" s="231">
        <v>37930.22</v>
      </c>
      <c r="AQ156" s="231">
        <v>37534.53</v>
      </c>
      <c r="AR156" s="228">
        <v>0</v>
      </c>
      <c r="AS156" s="228">
        <v>311</v>
      </c>
      <c r="AT156" s="228">
        <v>154</v>
      </c>
      <c r="AU156" s="228">
        <v>156</v>
      </c>
      <c r="AV156" s="229">
        <v>1.0122</v>
      </c>
      <c r="AW156" s="228">
        <v>280</v>
      </c>
      <c r="AX156" s="228">
        <v>139</v>
      </c>
      <c r="AY156" s="228">
        <v>141</v>
      </c>
      <c r="AZ156" s="229">
        <v>1.0205</v>
      </c>
      <c r="BA156" s="228">
        <v>29</v>
      </c>
      <c r="BB156" s="228">
        <v>14</v>
      </c>
      <c r="BC156" s="228">
        <v>14</v>
      </c>
      <c r="BD156" s="229">
        <v>0.97640000000000005</v>
      </c>
      <c r="BE156" s="228">
        <v>2</v>
      </c>
      <c r="BF156" s="228">
        <v>1</v>
      </c>
      <c r="BG156" s="228">
        <v>1</v>
      </c>
      <c r="BH156" s="229">
        <v>0.52170000000000005</v>
      </c>
      <c r="BI156" s="228">
        <v>640</v>
      </c>
      <c r="BJ156" s="228">
        <v>129</v>
      </c>
      <c r="BK156" s="228">
        <v>511</v>
      </c>
      <c r="BL156" s="229">
        <v>3.9634</v>
      </c>
      <c r="BM156" s="228">
        <v>390</v>
      </c>
      <c r="BN156" s="228">
        <v>173</v>
      </c>
      <c r="BO156" s="228">
        <v>216</v>
      </c>
      <c r="BP156" s="229">
        <v>1.2507999999999999</v>
      </c>
      <c r="BQ156" s="230">
        <v>1340</v>
      </c>
      <c r="BR156" s="228">
        <v>456</v>
      </c>
      <c r="BS156" s="228">
        <v>883</v>
      </c>
      <c r="BT156" s="229">
        <v>1.9361999999999999</v>
      </c>
      <c r="BU156" s="230">
        <v>66226</v>
      </c>
      <c r="BV156" s="230">
        <v>18482</v>
      </c>
      <c r="BW156" s="230">
        <v>47744</v>
      </c>
      <c r="BX156" s="229">
        <v>2.5832999999999999</v>
      </c>
      <c r="BY156" s="230">
        <v>1373</v>
      </c>
      <c r="BZ156" s="230">
        <v>1389</v>
      </c>
      <c r="CA156" s="228">
        <v>-16</v>
      </c>
      <c r="CB156" s="229">
        <v>-1.14E-2</v>
      </c>
      <c r="CC156" s="230">
        <v>1325</v>
      </c>
      <c r="CD156" s="230">
        <v>1352</v>
      </c>
      <c r="CE156" s="228">
        <v>-27</v>
      </c>
      <c r="CF156" s="229">
        <v>-1.9800000000000002E-2</v>
      </c>
      <c r="CG156" s="228">
        <v>44</v>
      </c>
      <c r="CH156" s="228">
        <v>33</v>
      </c>
      <c r="CI156" s="228">
        <v>11</v>
      </c>
      <c r="CJ156" s="229">
        <v>0.33040000000000003</v>
      </c>
      <c r="CK156" s="228">
        <v>3</v>
      </c>
      <c r="CL156" s="228">
        <v>3</v>
      </c>
      <c r="CM156" s="228">
        <v>0</v>
      </c>
      <c r="CN156" s="229">
        <v>0</v>
      </c>
      <c r="CO156" s="228">
        <v>256</v>
      </c>
      <c r="CP156" s="228">
        <v>244</v>
      </c>
      <c r="CQ156" s="228">
        <v>13</v>
      </c>
      <c r="CR156" s="229">
        <v>5.2999999999999999E-2</v>
      </c>
      <c r="CS156" s="228">
        <v>280</v>
      </c>
      <c r="CT156" s="228">
        <v>234</v>
      </c>
      <c r="CU156" s="228">
        <v>46</v>
      </c>
      <c r="CV156" s="229">
        <v>0.1973</v>
      </c>
      <c r="CW156" s="230">
        <v>1909</v>
      </c>
      <c r="CX156" s="230">
        <v>1866</v>
      </c>
      <c r="CY156" s="228">
        <v>43</v>
      </c>
      <c r="CZ156" s="229">
        <v>2.3099999999999999E-2</v>
      </c>
      <c r="DA156" s="228">
        <v>29.38</v>
      </c>
      <c r="DB156" s="228">
        <v>31</v>
      </c>
      <c r="DC156" s="228">
        <v>-1.62</v>
      </c>
      <c r="DD156" s="228">
        <v>-1.62</v>
      </c>
      <c r="DE156" s="228">
        <v>28.94</v>
      </c>
      <c r="DF156" s="228">
        <v>28.79</v>
      </c>
      <c r="DG156" s="228">
        <v>0.44</v>
      </c>
      <c r="DH156" s="228">
        <v>0.15</v>
      </c>
      <c r="DI156" s="228">
        <v>28.18</v>
      </c>
      <c r="DJ156" s="228">
        <v>29.78</v>
      </c>
      <c r="DK156" s="228">
        <v>-1.6</v>
      </c>
      <c r="DL156" s="228">
        <v>-1.6</v>
      </c>
      <c r="DM156" s="228">
        <v>31.35</v>
      </c>
      <c r="DN156" s="228">
        <v>31.91</v>
      </c>
      <c r="DO156" s="228">
        <v>-0.56000000000000005</v>
      </c>
      <c r="DP156" s="228">
        <v>-0.56000000000000005</v>
      </c>
      <c r="DQ156" s="228">
        <v>1.0900000000000001</v>
      </c>
      <c r="DR156" s="228">
        <v>0.96</v>
      </c>
      <c r="DS156" s="228">
        <v>0.13</v>
      </c>
      <c r="DT156" s="229">
        <v>0.13539999999999999</v>
      </c>
      <c r="DU156" s="231">
        <v>33000</v>
      </c>
      <c r="DV156" s="231">
        <v>35500</v>
      </c>
      <c r="DW156" s="228">
        <v>0.61</v>
      </c>
      <c r="DX156" s="228">
        <v>1.34</v>
      </c>
      <c r="DY156" s="228">
        <v>-0.73</v>
      </c>
      <c r="DZ156" s="229">
        <v>-0.54479999999999995</v>
      </c>
      <c r="EA156" s="229">
        <v>3.44E-2</v>
      </c>
      <c r="EB156" s="230">
        <v>9585</v>
      </c>
      <c r="EC156" s="229">
        <v>-5.7000000000000002E-3</v>
      </c>
      <c r="ED156" s="229">
        <v>3.44E-2</v>
      </c>
      <c r="EE156" s="228">
        <v>-395.69</v>
      </c>
      <c r="EF156" s="229">
        <v>-1.04E-2</v>
      </c>
      <c r="EG156" s="230">
        <v>42074</v>
      </c>
      <c r="EH156" s="230">
        <v>7927</v>
      </c>
      <c r="EI156" s="229">
        <v>4.3076999999999996</v>
      </c>
      <c r="EJ156" s="229">
        <v>0.63529999999999998</v>
      </c>
      <c r="EK156" s="228">
        <v>662.07</v>
      </c>
      <c r="EL156" s="228">
        <v>369.68</v>
      </c>
      <c r="EM156" s="228">
        <v>310.27</v>
      </c>
      <c r="EN156" s="228">
        <v>45.82</v>
      </c>
      <c r="EO156" s="231">
        <v>1342.02</v>
      </c>
      <c r="EP156" s="228">
        <v>438.95</v>
      </c>
      <c r="EQ156" s="228">
        <v>903.06</v>
      </c>
      <c r="ER156" s="229">
        <v>2.0573000000000001</v>
      </c>
      <c r="ES156" s="228">
        <v>244.62</v>
      </c>
      <c r="ET156" s="228">
        <v>253.8</v>
      </c>
      <c r="EU156" s="231">
        <v>1372.37</v>
      </c>
      <c r="EV156" s="231">
        <v>955549</v>
      </c>
      <c r="EW156" s="231">
        <v>1870.79</v>
      </c>
      <c r="EX156" s="231">
        <v>1792.8</v>
      </c>
      <c r="EY156" s="228">
        <v>77.989999999999995</v>
      </c>
      <c r="EZ156" s="229">
        <v>4.3499999999999997E-2</v>
      </c>
      <c r="FA156" s="229">
        <v>0.52669999999999995</v>
      </c>
      <c r="FB156" s="227" t="s">
        <v>693</v>
      </c>
      <c r="FC156">
        <f t="shared" si="3"/>
        <v>0</v>
      </c>
    </row>
    <row r="157" spans="1:159" ht="17.25" thickBot="1" x14ac:dyDescent="0.3">
      <c r="A157" s="226">
        <v>46129</v>
      </c>
      <c r="B157" s="227" t="s">
        <v>168</v>
      </c>
      <c r="C157" s="227" t="s">
        <v>664</v>
      </c>
      <c r="D157" s="228">
        <v>900</v>
      </c>
      <c r="E157" s="228">
        <v>11</v>
      </c>
      <c r="F157" s="228">
        <v>469</v>
      </c>
      <c r="G157" s="228">
        <v>464.7</v>
      </c>
      <c r="H157" s="228">
        <v>4.3</v>
      </c>
      <c r="I157" s="229">
        <v>9.2999999999999992E-3</v>
      </c>
      <c r="J157" s="228">
        <v>468.3</v>
      </c>
      <c r="K157" s="228">
        <v>464.95</v>
      </c>
      <c r="L157" s="228">
        <v>3.35</v>
      </c>
      <c r="M157" s="229">
        <v>7.1999999999999998E-3</v>
      </c>
      <c r="N157" s="228">
        <v>469</v>
      </c>
      <c r="O157" s="228">
        <v>464.7</v>
      </c>
      <c r="P157" s="228">
        <v>4.3</v>
      </c>
      <c r="Q157" s="229">
        <v>9.2999999999999992E-3</v>
      </c>
      <c r="R157" s="228">
        <v>471.4</v>
      </c>
      <c r="S157" s="228">
        <v>466.9</v>
      </c>
      <c r="T157" s="228">
        <v>4.5</v>
      </c>
      <c r="U157" s="229">
        <v>9.5999999999999992E-3</v>
      </c>
      <c r="V157" s="228">
        <v>473.8</v>
      </c>
      <c r="W157" s="228">
        <v>469.85</v>
      </c>
      <c r="X157" s="228">
        <v>3.95</v>
      </c>
      <c r="Y157" s="229">
        <v>8.3999999999999995E-3</v>
      </c>
      <c r="Z157" s="228">
        <v>0.7</v>
      </c>
      <c r="AA157" s="228">
        <v>-0.25</v>
      </c>
      <c r="AB157" s="228">
        <v>0.95</v>
      </c>
      <c r="AC157" s="229">
        <v>1.5E-3</v>
      </c>
      <c r="AD157" s="228">
        <v>0.7</v>
      </c>
      <c r="AE157" s="228">
        <v>-0.25</v>
      </c>
      <c r="AF157" s="228">
        <v>0.95</v>
      </c>
      <c r="AG157" s="229">
        <v>1.5E-3</v>
      </c>
      <c r="AH157" s="228">
        <v>3.1</v>
      </c>
      <c r="AI157" s="228">
        <v>1.95</v>
      </c>
      <c r="AJ157" s="228">
        <v>1.1499999999999999</v>
      </c>
      <c r="AK157" s="229">
        <v>6.6E-3</v>
      </c>
      <c r="AL157" s="228">
        <v>5.5</v>
      </c>
      <c r="AM157" s="228">
        <v>4.9000000000000004</v>
      </c>
      <c r="AN157" s="228">
        <v>0.6</v>
      </c>
      <c r="AO157" s="229">
        <v>1.17E-2</v>
      </c>
      <c r="AP157" s="228">
        <v>469.56</v>
      </c>
      <c r="AQ157" s="228">
        <v>471.44</v>
      </c>
      <c r="AR157" s="228">
        <v>0</v>
      </c>
      <c r="AS157" s="228">
        <v>257</v>
      </c>
      <c r="AT157" s="228">
        <v>121</v>
      </c>
      <c r="AU157" s="228">
        <v>136</v>
      </c>
      <c r="AV157" s="229">
        <v>1.1278999999999999</v>
      </c>
      <c r="AW157" s="228">
        <v>224</v>
      </c>
      <c r="AX157" s="228">
        <v>116</v>
      </c>
      <c r="AY157" s="228">
        <v>107</v>
      </c>
      <c r="AZ157" s="229">
        <v>0.92090000000000005</v>
      </c>
      <c r="BA157" s="228">
        <v>33</v>
      </c>
      <c r="BB157" s="228">
        <v>4</v>
      </c>
      <c r="BC157" s="228">
        <v>29</v>
      </c>
      <c r="BD157" s="229">
        <v>7.7079000000000004</v>
      </c>
      <c r="BE157" s="228">
        <v>1</v>
      </c>
      <c r="BF157" s="228">
        <v>1</v>
      </c>
      <c r="BG157" s="228">
        <v>0</v>
      </c>
      <c r="BH157" s="229">
        <v>0.1875</v>
      </c>
      <c r="BI157" s="228">
        <v>585</v>
      </c>
      <c r="BJ157" s="228">
        <v>144</v>
      </c>
      <c r="BK157" s="228">
        <v>442</v>
      </c>
      <c r="BL157" s="229">
        <v>3.0749</v>
      </c>
      <c r="BM157" s="228">
        <v>125</v>
      </c>
      <c r="BN157" s="228">
        <v>47</v>
      </c>
      <c r="BO157" s="228">
        <v>78</v>
      </c>
      <c r="BP157" s="229">
        <v>1.679</v>
      </c>
      <c r="BQ157" s="228">
        <v>967</v>
      </c>
      <c r="BR157" s="228">
        <v>311</v>
      </c>
      <c r="BS157" s="228">
        <v>656</v>
      </c>
      <c r="BT157" s="229">
        <v>2.1095000000000002</v>
      </c>
      <c r="BU157" s="230">
        <v>2788424</v>
      </c>
      <c r="BV157" s="230">
        <v>1039944</v>
      </c>
      <c r="BW157" s="230">
        <v>1748480</v>
      </c>
      <c r="BX157" s="229">
        <v>1.6813</v>
      </c>
      <c r="BY157" s="230">
        <v>1617</v>
      </c>
      <c r="BZ157" s="230">
        <v>1600</v>
      </c>
      <c r="CA157" s="228">
        <v>17</v>
      </c>
      <c r="CB157" s="229">
        <v>1.0800000000000001E-2</v>
      </c>
      <c r="CC157" s="230">
        <v>1595</v>
      </c>
      <c r="CD157" s="230">
        <v>1585</v>
      </c>
      <c r="CE157" s="228">
        <v>10</v>
      </c>
      <c r="CF157" s="229">
        <v>6.6E-3</v>
      </c>
      <c r="CG157" s="228">
        <v>20</v>
      </c>
      <c r="CH157" s="228">
        <v>13</v>
      </c>
      <c r="CI157" s="228">
        <v>7</v>
      </c>
      <c r="CJ157" s="229">
        <v>0.49840000000000001</v>
      </c>
      <c r="CK157" s="228">
        <v>2</v>
      </c>
      <c r="CL157" s="228">
        <v>2</v>
      </c>
      <c r="CM157" s="228">
        <v>0</v>
      </c>
      <c r="CN157" s="229">
        <v>0.13730000000000001</v>
      </c>
      <c r="CO157" s="228">
        <v>243</v>
      </c>
      <c r="CP157" s="228">
        <v>185</v>
      </c>
      <c r="CQ157" s="228">
        <v>58</v>
      </c>
      <c r="CR157" s="229">
        <v>0.31140000000000001</v>
      </c>
      <c r="CS157" s="228">
        <v>142</v>
      </c>
      <c r="CT157" s="228">
        <v>115</v>
      </c>
      <c r="CU157" s="228">
        <v>27</v>
      </c>
      <c r="CV157" s="229">
        <v>0.23230000000000001</v>
      </c>
      <c r="CW157" s="230">
        <v>2003</v>
      </c>
      <c r="CX157" s="230">
        <v>1901</v>
      </c>
      <c r="CY157" s="228">
        <v>102</v>
      </c>
      <c r="CZ157" s="229">
        <v>5.3499999999999999E-2</v>
      </c>
      <c r="DA157" s="228">
        <v>30.98</v>
      </c>
      <c r="DB157" s="228">
        <v>30.29</v>
      </c>
      <c r="DC157" s="228">
        <v>0.69</v>
      </c>
      <c r="DD157" s="228">
        <v>0.69</v>
      </c>
      <c r="DE157" s="228">
        <v>32.25</v>
      </c>
      <c r="DF157" s="228">
        <v>32.299999999999997</v>
      </c>
      <c r="DG157" s="228">
        <v>-1.27</v>
      </c>
      <c r="DH157" s="228">
        <v>-0.05</v>
      </c>
      <c r="DI157" s="228">
        <v>31.02</v>
      </c>
      <c r="DJ157" s="228">
        <v>30.13</v>
      </c>
      <c r="DK157" s="228">
        <v>0.89</v>
      </c>
      <c r="DL157" s="228">
        <v>0.89</v>
      </c>
      <c r="DM157" s="228">
        <v>30.79</v>
      </c>
      <c r="DN157" s="228">
        <v>30.77</v>
      </c>
      <c r="DO157" s="228">
        <v>0.02</v>
      </c>
      <c r="DP157" s="228">
        <v>0.02</v>
      </c>
      <c r="DQ157" s="228">
        <v>0.59</v>
      </c>
      <c r="DR157" s="228">
        <v>0.62</v>
      </c>
      <c r="DS157" s="228">
        <v>-0.03</v>
      </c>
      <c r="DT157" s="229">
        <v>-4.8399999999999999E-2</v>
      </c>
      <c r="DU157" s="228">
        <v>480</v>
      </c>
      <c r="DV157" s="228">
        <v>510</v>
      </c>
      <c r="DW157" s="228">
        <v>0.21</v>
      </c>
      <c r="DX157" s="228">
        <v>0.33</v>
      </c>
      <c r="DY157" s="228">
        <v>-0.12</v>
      </c>
      <c r="DZ157" s="229">
        <v>-0.36359999999999998</v>
      </c>
      <c r="EA157" s="229">
        <v>1.37E-2</v>
      </c>
      <c r="EB157" s="230">
        <v>325800</v>
      </c>
      <c r="EC157" s="229">
        <v>5.1000000000000004E-3</v>
      </c>
      <c r="ED157" s="229">
        <v>1.37E-2</v>
      </c>
      <c r="EE157" s="228">
        <v>1.88</v>
      </c>
      <c r="EF157" s="229">
        <v>4.0000000000000001E-3</v>
      </c>
      <c r="EG157" s="230">
        <v>1432085</v>
      </c>
      <c r="EH157" s="230">
        <v>373613</v>
      </c>
      <c r="EI157" s="229">
        <v>2.8331</v>
      </c>
      <c r="EJ157" s="229">
        <v>0.51359999999999995</v>
      </c>
      <c r="EK157" s="228">
        <v>610.86</v>
      </c>
      <c r="EL157" s="228">
        <v>128.94999999999999</v>
      </c>
      <c r="EM157" s="228">
        <v>257.5</v>
      </c>
      <c r="EN157" s="228">
        <v>35.35</v>
      </c>
      <c r="EO157" s="228">
        <v>997.32</v>
      </c>
      <c r="EP157" s="228">
        <v>316.7</v>
      </c>
      <c r="EQ157" s="228">
        <v>680.61</v>
      </c>
      <c r="ER157" s="229">
        <v>2.1490999999999998</v>
      </c>
      <c r="ES157" s="228">
        <v>253.39</v>
      </c>
      <c r="ET157" s="228">
        <v>146.52000000000001</v>
      </c>
      <c r="EU157" s="231">
        <v>1617.57</v>
      </c>
      <c r="EV157" s="231">
        <v>51786533</v>
      </c>
      <c r="EW157" s="231">
        <v>2017.48</v>
      </c>
      <c r="EX157" s="231">
        <v>1899.31</v>
      </c>
      <c r="EY157" s="228">
        <v>118.17</v>
      </c>
      <c r="EZ157" s="229">
        <v>6.2199999999999998E-2</v>
      </c>
      <c r="FA157" s="229">
        <v>0.82450000000000001</v>
      </c>
      <c r="FB157" s="227" t="s">
        <v>555</v>
      </c>
      <c r="FC157">
        <f t="shared" si="3"/>
        <v>0</v>
      </c>
    </row>
    <row r="158" spans="1:159" ht="17.25" thickBot="1" x14ac:dyDescent="0.3">
      <c r="A158" s="226">
        <v>46129</v>
      </c>
      <c r="B158" s="227" t="s">
        <v>614</v>
      </c>
      <c r="C158" s="227" t="s">
        <v>574</v>
      </c>
      <c r="D158" s="228">
        <v>725</v>
      </c>
      <c r="E158" s="228">
        <v>11</v>
      </c>
      <c r="F158" s="231">
        <v>1161.7</v>
      </c>
      <c r="G158" s="231">
        <v>1148.7</v>
      </c>
      <c r="H158" s="228">
        <v>13</v>
      </c>
      <c r="I158" s="229">
        <v>1.1299999999999999E-2</v>
      </c>
      <c r="J158" s="231">
        <v>1161.6500000000001</v>
      </c>
      <c r="K158" s="231">
        <v>1148.8499999999999</v>
      </c>
      <c r="L158" s="228">
        <v>12.8</v>
      </c>
      <c r="M158" s="229">
        <v>1.11E-2</v>
      </c>
      <c r="N158" s="231">
        <v>1161.7</v>
      </c>
      <c r="O158" s="231">
        <v>1148.7</v>
      </c>
      <c r="P158" s="228">
        <v>13</v>
      </c>
      <c r="Q158" s="229">
        <v>1.1299999999999999E-2</v>
      </c>
      <c r="R158" s="231">
        <v>1166.6500000000001</v>
      </c>
      <c r="S158" s="231">
        <v>1155.05</v>
      </c>
      <c r="T158" s="228">
        <v>11.6</v>
      </c>
      <c r="U158" s="229">
        <v>0.01</v>
      </c>
      <c r="V158" s="231">
        <v>1175.8</v>
      </c>
      <c r="W158" s="231">
        <v>1160.1500000000001</v>
      </c>
      <c r="X158" s="228">
        <v>15.65</v>
      </c>
      <c r="Y158" s="229">
        <v>1.35E-2</v>
      </c>
      <c r="Z158" s="228">
        <v>0.05</v>
      </c>
      <c r="AA158" s="228">
        <v>-0.15</v>
      </c>
      <c r="AB158" s="228">
        <v>0.2</v>
      </c>
      <c r="AC158" s="229">
        <v>0</v>
      </c>
      <c r="AD158" s="228">
        <v>0.05</v>
      </c>
      <c r="AE158" s="228">
        <v>-0.15</v>
      </c>
      <c r="AF158" s="228">
        <v>0.2</v>
      </c>
      <c r="AG158" s="229">
        <v>0</v>
      </c>
      <c r="AH158" s="228">
        <v>5</v>
      </c>
      <c r="AI158" s="228">
        <v>6.2</v>
      </c>
      <c r="AJ158" s="228">
        <v>-1.2</v>
      </c>
      <c r="AK158" s="229">
        <v>4.3E-3</v>
      </c>
      <c r="AL158" s="228">
        <v>14.15</v>
      </c>
      <c r="AM158" s="228">
        <v>11.3</v>
      </c>
      <c r="AN158" s="228">
        <v>2.85</v>
      </c>
      <c r="AO158" s="229">
        <v>1.2200000000000001E-2</v>
      </c>
      <c r="AP158" s="231">
        <v>1158.33</v>
      </c>
      <c r="AQ158" s="231">
        <v>1163.9000000000001</v>
      </c>
      <c r="AR158" s="228">
        <v>0</v>
      </c>
      <c r="AS158" s="228">
        <v>251</v>
      </c>
      <c r="AT158" s="228">
        <v>298</v>
      </c>
      <c r="AU158" s="228">
        <v>-47</v>
      </c>
      <c r="AV158" s="229">
        <v>-0.15890000000000001</v>
      </c>
      <c r="AW158" s="228">
        <v>227</v>
      </c>
      <c r="AX158" s="228">
        <v>278</v>
      </c>
      <c r="AY158" s="228">
        <v>-51</v>
      </c>
      <c r="AZ158" s="229">
        <v>-0.1825</v>
      </c>
      <c r="BA158" s="228">
        <v>23</v>
      </c>
      <c r="BB158" s="228">
        <v>20</v>
      </c>
      <c r="BC158" s="228">
        <v>3</v>
      </c>
      <c r="BD158" s="229">
        <v>0.17519999999999999</v>
      </c>
      <c r="BE158" s="228">
        <v>1</v>
      </c>
      <c r="BF158" s="228">
        <v>1</v>
      </c>
      <c r="BG158" s="228">
        <v>0</v>
      </c>
      <c r="BH158" s="229">
        <v>-0.2</v>
      </c>
      <c r="BI158" s="228">
        <v>757</v>
      </c>
      <c r="BJ158" s="228">
        <v>882</v>
      </c>
      <c r="BK158" s="228">
        <v>-125</v>
      </c>
      <c r="BL158" s="229">
        <v>-0.14119999999999999</v>
      </c>
      <c r="BM158" s="228">
        <v>546</v>
      </c>
      <c r="BN158" s="228">
        <v>481</v>
      </c>
      <c r="BO158" s="228">
        <v>66</v>
      </c>
      <c r="BP158" s="229">
        <v>0.13650000000000001</v>
      </c>
      <c r="BQ158" s="230">
        <v>1555</v>
      </c>
      <c r="BR158" s="230">
        <v>1661</v>
      </c>
      <c r="BS158" s="228">
        <v>-106</v>
      </c>
      <c r="BT158" s="229">
        <v>-6.4000000000000001E-2</v>
      </c>
      <c r="BU158" s="230">
        <v>1766172</v>
      </c>
      <c r="BV158" s="230">
        <v>2302362</v>
      </c>
      <c r="BW158" s="230">
        <v>-536190</v>
      </c>
      <c r="BX158" s="229">
        <v>-0.2329</v>
      </c>
      <c r="BY158" s="230">
        <v>1814</v>
      </c>
      <c r="BZ158" s="230">
        <v>1846</v>
      </c>
      <c r="CA158" s="228">
        <v>-31</v>
      </c>
      <c r="CB158" s="229">
        <v>-1.7000000000000001E-2</v>
      </c>
      <c r="CC158" s="230">
        <v>1729</v>
      </c>
      <c r="CD158" s="230">
        <v>1761</v>
      </c>
      <c r="CE158" s="228">
        <v>-32</v>
      </c>
      <c r="CF158" s="229">
        <v>-1.7999999999999999E-2</v>
      </c>
      <c r="CG158" s="228">
        <v>81</v>
      </c>
      <c r="CH158" s="228">
        <v>81</v>
      </c>
      <c r="CI158" s="228">
        <v>0</v>
      </c>
      <c r="CJ158" s="229">
        <v>-1E-3</v>
      </c>
      <c r="CK158" s="228">
        <v>5</v>
      </c>
      <c r="CL158" s="228">
        <v>4</v>
      </c>
      <c r="CM158" s="228">
        <v>0</v>
      </c>
      <c r="CN158" s="229">
        <v>7.6899999999999996E-2</v>
      </c>
      <c r="CO158" s="228">
        <v>739</v>
      </c>
      <c r="CP158" s="228">
        <v>706</v>
      </c>
      <c r="CQ158" s="228">
        <v>32</v>
      </c>
      <c r="CR158" s="229">
        <v>4.5900000000000003E-2</v>
      </c>
      <c r="CS158" s="228">
        <v>709</v>
      </c>
      <c r="CT158" s="228">
        <v>602</v>
      </c>
      <c r="CU158" s="228">
        <v>107</v>
      </c>
      <c r="CV158" s="229">
        <v>0.17799999999999999</v>
      </c>
      <c r="CW158" s="230">
        <v>3263</v>
      </c>
      <c r="CX158" s="230">
        <v>3154</v>
      </c>
      <c r="CY158" s="228">
        <v>108</v>
      </c>
      <c r="CZ158" s="229">
        <v>3.4299999999999997E-2</v>
      </c>
      <c r="DA158" s="228">
        <v>37.31</v>
      </c>
      <c r="DB158" s="228">
        <v>37.020000000000003</v>
      </c>
      <c r="DC158" s="228">
        <v>0.28999999999999998</v>
      </c>
      <c r="DD158" s="228">
        <v>0.28999999999999998</v>
      </c>
      <c r="DE158" s="228">
        <v>52.74</v>
      </c>
      <c r="DF158" s="228">
        <v>52.85</v>
      </c>
      <c r="DG158" s="228">
        <v>-15.43</v>
      </c>
      <c r="DH158" s="228">
        <v>-0.11</v>
      </c>
      <c r="DI158" s="228">
        <v>35.18</v>
      </c>
      <c r="DJ158" s="228">
        <v>35.76</v>
      </c>
      <c r="DK158" s="228">
        <v>-0.57999999999999996</v>
      </c>
      <c r="DL158" s="228">
        <v>-0.57999999999999996</v>
      </c>
      <c r="DM158" s="228">
        <v>40.25</v>
      </c>
      <c r="DN158" s="228">
        <v>39.33</v>
      </c>
      <c r="DO158" s="228">
        <v>0.92</v>
      </c>
      <c r="DP158" s="228">
        <v>0.92</v>
      </c>
      <c r="DQ158" s="228">
        <v>0.96</v>
      </c>
      <c r="DR158" s="228">
        <v>0.85</v>
      </c>
      <c r="DS158" s="228">
        <v>0.11</v>
      </c>
      <c r="DT158" s="229">
        <v>0.12939999999999999</v>
      </c>
      <c r="DU158" s="231">
        <v>1100</v>
      </c>
      <c r="DV158" s="231">
        <v>1100</v>
      </c>
      <c r="DW158" s="228">
        <v>0.72</v>
      </c>
      <c r="DX158" s="228">
        <v>0.54</v>
      </c>
      <c r="DY158" s="228">
        <v>0.18</v>
      </c>
      <c r="DZ158" s="229">
        <v>0.33329999999999999</v>
      </c>
      <c r="EA158" s="229">
        <v>4.7E-2</v>
      </c>
      <c r="EB158" s="230">
        <v>731525</v>
      </c>
      <c r="EC158" s="229">
        <v>4.3E-3</v>
      </c>
      <c r="ED158" s="229">
        <v>4.7E-2</v>
      </c>
      <c r="EE158" s="228">
        <v>5.57</v>
      </c>
      <c r="EF158" s="229">
        <v>4.7999999999999996E-3</v>
      </c>
      <c r="EG158" s="230">
        <v>716694</v>
      </c>
      <c r="EH158" s="230">
        <v>853535</v>
      </c>
      <c r="EI158" s="229">
        <v>-0.1603</v>
      </c>
      <c r="EJ158" s="229">
        <v>0.40579999999999999</v>
      </c>
      <c r="EK158" s="228">
        <v>781.02</v>
      </c>
      <c r="EL158" s="228">
        <v>523.80999999999995</v>
      </c>
      <c r="EM158" s="228">
        <v>250.38</v>
      </c>
      <c r="EN158" s="228">
        <v>31.78</v>
      </c>
      <c r="EO158" s="231">
        <v>1555.21</v>
      </c>
      <c r="EP158" s="231">
        <v>1664.01</v>
      </c>
      <c r="EQ158" s="228">
        <v>-108.81</v>
      </c>
      <c r="ER158" s="229">
        <v>-6.54E-2</v>
      </c>
      <c r="ES158" s="228">
        <v>716.41</v>
      </c>
      <c r="ET158" s="228">
        <v>646.41999999999996</v>
      </c>
      <c r="EU158" s="231">
        <v>1814.82</v>
      </c>
      <c r="EV158" s="231">
        <v>95930888</v>
      </c>
      <c r="EW158" s="231">
        <v>3177.65</v>
      </c>
      <c r="EX158" s="231">
        <v>3053.2</v>
      </c>
      <c r="EY158" s="228">
        <v>124.45</v>
      </c>
      <c r="EZ158" s="229">
        <v>4.0800000000000003E-2</v>
      </c>
      <c r="FA158" s="229">
        <v>0.2928</v>
      </c>
      <c r="FB158" s="227" t="s">
        <v>693</v>
      </c>
      <c r="FC158">
        <f t="shared" si="3"/>
        <v>0</v>
      </c>
    </row>
    <row r="159" spans="1:159" ht="17.25" thickBot="1" x14ac:dyDescent="0.3">
      <c r="A159" s="226">
        <v>46129</v>
      </c>
      <c r="B159" s="227" t="s">
        <v>221</v>
      </c>
      <c r="C159" s="227" t="s">
        <v>529</v>
      </c>
      <c r="D159" s="228">
        <v>100</v>
      </c>
      <c r="E159" s="228">
        <v>11</v>
      </c>
      <c r="F159" s="231">
        <v>5452.2</v>
      </c>
      <c r="G159" s="231">
        <v>5490.7</v>
      </c>
      <c r="H159" s="228">
        <v>-38.5</v>
      </c>
      <c r="I159" s="229">
        <v>-7.0000000000000001E-3</v>
      </c>
      <c r="J159" s="231">
        <v>5446.5</v>
      </c>
      <c r="K159" s="231">
        <v>5500.5</v>
      </c>
      <c r="L159" s="228">
        <v>-54</v>
      </c>
      <c r="M159" s="229">
        <v>-9.7999999999999997E-3</v>
      </c>
      <c r="N159" s="231">
        <v>5452.2</v>
      </c>
      <c r="O159" s="231">
        <v>5490.7</v>
      </c>
      <c r="P159" s="228">
        <v>-38.5</v>
      </c>
      <c r="Q159" s="229">
        <v>-7.0000000000000001E-3</v>
      </c>
      <c r="R159" s="231">
        <v>5359.1</v>
      </c>
      <c r="S159" s="231">
        <v>5398.7</v>
      </c>
      <c r="T159" s="228">
        <v>-39.6</v>
      </c>
      <c r="U159" s="229">
        <v>-7.3000000000000001E-3</v>
      </c>
      <c r="V159" s="231">
        <v>5293.6</v>
      </c>
      <c r="W159" s="231">
        <v>5350.4</v>
      </c>
      <c r="X159" s="228">
        <v>-56.8</v>
      </c>
      <c r="Y159" s="229">
        <v>-1.06E-2</v>
      </c>
      <c r="Z159" s="228">
        <v>5.7</v>
      </c>
      <c r="AA159" s="228">
        <v>-9.8000000000000007</v>
      </c>
      <c r="AB159" s="228">
        <v>15.5</v>
      </c>
      <c r="AC159" s="229">
        <v>1E-3</v>
      </c>
      <c r="AD159" s="228">
        <v>5.7</v>
      </c>
      <c r="AE159" s="228">
        <v>-9.8000000000000007</v>
      </c>
      <c r="AF159" s="228">
        <v>15.5</v>
      </c>
      <c r="AG159" s="229">
        <v>1E-3</v>
      </c>
      <c r="AH159" s="228">
        <v>-87.4</v>
      </c>
      <c r="AI159" s="228">
        <v>-101.8</v>
      </c>
      <c r="AJ159" s="228">
        <v>14.4</v>
      </c>
      <c r="AK159" s="229">
        <v>-1.6E-2</v>
      </c>
      <c r="AL159" s="228">
        <v>-152.9</v>
      </c>
      <c r="AM159" s="228">
        <v>-150.1</v>
      </c>
      <c r="AN159" s="228">
        <v>-2.8</v>
      </c>
      <c r="AO159" s="229">
        <v>-2.81E-2</v>
      </c>
      <c r="AP159" s="231">
        <v>5416.73</v>
      </c>
      <c r="AQ159" s="231">
        <v>5319.23</v>
      </c>
      <c r="AR159" s="228">
        <v>0</v>
      </c>
      <c r="AS159" s="228">
        <v>844</v>
      </c>
      <c r="AT159" s="228">
        <v>740</v>
      </c>
      <c r="AU159" s="228">
        <v>105</v>
      </c>
      <c r="AV159" s="229">
        <v>0.14149999999999999</v>
      </c>
      <c r="AW159" s="228">
        <v>737</v>
      </c>
      <c r="AX159" s="228">
        <v>580</v>
      </c>
      <c r="AY159" s="228">
        <v>157</v>
      </c>
      <c r="AZ159" s="229">
        <v>0.2697</v>
      </c>
      <c r="BA159" s="228">
        <v>105</v>
      </c>
      <c r="BB159" s="228">
        <v>155</v>
      </c>
      <c r="BC159" s="228">
        <v>-50</v>
      </c>
      <c r="BD159" s="229">
        <v>-0.32290000000000002</v>
      </c>
      <c r="BE159" s="228">
        <v>3</v>
      </c>
      <c r="BF159" s="228">
        <v>4</v>
      </c>
      <c r="BG159" s="228">
        <v>-2</v>
      </c>
      <c r="BH159" s="229">
        <v>-0.42680000000000001</v>
      </c>
      <c r="BI159" s="230">
        <v>1195</v>
      </c>
      <c r="BJ159" s="230">
        <v>1029</v>
      </c>
      <c r="BK159" s="228">
        <v>165</v>
      </c>
      <c r="BL159" s="229">
        <v>0.16070000000000001</v>
      </c>
      <c r="BM159" s="228">
        <v>963</v>
      </c>
      <c r="BN159" s="228">
        <v>744</v>
      </c>
      <c r="BO159" s="228">
        <v>219</v>
      </c>
      <c r="BP159" s="229">
        <v>0.29409999999999997</v>
      </c>
      <c r="BQ159" s="230">
        <v>3002</v>
      </c>
      <c r="BR159" s="230">
        <v>2513</v>
      </c>
      <c r="BS159" s="228">
        <v>489</v>
      </c>
      <c r="BT159" s="229">
        <v>0.19450000000000001</v>
      </c>
      <c r="BU159" s="230">
        <v>854309</v>
      </c>
      <c r="BV159" s="230">
        <v>630890</v>
      </c>
      <c r="BW159" s="230">
        <v>223419</v>
      </c>
      <c r="BX159" s="229">
        <v>0.35410000000000003</v>
      </c>
      <c r="BY159" s="230">
        <v>3269</v>
      </c>
      <c r="BZ159" s="230">
        <v>3208</v>
      </c>
      <c r="CA159" s="228">
        <v>61</v>
      </c>
      <c r="CB159" s="229">
        <v>1.9E-2</v>
      </c>
      <c r="CC159" s="230">
        <v>2834</v>
      </c>
      <c r="CD159" s="230">
        <v>2841</v>
      </c>
      <c r="CE159" s="228">
        <v>-7</v>
      </c>
      <c r="CF159" s="229">
        <v>-2.5000000000000001E-3</v>
      </c>
      <c r="CG159" s="228">
        <v>420</v>
      </c>
      <c r="CH159" s="228">
        <v>354</v>
      </c>
      <c r="CI159" s="228">
        <v>66</v>
      </c>
      <c r="CJ159" s="229">
        <v>0.1865</v>
      </c>
      <c r="CK159" s="228">
        <v>15</v>
      </c>
      <c r="CL159" s="228">
        <v>14</v>
      </c>
      <c r="CM159" s="228">
        <v>2</v>
      </c>
      <c r="CN159" s="229">
        <v>0.13200000000000001</v>
      </c>
      <c r="CO159" s="228">
        <v>658</v>
      </c>
      <c r="CP159" s="228">
        <v>609</v>
      </c>
      <c r="CQ159" s="228">
        <v>49</v>
      </c>
      <c r="CR159" s="229">
        <v>8.0399999999999999E-2</v>
      </c>
      <c r="CS159" s="228">
        <v>629</v>
      </c>
      <c r="CT159" s="228">
        <v>632</v>
      </c>
      <c r="CU159" s="228">
        <v>-3</v>
      </c>
      <c r="CV159" s="229">
        <v>-4.0000000000000001E-3</v>
      </c>
      <c r="CW159" s="230">
        <v>4557</v>
      </c>
      <c r="CX159" s="230">
        <v>4449</v>
      </c>
      <c r="CY159" s="228">
        <v>107</v>
      </c>
      <c r="CZ159" s="229">
        <v>2.41E-2</v>
      </c>
      <c r="DA159" s="228">
        <v>49.82</v>
      </c>
      <c r="DB159" s="228">
        <v>47.66</v>
      </c>
      <c r="DC159" s="228">
        <v>2.16</v>
      </c>
      <c r="DD159" s="228">
        <v>2.16</v>
      </c>
      <c r="DE159" s="228">
        <v>40.08</v>
      </c>
      <c r="DF159" s="228">
        <v>40.17</v>
      </c>
      <c r="DG159" s="228">
        <v>9.74</v>
      </c>
      <c r="DH159" s="228">
        <v>-0.09</v>
      </c>
      <c r="DI159" s="228">
        <v>48.35</v>
      </c>
      <c r="DJ159" s="228">
        <v>46.04</v>
      </c>
      <c r="DK159" s="228">
        <v>2.31</v>
      </c>
      <c r="DL159" s="228">
        <v>2.31</v>
      </c>
      <c r="DM159" s="228">
        <v>51.66</v>
      </c>
      <c r="DN159" s="228">
        <v>49.91</v>
      </c>
      <c r="DO159" s="228">
        <v>1.75</v>
      </c>
      <c r="DP159" s="228">
        <v>1.75</v>
      </c>
      <c r="DQ159" s="228">
        <v>0.96</v>
      </c>
      <c r="DR159" s="228">
        <v>1.04</v>
      </c>
      <c r="DS159" s="228">
        <v>-0.08</v>
      </c>
      <c r="DT159" s="229">
        <v>-7.6899999999999996E-2</v>
      </c>
      <c r="DU159" s="231">
        <v>5600</v>
      </c>
      <c r="DV159" s="231">
        <v>5300</v>
      </c>
      <c r="DW159" s="228">
        <v>0.81</v>
      </c>
      <c r="DX159" s="228">
        <v>0.72</v>
      </c>
      <c r="DY159" s="228">
        <v>0.09</v>
      </c>
      <c r="DZ159" s="229">
        <v>0.125</v>
      </c>
      <c r="EA159" s="229">
        <v>0.13320000000000001</v>
      </c>
      <c r="EB159" s="230">
        <v>674400</v>
      </c>
      <c r="EC159" s="229">
        <v>-1.7100000000000001E-2</v>
      </c>
      <c r="ED159" s="229">
        <v>0.13320000000000001</v>
      </c>
      <c r="EE159" s="228">
        <v>-97.5</v>
      </c>
      <c r="EF159" s="229">
        <v>-1.7999999999999999E-2</v>
      </c>
      <c r="EG159" s="230">
        <v>285792</v>
      </c>
      <c r="EH159" s="230">
        <v>246597</v>
      </c>
      <c r="EI159" s="229">
        <v>0.15890000000000001</v>
      </c>
      <c r="EJ159" s="229">
        <v>0.33450000000000002</v>
      </c>
      <c r="EK159" s="231">
        <v>1249.78</v>
      </c>
      <c r="EL159" s="228">
        <v>954.87</v>
      </c>
      <c r="EM159" s="228">
        <v>837.07</v>
      </c>
      <c r="EN159" s="228">
        <v>107.4</v>
      </c>
      <c r="EO159" s="231">
        <v>3041.72</v>
      </c>
      <c r="EP159" s="231">
        <v>2574.2399999999998</v>
      </c>
      <c r="EQ159" s="228">
        <v>467.48</v>
      </c>
      <c r="ER159" s="229">
        <v>0.18160000000000001</v>
      </c>
      <c r="ES159" s="228">
        <v>658.53</v>
      </c>
      <c r="ET159" s="228">
        <v>580.45000000000005</v>
      </c>
      <c r="EU159" s="231">
        <v>3261.46</v>
      </c>
      <c r="EV159" s="231">
        <v>16286398</v>
      </c>
      <c r="EW159" s="231">
        <v>4500.4399999999996</v>
      </c>
      <c r="EX159" s="231">
        <v>4415.07</v>
      </c>
      <c r="EY159" s="228">
        <v>85.37</v>
      </c>
      <c r="EZ159" s="229">
        <v>1.9300000000000001E-2</v>
      </c>
      <c r="FA159" s="229">
        <v>0.51319999999999999</v>
      </c>
      <c r="FB159" s="227" t="s">
        <v>566</v>
      </c>
      <c r="FC159">
        <f t="shared" si="3"/>
        <v>0</v>
      </c>
    </row>
    <row r="160" spans="1:159" ht="17.25" thickBot="1" x14ac:dyDescent="0.3">
      <c r="A160" s="226">
        <v>46129</v>
      </c>
      <c r="B160" s="227" t="s">
        <v>193</v>
      </c>
      <c r="C160" s="227" t="s">
        <v>272</v>
      </c>
      <c r="D160" s="228">
        <v>1900</v>
      </c>
      <c r="E160" s="228">
        <v>11</v>
      </c>
      <c r="F160" s="228">
        <v>273.19</v>
      </c>
      <c r="G160" s="228">
        <v>271.16000000000003</v>
      </c>
      <c r="H160" s="228">
        <v>2.0299999999999998</v>
      </c>
      <c r="I160" s="229">
        <v>7.4999999999999997E-3</v>
      </c>
      <c r="J160" s="228">
        <v>273.22000000000003</v>
      </c>
      <c r="K160" s="228">
        <v>271.49</v>
      </c>
      <c r="L160" s="228">
        <v>1.73</v>
      </c>
      <c r="M160" s="229">
        <v>6.4000000000000003E-3</v>
      </c>
      <c r="N160" s="228">
        <v>273.19</v>
      </c>
      <c r="O160" s="228">
        <v>271.16000000000003</v>
      </c>
      <c r="P160" s="228">
        <v>2.0299999999999998</v>
      </c>
      <c r="Q160" s="229">
        <v>7.4999999999999997E-3</v>
      </c>
      <c r="R160" s="228">
        <v>272.39</v>
      </c>
      <c r="S160" s="228">
        <v>270.61</v>
      </c>
      <c r="T160" s="228">
        <v>1.78</v>
      </c>
      <c r="U160" s="229">
        <v>6.6E-3</v>
      </c>
      <c r="V160" s="228">
        <v>273.25</v>
      </c>
      <c r="W160" s="228">
        <v>271.88</v>
      </c>
      <c r="X160" s="228">
        <v>1.37</v>
      </c>
      <c r="Y160" s="229">
        <v>5.0000000000000001E-3</v>
      </c>
      <c r="Z160" s="228">
        <v>-0.03</v>
      </c>
      <c r="AA160" s="228">
        <v>-0.33</v>
      </c>
      <c r="AB160" s="228">
        <v>0.3</v>
      </c>
      <c r="AC160" s="229">
        <v>-1E-4</v>
      </c>
      <c r="AD160" s="228">
        <v>-0.03</v>
      </c>
      <c r="AE160" s="228">
        <v>-0.33</v>
      </c>
      <c r="AF160" s="228">
        <v>0.3</v>
      </c>
      <c r="AG160" s="229">
        <v>-1E-4</v>
      </c>
      <c r="AH160" s="228">
        <v>-0.83</v>
      </c>
      <c r="AI160" s="228">
        <v>-0.88</v>
      </c>
      <c r="AJ160" s="228">
        <v>0.05</v>
      </c>
      <c r="AK160" s="229">
        <v>-3.0000000000000001E-3</v>
      </c>
      <c r="AL160" s="228">
        <v>0.03</v>
      </c>
      <c r="AM160" s="228">
        <v>0.39</v>
      </c>
      <c r="AN160" s="228">
        <v>-0.36</v>
      </c>
      <c r="AO160" s="229">
        <v>1E-4</v>
      </c>
      <c r="AP160" s="228">
        <v>272.10000000000002</v>
      </c>
      <c r="AQ160" s="228">
        <v>271.26</v>
      </c>
      <c r="AR160" s="228">
        <v>0</v>
      </c>
      <c r="AS160" s="228">
        <v>76</v>
      </c>
      <c r="AT160" s="228">
        <v>98</v>
      </c>
      <c r="AU160" s="228">
        <v>-22</v>
      </c>
      <c r="AV160" s="229">
        <v>-0.22090000000000001</v>
      </c>
      <c r="AW160" s="228">
        <v>62</v>
      </c>
      <c r="AX160" s="228">
        <v>88</v>
      </c>
      <c r="AY160" s="228">
        <v>-26</v>
      </c>
      <c r="AZ160" s="229">
        <v>-0.29470000000000002</v>
      </c>
      <c r="BA160" s="228">
        <v>13</v>
      </c>
      <c r="BB160" s="228">
        <v>8</v>
      </c>
      <c r="BC160" s="228">
        <v>6</v>
      </c>
      <c r="BD160" s="229">
        <v>0.71050000000000002</v>
      </c>
      <c r="BE160" s="228">
        <v>1</v>
      </c>
      <c r="BF160" s="228">
        <v>2</v>
      </c>
      <c r="BG160" s="228">
        <v>-1</v>
      </c>
      <c r="BH160" s="229">
        <v>-0.6341</v>
      </c>
      <c r="BI160" s="228">
        <v>182</v>
      </c>
      <c r="BJ160" s="228">
        <v>247</v>
      </c>
      <c r="BK160" s="228">
        <v>-65</v>
      </c>
      <c r="BL160" s="229">
        <v>-0.26429999999999998</v>
      </c>
      <c r="BM160" s="228">
        <v>79</v>
      </c>
      <c r="BN160" s="228">
        <v>129</v>
      </c>
      <c r="BO160" s="228">
        <v>-50</v>
      </c>
      <c r="BP160" s="229">
        <v>-0.38479999999999998</v>
      </c>
      <c r="BQ160" s="228">
        <v>337</v>
      </c>
      <c r="BR160" s="228">
        <v>473</v>
      </c>
      <c r="BS160" s="228">
        <v>-136</v>
      </c>
      <c r="BT160" s="229">
        <v>-0.28810000000000002</v>
      </c>
      <c r="BU160" s="230">
        <v>1935460</v>
      </c>
      <c r="BV160" s="230">
        <v>2540106</v>
      </c>
      <c r="BW160" s="230">
        <v>-604646</v>
      </c>
      <c r="BX160" s="229">
        <v>-0.23799999999999999</v>
      </c>
      <c r="BY160" s="228">
        <v>978</v>
      </c>
      <c r="BZ160" s="228">
        <v>986</v>
      </c>
      <c r="CA160" s="228">
        <v>-8</v>
      </c>
      <c r="CB160" s="229">
        <v>-8.0999999999999996E-3</v>
      </c>
      <c r="CC160" s="228">
        <v>941</v>
      </c>
      <c r="CD160" s="228">
        <v>953</v>
      </c>
      <c r="CE160" s="228">
        <v>-12</v>
      </c>
      <c r="CF160" s="229">
        <v>-1.26E-2</v>
      </c>
      <c r="CG160" s="228">
        <v>33</v>
      </c>
      <c r="CH160" s="228">
        <v>29</v>
      </c>
      <c r="CI160" s="228">
        <v>4</v>
      </c>
      <c r="CJ160" s="229">
        <v>0.1283</v>
      </c>
      <c r="CK160" s="228">
        <v>4</v>
      </c>
      <c r="CL160" s="228">
        <v>3</v>
      </c>
      <c r="CM160" s="228">
        <v>0</v>
      </c>
      <c r="CN160" s="229">
        <v>9.2299999999999993E-2</v>
      </c>
      <c r="CO160" s="228">
        <v>432</v>
      </c>
      <c r="CP160" s="228">
        <v>410</v>
      </c>
      <c r="CQ160" s="228">
        <v>22</v>
      </c>
      <c r="CR160" s="229">
        <v>5.4199999999999998E-2</v>
      </c>
      <c r="CS160" s="228">
        <v>278</v>
      </c>
      <c r="CT160" s="228">
        <v>268</v>
      </c>
      <c r="CU160" s="228">
        <v>10</v>
      </c>
      <c r="CV160" s="229">
        <v>3.7600000000000001E-2</v>
      </c>
      <c r="CW160" s="230">
        <v>1688</v>
      </c>
      <c r="CX160" s="230">
        <v>1664</v>
      </c>
      <c r="CY160" s="228">
        <v>24</v>
      </c>
      <c r="CZ160" s="229">
        <v>1.46E-2</v>
      </c>
      <c r="DA160" s="228">
        <v>38.69</v>
      </c>
      <c r="DB160" s="228">
        <v>38.799999999999997</v>
      </c>
      <c r="DC160" s="228">
        <v>-0.11</v>
      </c>
      <c r="DD160" s="228">
        <v>-0.11</v>
      </c>
      <c r="DE160" s="228">
        <v>39.159999999999997</v>
      </c>
      <c r="DF160" s="228">
        <v>39.24</v>
      </c>
      <c r="DG160" s="228">
        <v>-0.47</v>
      </c>
      <c r="DH160" s="228">
        <v>-0.08</v>
      </c>
      <c r="DI160" s="228">
        <v>38.21</v>
      </c>
      <c r="DJ160" s="228">
        <v>38.35</v>
      </c>
      <c r="DK160" s="228">
        <v>-0.14000000000000001</v>
      </c>
      <c r="DL160" s="228">
        <v>-0.14000000000000001</v>
      </c>
      <c r="DM160" s="228">
        <v>39.770000000000003</v>
      </c>
      <c r="DN160" s="228">
        <v>39.659999999999997</v>
      </c>
      <c r="DO160" s="228">
        <v>0.11</v>
      </c>
      <c r="DP160" s="228">
        <v>0.11</v>
      </c>
      <c r="DQ160" s="228">
        <v>0.64</v>
      </c>
      <c r="DR160" s="228">
        <v>0.65</v>
      </c>
      <c r="DS160" s="228">
        <v>-0.01</v>
      </c>
      <c r="DT160" s="229">
        <v>-1.54E-2</v>
      </c>
      <c r="DU160" s="228">
        <v>300</v>
      </c>
      <c r="DV160" s="228">
        <v>250</v>
      </c>
      <c r="DW160" s="228">
        <v>0.44</v>
      </c>
      <c r="DX160" s="228">
        <v>0.52</v>
      </c>
      <c r="DY160" s="228">
        <v>-0.08</v>
      </c>
      <c r="DZ160" s="229">
        <v>-0.15379999999999999</v>
      </c>
      <c r="EA160" s="229">
        <v>3.7400000000000003E-2</v>
      </c>
      <c r="EB160" s="230">
        <v>1189400</v>
      </c>
      <c r="EC160" s="229">
        <v>-2.8999999999999998E-3</v>
      </c>
      <c r="ED160" s="229">
        <v>3.7400000000000003E-2</v>
      </c>
      <c r="EE160" s="228">
        <v>-0.84</v>
      </c>
      <c r="EF160" s="229">
        <v>-3.0999999999999999E-3</v>
      </c>
      <c r="EG160" s="230">
        <v>1038202</v>
      </c>
      <c r="EH160" s="230">
        <v>1097306</v>
      </c>
      <c r="EI160" s="229">
        <v>-5.3900000000000003E-2</v>
      </c>
      <c r="EJ160" s="229">
        <v>0.53639999999999999</v>
      </c>
      <c r="EK160" s="228">
        <v>194</v>
      </c>
      <c r="EL160" s="228">
        <v>74.400000000000006</v>
      </c>
      <c r="EM160" s="228">
        <v>75.8</v>
      </c>
      <c r="EN160" s="228">
        <v>18.25</v>
      </c>
      <c r="EO160" s="228">
        <v>344.21</v>
      </c>
      <c r="EP160" s="228">
        <v>479.3</v>
      </c>
      <c r="EQ160" s="228">
        <v>-135.09</v>
      </c>
      <c r="ER160" s="229">
        <v>-0.28179999999999999</v>
      </c>
      <c r="ES160" s="228">
        <v>446.2</v>
      </c>
      <c r="ET160" s="228">
        <v>260.47000000000003</v>
      </c>
      <c r="EU160" s="228">
        <v>977.45</v>
      </c>
      <c r="EV160" s="231">
        <v>112500013</v>
      </c>
      <c r="EW160" s="231">
        <v>1684.12</v>
      </c>
      <c r="EX160" s="231">
        <v>1652.03</v>
      </c>
      <c r="EY160" s="228">
        <v>32.090000000000003</v>
      </c>
      <c r="EZ160" s="229">
        <v>1.9400000000000001E-2</v>
      </c>
      <c r="FA160" s="229">
        <v>0.54920000000000002</v>
      </c>
      <c r="FB160" s="227" t="s">
        <v>693</v>
      </c>
      <c r="FC160">
        <f t="shared" si="3"/>
        <v>0</v>
      </c>
    </row>
    <row r="161" spans="1:159" ht="17.25" thickBot="1" x14ac:dyDescent="0.3">
      <c r="A161" s="226">
        <v>46129</v>
      </c>
      <c r="B161" s="227" t="s">
        <v>175</v>
      </c>
      <c r="C161" s="227" t="s">
        <v>273</v>
      </c>
      <c r="D161" s="228">
        <v>1300</v>
      </c>
      <c r="E161" s="228">
        <v>11</v>
      </c>
      <c r="F161" s="228">
        <v>466</v>
      </c>
      <c r="G161" s="228">
        <v>458.95</v>
      </c>
      <c r="H161" s="228">
        <v>7.05</v>
      </c>
      <c r="I161" s="229">
        <v>1.54E-2</v>
      </c>
      <c r="J161" s="228">
        <v>464.85</v>
      </c>
      <c r="K161" s="228">
        <v>458.9</v>
      </c>
      <c r="L161" s="228">
        <v>5.95</v>
      </c>
      <c r="M161" s="229">
        <v>1.2999999999999999E-2</v>
      </c>
      <c r="N161" s="228">
        <v>466</v>
      </c>
      <c r="O161" s="228">
        <v>458.95</v>
      </c>
      <c r="P161" s="228">
        <v>7.05</v>
      </c>
      <c r="Q161" s="229">
        <v>1.54E-2</v>
      </c>
      <c r="R161" s="228">
        <v>468</v>
      </c>
      <c r="S161" s="228">
        <v>461.2</v>
      </c>
      <c r="T161" s="228">
        <v>6.8</v>
      </c>
      <c r="U161" s="229">
        <v>1.47E-2</v>
      </c>
      <c r="V161" s="228">
        <v>469.7</v>
      </c>
      <c r="W161" s="228">
        <v>463.3</v>
      </c>
      <c r="X161" s="228">
        <v>6.4</v>
      </c>
      <c r="Y161" s="229">
        <v>1.38E-2</v>
      </c>
      <c r="Z161" s="228">
        <v>1.1499999999999999</v>
      </c>
      <c r="AA161" s="228">
        <v>0.05</v>
      </c>
      <c r="AB161" s="228">
        <v>1.1000000000000001</v>
      </c>
      <c r="AC161" s="229">
        <v>2.5000000000000001E-3</v>
      </c>
      <c r="AD161" s="228">
        <v>1.1499999999999999</v>
      </c>
      <c r="AE161" s="228">
        <v>0.05</v>
      </c>
      <c r="AF161" s="228">
        <v>1.1000000000000001</v>
      </c>
      <c r="AG161" s="229">
        <v>2.5000000000000001E-3</v>
      </c>
      <c r="AH161" s="228">
        <v>3.15</v>
      </c>
      <c r="AI161" s="228">
        <v>2.2999999999999998</v>
      </c>
      <c r="AJ161" s="228">
        <v>0.85</v>
      </c>
      <c r="AK161" s="229">
        <v>6.7999999999999996E-3</v>
      </c>
      <c r="AL161" s="228">
        <v>4.8499999999999996</v>
      </c>
      <c r="AM161" s="228">
        <v>4.4000000000000004</v>
      </c>
      <c r="AN161" s="228">
        <v>0.45</v>
      </c>
      <c r="AO161" s="229">
        <v>1.04E-2</v>
      </c>
      <c r="AP161" s="228">
        <v>463.35</v>
      </c>
      <c r="AQ161" s="228">
        <v>465.82</v>
      </c>
      <c r="AR161" s="228">
        <v>0</v>
      </c>
      <c r="AS161" s="228">
        <v>557</v>
      </c>
      <c r="AT161" s="228">
        <v>919</v>
      </c>
      <c r="AU161" s="228">
        <v>-362</v>
      </c>
      <c r="AV161" s="229">
        <v>-0.39360000000000001</v>
      </c>
      <c r="AW161" s="228">
        <v>469</v>
      </c>
      <c r="AX161" s="228">
        <v>792</v>
      </c>
      <c r="AY161" s="228">
        <v>-323</v>
      </c>
      <c r="AZ161" s="229">
        <v>-0.40820000000000001</v>
      </c>
      <c r="BA161" s="228">
        <v>74</v>
      </c>
      <c r="BB161" s="228">
        <v>112</v>
      </c>
      <c r="BC161" s="228">
        <v>-38</v>
      </c>
      <c r="BD161" s="229">
        <v>-0.34139999999999998</v>
      </c>
      <c r="BE161" s="228">
        <v>15</v>
      </c>
      <c r="BF161" s="228">
        <v>15</v>
      </c>
      <c r="BG161" s="228">
        <v>0</v>
      </c>
      <c r="BH161" s="229">
        <v>-4.1000000000000003E-3</v>
      </c>
      <c r="BI161" s="230">
        <v>2325</v>
      </c>
      <c r="BJ161" s="230">
        <v>4613</v>
      </c>
      <c r="BK161" s="230">
        <v>-2288</v>
      </c>
      <c r="BL161" s="229">
        <v>-0.496</v>
      </c>
      <c r="BM161" s="230">
        <v>1219</v>
      </c>
      <c r="BN161" s="230">
        <v>2393</v>
      </c>
      <c r="BO161" s="230">
        <v>-1174</v>
      </c>
      <c r="BP161" s="229">
        <v>-0.49080000000000001</v>
      </c>
      <c r="BQ161" s="230">
        <v>4101</v>
      </c>
      <c r="BR161" s="230">
        <v>7925</v>
      </c>
      <c r="BS161" s="230">
        <v>-3824</v>
      </c>
      <c r="BT161" s="229">
        <v>-0.48249999999999998</v>
      </c>
      <c r="BU161" s="230">
        <v>10884602</v>
      </c>
      <c r="BV161" s="230">
        <v>23883734</v>
      </c>
      <c r="BW161" s="230">
        <v>-12999132</v>
      </c>
      <c r="BX161" s="229">
        <v>-0.54430000000000001</v>
      </c>
      <c r="BY161" s="230">
        <v>2707</v>
      </c>
      <c r="BZ161" s="230">
        <v>2636</v>
      </c>
      <c r="CA161" s="228">
        <v>71</v>
      </c>
      <c r="CB161" s="229">
        <v>2.7099999999999999E-2</v>
      </c>
      <c r="CC161" s="230">
        <v>2330</v>
      </c>
      <c r="CD161" s="230">
        <v>2284</v>
      </c>
      <c r="CE161" s="228">
        <v>45</v>
      </c>
      <c r="CF161" s="229">
        <v>1.9699999999999999E-2</v>
      </c>
      <c r="CG161" s="228">
        <v>352</v>
      </c>
      <c r="CH161" s="228">
        <v>332</v>
      </c>
      <c r="CI161" s="228">
        <v>19</v>
      </c>
      <c r="CJ161" s="229">
        <v>5.8500000000000003E-2</v>
      </c>
      <c r="CK161" s="228">
        <v>26</v>
      </c>
      <c r="CL161" s="228">
        <v>19</v>
      </c>
      <c r="CM161" s="228">
        <v>7</v>
      </c>
      <c r="CN161" s="229">
        <v>0.36220000000000002</v>
      </c>
      <c r="CO161" s="230">
        <v>1265</v>
      </c>
      <c r="CP161" s="230">
        <v>1216</v>
      </c>
      <c r="CQ161" s="228">
        <v>48</v>
      </c>
      <c r="CR161" s="229">
        <v>3.9699999999999999E-2</v>
      </c>
      <c r="CS161" s="228">
        <v>925</v>
      </c>
      <c r="CT161" s="228">
        <v>852</v>
      </c>
      <c r="CU161" s="228">
        <v>73</v>
      </c>
      <c r="CV161" s="229">
        <v>8.5599999999999996E-2</v>
      </c>
      <c r="CW161" s="230">
        <v>4897</v>
      </c>
      <c r="CX161" s="230">
        <v>4704</v>
      </c>
      <c r="CY161" s="228">
        <v>193</v>
      </c>
      <c r="CZ161" s="229">
        <v>4.0899999999999999E-2</v>
      </c>
      <c r="DA161" s="228">
        <v>33.450000000000003</v>
      </c>
      <c r="DB161" s="228">
        <v>34.56</v>
      </c>
      <c r="DC161" s="228">
        <v>-1.1100000000000001</v>
      </c>
      <c r="DD161" s="228">
        <v>-1.1100000000000001</v>
      </c>
      <c r="DE161" s="228">
        <v>42.35</v>
      </c>
      <c r="DF161" s="228">
        <v>42.41</v>
      </c>
      <c r="DG161" s="228">
        <v>-8.9</v>
      </c>
      <c r="DH161" s="228">
        <v>-0.06</v>
      </c>
      <c r="DI161" s="228">
        <v>32.03</v>
      </c>
      <c r="DJ161" s="228">
        <v>33.29</v>
      </c>
      <c r="DK161" s="228">
        <v>-1.26</v>
      </c>
      <c r="DL161" s="228">
        <v>-1.26</v>
      </c>
      <c r="DM161" s="228">
        <v>36.17</v>
      </c>
      <c r="DN161" s="228">
        <v>37.01</v>
      </c>
      <c r="DO161" s="228">
        <v>-0.84</v>
      </c>
      <c r="DP161" s="228">
        <v>-0.84</v>
      </c>
      <c r="DQ161" s="228">
        <v>0.73</v>
      </c>
      <c r="DR161" s="228">
        <v>0.7</v>
      </c>
      <c r="DS161" s="228">
        <v>0.03</v>
      </c>
      <c r="DT161" s="229">
        <v>4.2900000000000001E-2</v>
      </c>
      <c r="DU161" s="228">
        <v>480</v>
      </c>
      <c r="DV161" s="228">
        <v>400</v>
      </c>
      <c r="DW161" s="228">
        <v>0.52</v>
      </c>
      <c r="DX161" s="228">
        <v>0.52</v>
      </c>
      <c r="DY161" s="228">
        <v>0</v>
      </c>
      <c r="DZ161" s="229">
        <v>0</v>
      </c>
      <c r="EA161" s="229">
        <v>0.1394</v>
      </c>
      <c r="EB161" s="230">
        <v>7536100</v>
      </c>
      <c r="EC161" s="229">
        <v>4.3E-3</v>
      </c>
      <c r="ED161" s="229">
        <v>0.1394</v>
      </c>
      <c r="EE161" s="228">
        <v>2.4700000000000002</v>
      </c>
      <c r="EF161" s="229">
        <v>5.3E-3</v>
      </c>
      <c r="EG161" s="230">
        <v>4969953</v>
      </c>
      <c r="EH161" s="230">
        <v>10898751</v>
      </c>
      <c r="EI161" s="229">
        <v>-0.54400000000000004</v>
      </c>
      <c r="EJ161" s="229">
        <v>0.45660000000000001</v>
      </c>
      <c r="EK161" s="231">
        <v>2397.7600000000002</v>
      </c>
      <c r="EL161" s="231">
        <v>1188.93</v>
      </c>
      <c r="EM161" s="228">
        <v>554.4</v>
      </c>
      <c r="EN161" s="228">
        <v>106.9</v>
      </c>
      <c r="EO161" s="231">
        <v>4141.09</v>
      </c>
      <c r="EP161" s="231">
        <v>7910.74</v>
      </c>
      <c r="EQ161" s="231">
        <v>-3769.65</v>
      </c>
      <c r="ER161" s="229">
        <v>-0.47649999999999998</v>
      </c>
      <c r="ES161" s="231">
        <v>1216.52</v>
      </c>
      <c r="ET161" s="228">
        <v>834.18</v>
      </c>
      <c r="EU161" s="231">
        <v>2708.73</v>
      </c>
      <c r="EV161" s="231">
        <v>217835555</v>
      </c>
      <c r="EW161" s="231">
        <v>4759.43</v>
      </c>
      <c r="EX161" s="231">
        <v>4521.95</v>
      </c>
      <c r="EY161" s="228">
        <v>237.48</v>
      </c>
      <c r="EZ161" s="229">
        <v>5.2499999999999998E-2</v>
      </c>
      <c r="FA161" s="229">
        <v>0.4824</v>
      </c>
      <c r="FB161" s="227" t="s">
        <v>555</v>
      </c>
      <c r="FC161">
        <f t="shared" si="3"/>
        <v>0</v>
      </c>
    </row>
    <row r="162" spans="1:159" ht="17.25" thickBot="1" x14ac:dyDescent="0.3">
      <c r="A162" s="226">
        <v>46129</v>
      </c>
      <c r="B162" s="227" t="s">
        <v>184</v>
      </c>
      <c r="C162" s="227" t="s">
        <v>678</v>
      </c>
      <c r="D162" s="228">
        <v>950</v>
      </c>
      <c r="E162" s="228">
        <v>11</v>
      </c>
      <c r="F162" s="228">
        <v>562.65</v>
      </c>
      <c r="G162" s="228">
        <v>557.20000000000005</v>
      </c>
      <c r="H162" s="228">
        <v>5.45</v>
      </c>
      <c r="I162" s="229">
        <v>9.7999999999999997E-3</v>
      </c>
      <c r="J162" s="228">
        <v>561.4</v>
      </c>
      <c r="K162" s="228">
        <v>557.65</v>
      </c>
      <c r="L162" s="228">
        <v>3.75</v>
      </c>
      <c r="M162" s="229">
        <v>6.7000000000000002E-3</v>
      </c>
      <c r="N162" s="228">
        <v>562.65</v>
      </c>
      <c r="O162" s="228">
        <v>557.20000000000005</v>
      </c>
      <c r="P162" s="228">
        <v>5.45</v>
      </c>
      <c r="Q162" s="229">
        <v>9.7999999999999997E-3</v>
      </c>
      <c r="R162" s="228">
        <v>551.45000000000005</v>
      </c>
      <c r="S162" s="228">
        <v>546.15</v>
      </c>
      <c r="T162" s="228">
        <v>5.3</v>
      </c>
      <c r="U162" s="229">
        <v>9.7000000000000003E-3</v>
      </c>
      <c r="V162" s="228">
        <v>545.9</v>
      </c>
      <c r="W162" s="228">
        <v>538.29999999999995</v>
      </c>
      <c r="X162" s="228">
        <v>7.6</v>
      </c>
      <c r="Y162" s="229">
        <v>1.41E-2</v>
      </c>
      <c r="Z162" s="228">
        <v>1.25</v>
      </c>
      <c r="AA162" s="228">
        <v>-0.45</v>
      </c>
      <c r="AB162" s="228">
        <v>1.7</v>
      </c>
      <c r="AC162" s="229">
        <v>2.2000000000000001E-3</v>
      </c>
      <c r="AD162" s="228">
        <v>1.25</v>
      </c>
      <c r="AE162" s="228">
        <v>-0.45</v>
      </c>
      <c r="AF162" s="228">
        <v>1.7</v>
      </c>
      <c r="AG162" s="229">
        <v>2.2000000000000001E-3</v>
      </c>
      <c r="AH162" s="228">
        <v>-9.9499999999999993</v>
      </c>
      <c r="AI162" s="228">
        <v>-11.5</v>
      </c>
      <c r="AJ162" s="228">
        <v>1.55</v>
      </c>
      <c r="AK162" s="229">
        <v>-1.77E-2</v>
      </c>
      <c r="AL162" s="228">
        <v>-15.5</v>
      </c>
      <c r="AM162" s="228">
        <v>-19.350000000000001</v>
      </c>
      <c r="AN162" s="228">
        <v>3.85</v>
      </c>
      <c r="AO162" s="229">
        <v>-2.76E-2</v>
      </c>
      <c r="AP162" s="228">
        <v>558.33000000000004</v>
      </c>
      <c r="AQ162" s="228">
        <v>546.11</v>
      </c>
      <c r="AR162" s="228">
        <v>0</v>
      </c>
      <c r="AS162" s="228">
        <v>231</v>
      </c>
      <c r="AT162" s="228">
        <v>426</v>
      </c>
      <c r="AU162" s="228">
        <v>-195</v>
      </c>
      <c r="AV162" s="229">
        <v>-0.45689999999999997</v>
      </c>
      <c r="AW162" s="228">
        <v>185</v>
      </c>
      <c r="AX162" s="228">
        <v>357</v>
      </c>
      <c r="AY162" s="228">
        <v>-172</v>
      </c>
      <c r="AZ162" s="229">
        <v>-0.4819</v>
      </c>
      <c r="BA162" s="228">
        <v>41</v>
      </c>
      <c r="BB162" s="228">
        <v>62</v>
      </c>
      <c r="BC162" s="228">
        <v>-21</v>
      </c>
      <c r="BD162" s="229">
        <v>-0.34429999999999999</v>
      </c>
      <c r="BE162" s="228">
        <v>6</v>
      </c>
      <c r="BF162" s="228">
        <v>8</v>
      </c>
      <c r="BG162" s="228">
        <v>-2</v>
      </c>
      <c r="BH162" s="229">
        <v>-0.20949999999999999</v>
      </c>
      <c r="BI162" s="228">
        <v>569</v>
      </c>
      <c r="BJ162" s="230">
        <v>1420</v>
      </c>
      <c r="BK162" s="228">
        <v>-851</v>
      </c>
      <c r="BL162" s="229">
        <v>-0.59930000000000005</v>
      </c>
      <c r="BM162" s="228">
        <v>575</v>
      </c>
      <c r="BN162" s="228">
        <v>864</v>
      </c>
      <c r="BO162" s="228">
        <v>-289</v>
      </c>
      <c r="BP162" s="229">
        <v>-0.3342</v>
      </c>
      <c r="BQ162" s="230">
        <v>1376</v>
      </c>
      <c r="BR162" s="230">
        <v>2710</v>
      </c>
      <c r="BS162" s="230">
        <v>-1335</v>
      </c>
      <c r="BT162" s="229">
        <v>-0.4924</v>
      </c>
      <c r="BU162" s="230">
        <v>2973655</v>
      </c>
      <c r="BV162" s="230">
        <v>6852093</v>
      </c>
      <c r="BW162" s="230">
        <v>-3878438</v>
      </c>
      <c r="BX162" s="229">
        <v>-0.56599999999999995</v>
      </c>
      <c r="BY162" s="228">
        <v>897</v>
      </c>
      <c r="BZ162" s="228">
        <v>913</v>
      </c>
      <c r="CA162" s="228">
        <v>-15</v>
      </c>
      <c r="CB162" s="229">
        <v>-1.6899999999999998E-2</v>
      </c>
      <c r="CC162" s="228">
        <v>754</v>
      </c>
      <c r="CD162" s="228">
        <v>781</v>
      </c>
      <c r="CE162" s="228">
        <v>-27</v>
      </c>
      <c r="CF162" s="229">
        <v>-3.5000000000000003E-2</v>
      </c>
      <c r="CG162" s="228">
        <v>123</v>
      </c>
      <c r="CH162" s="228">
        <v>114</v>
      </c>
      <c r="CI162" s="228">
        <v>9</v>
      </c>
      <c r="CJ162" s="229">
        <v>7.9299999999999995E-2</v>
      </c>
      <c r="CK162" s="228">
        <v>20</v>
      </c>
      <c r="CL162" s="228">
        <v>18</v>
      </c>
      <c r="CM162" s="228">
        <v>3</v>
      </c>
      <c r="CN162" s="229">
        <v>0.16769999999999999</v>
      </c>
      <c r="CO162" s="228">
        <v>480</v>
      </c>
      <c r="CP162" s="228">
        <v>482</v>
      </c>
      <c r="CQ162" s="228">
        <v>-2</v>
      </c>
      <c r="CR162" s="229">
        <v>-3.5000000000000001E-3</v>
      </c>
      <c r="CS162" s="228">
        <v>568</v>
      </c>
      <c r="CT162" s="228">
        <v>571</v>
      </c>
      <c r="CU162" s="228">
        <v>-4</v>
      </c>
      <c r="CV162" s="229">
        <v>-6.1999999999999998E-3</v>
      </c>
      <c r="CW162" s="230">
        <v>1945</v>
      </c>
      <c r="CX162" s="230">
        <v>1966</v>
      </c>
      <c r="CY162" s="228">
        <v>-21</v>
      </c>
      <c r="CZ162" s="229">
        <v>-1.0500000000000001E-2</v>
      </c>
      <c r="DA162" s="228">
        <v>53.01</v>
      </c>
      <c r="DB162" s="228">
        <v>55.31</v>
      </c>
      <c r="DC162" s="228">
        <v>-2.2999999999999998</v>
      </c>
      <c r="DD162" s="228">
        <v>-2.2999999999999998</v>
      </c>
      <c r="DE162" s="228">
        <v>68.22</v>
      </c>
      <c r="DF162" s="228">
        <v>68.38</v>
      </c>
      <c r="DG162" s="228">
        <v>-15.21</v>
      </c>
      <c r="DH162" s="228">
        <v>-0.16</v>
      </c>
      <c r="DI162" s="228">
        <v>49.6</v>
      </c>
      <c r="DJ162" s="228">
        <v>52.51</v>
      </c>
      <c r="DK162" s="228">
        <v>-2.91</v>
      </c>
      <c r="DL162" s="228">
        <v>-2.91</v>
      </c>
      <c r="DM162" s="228">
        <v>56.38</v>
      </c>
      <c r="DN162" s="228">
        <v>59.92</v>
      </c>
      <c r="DO162" s="228">
        <v>-3.54</v>
      </c>
      <c r="DP162" s="228">
        <v>-3.54</v>
      </c>
      <c r="DQ162" s="228">
        <v>1.18</v>
      </c>
      <c r="DR162" s="228">
        <v>1.19</v>
      </c>
      <c r="DS162" s="228">
        <v>-0.01</v>
      </c>
      <c r="DT162" s="229">
        <v>-8.3999999999999995E-3</v>
      </c>
      <c r="DU162" s="228">
        <v>560</v>
      </c>
      <c r="DV162" s="228">
        <v>500</v>
      </c>
      <c r="DW162" s="228">
        <v>1.01</v>
      </c>
      <c r="DX162" s="228">
        <v>0.61</v>
      </c>
      <c r="DY162" s="228">
        <v>0.4</v>
      </c>
      <c r="DZ162" s="229">
        <v>0.65569999999999995</v>
      </c>
      <c r="EA162" s="229">
        <v>0.15970000000000001</v>
      </c>
      <c r="EB162" s="230">
        <v>2335100</v>
      </c>
      <c r="EC162" s="229">
        <v>-1.9900000000000001E-2</v>
      </c>
      <c r="ED162" s="229">
        <v>0.15970000000000001</v>
      </c>
      <c r="EE162" s="228">
        <v>-12.22</v>
      </c>
      <c r="EF162" s="229">
        <v>-2.1899999999999999E-2</v>
      </c>
      <c r="EG162" s="230">
        <v>752986</v>
      </c>
      <c r="EH162" s="230">
        <v>1460676</v>
      </c>
      <c r="EI162" s="229">
        <v>-0.48449999999999999</v>
      </c>
      <c r="EJ162" s="229">
        <v>0.25319999999999998</v>
      </c>
      <c r="EK162" s="228">
        <v>598.80999999999995</v>
      </c>
      <c r="EL162" s="228">
        <v>534.86</v>
      </c>
      <c r="EM162" s="228">
        <v>228.66</v>
      </c>
      <c r="EN162" s="228">
        <v>70.38</v>
      </c>
      <c r="EO162" s="231">
        <v>1362.33</v>
      </c>
      <c r="EP162" s="231">
        <v>2697.26</v>
      </c>
      <c r="EQ162" s="231">
        <v>-1334.93</v>
      </c>
      <c r="ER162" s="229">
        <v>-0.49490000000000001</v>
      </c>
      <c r="ES162" s="228">
        <v>458.36</v>
      </c>
      <c r="ET162" s="228">
        <v>491.05</v>
      </c>
      <c r="EU162" s="228">
        <v>894.35</v>
      </c>
      <c r="EV162" s="231">
        <v>24101986</v>
      </c>
      <c r="EW162" s="231">
        <v>1843.75</v>
      </c>
      <c r="EX162" s="231">
        <v>1847.99</v>
      </c>
      <c r="EY162" s="228">
        <v>-4.24</v>
      </c>
      <c r="EZ162" s="229">
        <v>-2.3E-3</v>
      </c>
      <c r="FA162" s="229">
        <v>1.4346000000000001</v>
      </c>
      <c r="FB162" s="227" t="s">
        <v>693</v>
      </c>
      <c r="FC162">
        <f t="shared" si="3"/>
        <v>0</v>
      </c>
    </row>
    <row r="163" spans="1:159" ht="17.25" thickBot="1" x14ac:dyDescent="0.3">
      <c r="A163" s="226">
        <v>46129</v>
      </c>
      <c r="B163" s="227" t="s">
        <v>206</v>
      </c>
      <c r="C163" s="227" t="s">
        <v>644</v>
      </c>
      <c r="D163" s="228">
        <v>350</v>
      </c>
      <c r="E163" s="228">
        <v>11</v>
      </c>
      <c r="F163" s="231">
        <v>1798.6</v>
      </c>
      <c r="G163" s="231">
        <v>1786.7</v>
      </c>
      <c r="H163" s="228">
        <v>11.9</v>
      </c>
      <c r="I163" s="229">
        <v>6.7000000000000002E-3</v>
      </c>
      <c r="J163" s="231">
        <v>1792.2</v>
      </c>
      <c r="K163" s="231">
        <v>1782.3</v>
      </c>
      <c r="L163" s="228">
        <v>9.9</v>
      </c>
      <c r="M163" s="229">
        <v>5.5999999999999999E-3</v>
      </c>
      <c r="N163" s="231">
        <v>1798.6</v>
      </c>
      <c r="O163" s="231">
        <v>1786.7</v>
      </c>
      <c r="P163" s="228">
        <v>11.9</v>
      </c>
      <c r="Q163" s="229">
        <v>6.7000000000000002E-3</v>
      </c>
      <c r="R163" s="231">
        <v>1807.9</v>
      </c>
      <c r="S163" s="231">
        <v>1792.5</v>
      </c>
      <c r="T163" s="228">
        <v>15.4</v>
      </c>
      <c r="U163" s="229">
        <v>8.6E-3</v>
      </c>
      <c r="V163" s="231">
        <v>1801.7</v>
      </c>
      <c r="W163" s="231">
        <v>1801.7</v>
      </c>
      <c r="X163" s="228">
        <v>0</v>
      </c>
      <c r="Y163" s="229">
        <v>0</v>
      </c>
      <c r="Z163" s="228">
        <v>6.4</v>
      </c>
      <c r="AA163" s="228">
        <v>4.4000000000000004</v>
      </c>
      <c r="AB163" s="228">
        <v>2</v>
      </c>
      <c r="AC163" s="229">
        <v>3.5999999999999999E-3</v>
      </c>
      <c r="AD163" s="228">
        <v>6.4</v>
      </c>
      <c r="AE163" s="228">
        <v>4.4000000000000004</v>
      </c>
      <c r="AF163" s="228">
        <v>2</v>
      </c>
      <c r="AG163" s="229">
        <v>3.5999999999999999E-3</v>
      </c>
      <c r="AH163" s="228">
        <v>15.7</v>
      </c>
      <c r="AI163" s="228">
        <v>10.199999999999999</v>
      </c>
      <c r="AJ163" s="228">
        <v>5.5</v>
      </c>
      <c r="AK163" s="229">
        <v>8.8000000000000005E-3</v>
      </c>
      <c r="AL163" s="228">
        <v>9.5</v>
      </c>
      <c r="AM163" s="228">
        <v>19.399999999999999</v>
      </c>
      <c r="AN163" s="228">
        <v>-9.9</v>
      </c>
      <c r="AO163" s="229">
        <v>5.3E-3</v>
      </c>
      <c r="AP163" s="231">
        <v>1798.04</v>
      </c>
      <c r="AQ163" s="231">
        <v>1802.43</v>
      </c>
      <c r="AR163" s="228">
        <v>0</v>
      </c>
      <c r="AS163" s="228">
        <v>41</v>
      </c>
      <c r="AT163" s="228">
        <v>166</v>
      </c>
      <c r="AU163" s="228">
        <v>-125</v>
      </c>
      <c r="AV163" s="229">
        <v>-0.75480000000000003</v>
      </c>
      <c r="AW163" s="228">
        <v>39</v>
      </c>
      <c r="AX163" s="228">
        <v>101</v>
      </c>
      <c r="AY163" s="228">
        <v>-62</v>
      </c>
      <c r="AZ163" s="229">
        <v>-0.6139</v>
      </c>
      <c r="BA163" s="228">
        <v>2</v>
      </c>
      <c r="BB163" s="228">
        <v>1</v>
      </c>
      <c r="BC163" s="228">
        <v>0</v>
      </c>
      <c r="BD163" s="229">
        <v>0.2273</v>
      </c>
      <c r="BE163" s="228">
        <v>0</v>
      </c>
      <c r="BF163" s="228">
        <v>64</v>
      </c>
      <c r="BG163" s="228">
        <v>-64</v>
      </c>
      <c r="BH163" s="229">
        <v>-1</v>
      </c>
      <c r="BI163" s="228">
        <v>78</v>
      </c>
      <c r="BJ163" s="228">
        <v>50</v>
      </c>
      <c r="BK163" s="228">
        <v>27</v>
      </c>
      <c r="BL163" s="229">
        <v>0.53810000000000002</v>
      </c>
      <c r="BM163" s="228">
        <v>56</v>
      </c>
      <c r="BN163" s="228">
        <v>66</v>
      </c>
      <c r="BO163" s="228">
        <v>-10</v>
      </c>
      <c r="BP163" s="229">
        <v>-0.15720000000000001</v>
      </c>
      <c r="BQ163" s="228">
        <v>174</v>
      </c>
      <c r="BR163" s="228">
        <v>283</v>
      </c>
      <c r="BS163" s="228">
        <v>-109</v>
      </c>
      <c r="BT163" s="229">
        <v>-0.3841</v>
      </c>
      <c r="BU163" s="230">
        <v>416379</v>
      </c>
      <c r="BV163" s="230">
        <v>186480</v>
      </c>
      <c r="BW163" s="230">
        <v>229899</v>
      </c>
      <c r="BX163" s="229">
        <v>1.2327999999999999</v>
      </c>
      <c r="BY163" s="228">
        <v>681</v>
      </c>
      <c r="BZ163" s="228">
        <v>685</v>
      </c>
      <c r="CA163" s="228">
        <v>-4</v>
      </c>
      <c r="CB163" s="229">
        <v>-6.1999999999999998E-3</v>
      </c>
      <c r="CC163" s="228">
        <v>614</v>
      </c>
      <c r="CD163" s="228">
        <v>618</v>
      </c>
      <c r="CE163" s="228">
        <v>-4</v>
      </c>
      <c r="CF163" s="229">
        <v>-7.1999999999999998E-3</v>
      </c>
      <c r="CG163" s="228">
        <v>4</v>
      </c>
      <c r="CH163" s="228">
        <v>4</v>
      </c>
      <c r="CI163" s="228">
        <v>0</v>
      </c>
      <c r="CJ163" s="229">
        <v>0.05</v>
      </c>
      <c r="CK163" s="228">
        <v>63</v>
      </c>
      <c r="CL163" s="228">
        <v>63</v>
      </c>
      <c r="CM163" s="228">
        <v>0</v>
      </c>
      <c r="CN163" s="229">
        <v>0</v>
      </c>
      <c r="CO163" s="228">
        <v>133</v>
      </c>
      <c r="CP163" s="228">
        <v>128</v>
      </c>
      <c r="CQ163" s="228">
        <v>5</v>
      </c>
      <c r="CR163" s="229">
        <v>3.5400000000000001E-2</v>
      </c>
      <c r="CS163" s="228">
        <v>113</v>
      </c>
      <c r="CT163" s="228">
        <v>122</v>
      </c>
      <c r="CU163" s="228">
        <v>-8</v>
      </c>
      <c r="CV163" s="229">
        <v>-6.83E-2</v>
      </c>
      <c r="CW163" s="228">
        <v>927</v>
      </c>
      <c r="CX163" s="228">
        <v>935</v>
      </c>
      <c r="CY163" s="228">
        <v>-8</v>
      </c>
      <c r="CZ163" s="229">
        <v>-8.6E-3</v>
      </c>
      <c r="DA163" s="228">
        <v>34.42</v>
      </c>
      <c r="DB163" s="228">
        <v>39.96</v>
      </c>
      <c r="DC163" s="228">
        <v>-5.54</v>
      </c>
      <c r="DD163" s="228">
        <v>-5.54</v>
      </c>
      <c r="DE163" s="228">
        <v>40.020000000000003</v>
      </c>
      <c r="DF163" s="228">
        <v>40.119999999999997</v>
      </c>
      <c r="DG163" s="228">
        <v>-5.6</v>
      </c>
      <c r="DH163" s="228">
        <v>-0.1</v>
      </c>
      <c r="DI163" s="228">
        <v>29.09</v>
      </c>
      <c r="DJ163" s="228">
        <v>30.21</v>
      </c>
      <c r="DK163" s="228">
        <v>-1.1200000000000001</v>
      </c>
      <c r="DL163" s="228">
        <v>-1.1200000000000001</v>
      </c>
      <c r="DM163" s="228">
        <v>41.79</v>
      </c>
      <c r="DN163" s="228">
        <v>47.35</v>
      </c>
      <c r="DO163" s="228">
        <v>-5.56</v>
      </c>
      <c r="DP163" s="228">
        <v>-5.56</v>
      </c>
      <c r="DQ163" s="228">
        <v>0.86</v>
      </c>
      <c r="DR163" s="228">
        <v>0.95</v>
      </c>
      <c r="DS163" s="228">
        <v>-0.09</v>
      </c>
      <c r="DT163" s="229">
        <v>-9.4700000000000006E-2</v>
      </c>
      <c r="DU163" s="231">
        <v>1900</v>
      </c>
      <c r="DV163" s="231">
        <v>1500</v>
      </c>
      <c r="DW163" s="228">
        <v>0.72</v>
      </c>
      <c r="DX163" s="228">
        <v>1.32</v>
      </c>
      <c r="DY163" s="228">
        <v>-0.6</v>
      </c>
      <c r="DZ163" s="229">
        <v>-0.45450000000000002</v>
      </c>
      <c r="EA163" s="229">
        <v>9.9000000000000005E-2</v>
      </c>
      <c r="EB163" s="230">
        <v>373800</v>
      </c>
      <c r="EC163" s="229">
        <v>5.1999999999999998E-3</v>
      </c>
      <c r="ED163" s="229">
        <v>9.9000000000000005E-2</v>
      </c>
      <c r="EE163" s="228">
        <v>4.3899999999999997</v>
      </c>
      <c r="EF163" s="229">
        <v>2.3999999999999998E-3</v>
      </c>
      <c r="EG163" s="230">
        <v>275877</v>
      </c>
      <c r="EH163" s="230">
        <v>79204</v>
      </c>
      <c r="EI163" s="229">
        <v>2.4830999999999999</v>
      </c>
      <c r="EJ163" s="229">
        <v>0.66259999999999997</v>
      </c>
      <c r="EK163" s="228">
        <v>80.52</v>
      </c>
      <c r="EL163" s="228">
        <v>50.1</v>
      </c>
      <c r="EM163" s="228">
        <v>40.72</v>
      </c>
      <c r="EN163" s="228">
        <v>18.25</v>
      </c>
      <c r="EO163" s="228">
        <v>171.34</v>
      </c>
      <c r="EP163" s="228">
        <v>276.07</v>
      </c>
      <c r="EQ163" s="228">
        <v>-104.73</v>
      </c>
      <c r="ER163" s="229">
        <v>-0.37940000000000002</v>
      </c>
      <c r="ES163" s="228">
        <v>128.97</v>
      </c>
      <c r="ET163" s="228">
        <v>98.9</v>
      </c>
      <c r="EU163" s="228">
        <v>681.13</v>
      </c>
      <c r="EV163" s="231">
        <v>21502901</v>
      </c>
      <c r="EW163" s="228">
        <v>909</v>
      </c>
      <c r="EX163" s="228">
        <v>911.24</v>
      </c>
      <c r="EY163" s="228">
        <v>-2.2400000000000002</v>
      </c>
      <c r="EZ163" s="229">
        <v>-2.5000000000000001E-3</v>
      </c>
      <c r="FA163" s="229">
        <v>0.2397</v>
      </c>
      <c r="FB163" s="227" t="s">
        <v>693</v>
      </c>
      <c r="FC163">
        <f t="shared" si="3"/>
        <v>0</v>
      </c>
    </row>
    <row r="164" spans="1:159" ht="17.25" thickBot="1" x14ac:dyDescent="0.3">
      <c r="A164" s="226">
        <v>46129</v>
      </c>
      <c r="B164" s="227" t="s">
        <v>168</v>
      </c>
      <c r="C164" s="227" t="s">
        <v>274</v>
      </c>
      <c r="D164" s="228">
        <v>500</v>
      </c>
      <c r="E164" s="228">
        <v>11</v>
      </c>
      <c r="F164" s="231">
        <v>1396.9</v>
      </c>
      <c r="G164" s="231">
        <v>1331.3</v>
      </c>
      <c r="H164" s="228">
        <v>65.599999999999994</v>
      </c>
      <c r="I164" s="229">
        <v>4.9299999999999997E-2</v>
      </c>
      <c r="J164" s="231">
        <v>1393.4</v>
      </c>
      <c r="K164" s="231">
        <v>1331</v>
      </c>
      <c r="L164" s="228">
        <v>62.4</v>
      </c>
      <c r="M164" s="229">
        <v>4.6899999999999997E-2</v>
      </c>
      <c r="N164" s="231">
        <v>1396.9</v>
      </c>
      <c r="O164" s="231">
        <v>1331.3</v>
      </c>
      <c r="P164" s="228">
        <v>65.599999999999994</v>
      </c>
      <c r="Q164" s="229">
        <v>4.9299999999999997E-2</v>
      </c>
      <c r="R164" s="231">
        <v>1402.3</v>
      </c>
      <c r="S164" s="231">
        <v>1338.2</v>
      </c>
      <c r="T164" s="228">
        <v>64.099999999999994</v>
      </c>
      <c r="U164" s="229">
        <v>4.7899999999999998E-2</v>
      </c>
      <c r="V164" s="231">
        <v>1406.8</v>
      </c>
      <c r="W164" s="231">
        <v>1343.6</v>
      </c>
      <c r="X164" s="228">
        <v>63.2</v>
      </c>
      <c r="Y164" s="229">
        <v>4.7E-2</v>
      </c>
      <c r="Z164" s="228">
        <v>3.5</v>
      </c>
      <c r="AA164" s="228">
        <v>0.3</v>
      </c>
      <c r="AB164" s="228">
        <v>3.2</v>
      </c>
      <c r="AC164" s="229">
        <v>2.5000000000000001E-3</v>
      </c>
      <c r="AD164" s="228">
        <v>3.5</v>
      </c>
      <c r="AE164" s="228">
        <v>0.3</v>
      </c>
      <c r="AF164" s="228">
        <v>3.2</v>
      </c>
      <c r="AG164" s="229">
        <v>2.5000000000000001E-3</v>
      </c>
      <c r="AH164" s="228">
        <v>8.9</v>
      </c>
      <c r="AI164" s="228">
        <v>7.2</v>
      </c>
      <c r="AJ164" s="228">
        <v>1.7</v>
      </c>
      <c r="AK164" s="229">
        <v>6.4000000000000003E-3</v>
      </c>
      <c r="AL164" s="228">
        <v>13.4</v>
      </c>
      <c r="AM164" s="228">
        <v>12.6</v>
      </c>
      <c r="AN164" s="228">
        <v>0.8</v>
      </c>
      <c r="AO164" s="229">
        <v>9.5999999999999992E-3</v>
      </c>
      <c r="AP164" s="231">
        <v>1381.47</v>
      </c>
      <c r="AQ164" s="231">
        <v>1381.47</v>
      </c>
      <c r="AR164" s="228">
        <v>0</v>
      </c>
      <c r="AS164" s="228">
        <v>377</v>
      </c>
      <c r="AT164" s="228">
        <v>346</v>
      </c>
      <c r="AU164" s="228">
        <v>31</v>
      </c>
      <c r="AV164" s="229">
        <v>8.9200000000000002E-2</v>
      </c>
      <c r="AW164" s="228">
        <v>340</v>
      </c>
      <c r="AX164" s="228">
        <v>326</v>
      </c>
      <c r="AY164" s="228">
        <v>14</v>
      </c>
      <c r="AZ164" s="229">
        <v>4.1500000000000002E-2</v>
      </c>
      <c r="BA164" s="228">
        <v>33</v>
      </c>
      <c r="BB164" s="228">
        <v>18</v>
      </c>
      <c r="BC164" s="228">
        <v>15</v>
      </c>
      <c r="BD164" s="229">
        <v>0.87649999999999995</v>
      </c>
      <c r="BE164" s="228">
        <v>4</v>
      </c>
      <c r="BF164" s="228">
        <v>2</v>
      </c>
      <c r="BG164" s="228">
        <v>2</v>
      </c>
      <c r="BH164" s="229">
        <v>0.9032</v>
      </c>
      <c r="BI164" s="230">
        <v>1183</v>
      </c>
      <c r="BJ164" s="228">
        <v>230</v>
      </c>
      <c r="BK164" s="228">
        <v>953</v>
      </c>
      <c r="BL164" s="229">
        <v>4.1486000000000001</v>
      </c>
      <c r="BM164" s="228">
        <v>390</v>
      </c>
      <c r="BN164" s="228">
        <v>135</v>
      </c>
      <c r="BO164" s="228">
        <v>256</v>
      </c>
      <c r="BP164" s="229">
        <v>1.8997999999999999</v>
      </c>
      <c r="BQ164" s="230">
        <v>1950</v>
      </c>
      <c r="BR164" s="228">
        <v>710</v>
      </c>
      <c r="BS164" s="230">
        <v>1240</v>
      </c>
      <c r="BT164" s="229">
        <v>1.7453000000000001</v>
      </c>
      <c r="BU164" s="230">
        <v>2394391</v>
      </c>
      <c r="BV164" s="230">
        <v>1653395</v>
      </c>
      <c r="BW164" s="230">
        <v>740996</v>
      </c>
      <c r="BX164" s="229">
        <v>0.44819999999999999</v>
      </c>
      <c r="BY164" s="230">
        <v>1214</v>
      </c>
      <c r="BZ164" s="230">
        <v>1241</v>
      </c>
      <c r="CA164" s="228">
        <v>-27</v>
      </c>
      <c r="CB164" s="229">
        <v>-2.1999999999999999E-2</v>
      </c>
      <c r="CC164" s="230">
        <v>1176</v>
      </c>
      <c r="CD164" s="230">
        <v>1202</v>
      </c>
      <c r="CE164" s="228">
        <v>-26</v>
      </c>
      <c r="CF164" s="229">
        <v>-2.1700000000000001E-2</v>
      </c>
      <c r="CG164" s="228">
        <v>35</v>
      </c>
      <c r="CH164" s="228">
        <v>34</v>
      </c>
      <c r="CI164" s="228">
        <v>1</v>
      </c>
      <c r="CJ164" s="229">
        <v>2.2599999999999999E-2</v>
      </c>
      <c r="CK164" s="228">
        <v>3</v>
      </c>
      <c r="CL164" s="228">
        <v>5</v>
      </c>
      <c r="CM164" s="228">
        <v>-2</v>
      </c>
      <c r="CN164" s="229">
        <v>-0.38669999999999999</v>
      </c>
      <c r="CO164" s="228">
        <v>246</v>
      </c>
      <c r="CP164" s="228">
        <v>211</v>
      </c>
      <c r="CQ164" s="228">
        <v>35</v>
      </c>
      <c r="CR164" s="229">
        <v>0.16550000000000001</v>
      </c>
      <c r="CS164" s="228">
        <v>161</v>
      </c>
      <c r="CT164" s="228">
        <v>141</v>
      </c>
      <c r="CU164" s="228">
        <v>21</v>
      </c>
      <c r="CV164" s="229">
        <v>0.14649999999999999</v>
      </c>
      <c r="CW164" s="230">
        <v>1621</v>
      </c>
      <c r="CX164" s="230">
        <v>1593</v>
      </c>
      <c r="CY164" s="228">
        <v>28</v>
      </c>
      <c r="CZ164" s="229">
        <v>1.77E-2</v>
      </c>
      <c r="DA164" s="228">
        <v>29.17</v>
      </c>
      <c r="DB164" s="228">
        <v>29.1</v>
      </c>
      <c r="DC164" s="228">
        <v>7.0000000000000007E-2</v>
      </c>
      <c r="DD164" s="228">
        <v>7.0000000000000007E-2</v>
      </c>
      <c r="DE164" s="228">
        <v>26.22</v>
      </c>
      <c r="DF164" s="228">
        <v>25.49</v>
      </c>
      <c r="DG164" s="228">
        <v>2.95</v>
      </c>
      <c r="DH164" s="228">
        <v>0.73</v>
      </c>
      <c r="DI164" s="228">
        <v>28.45</v>
      </c>
      <c r="DJ164" s="228">
        <v>28.59</v>
      </c>
      <c r="DK164" s="228">
        <v>-0.14000000000000001</v>
      </c>
      <c r="DL164" s="228">
        <v>-0.14000000000000001</v>
      </c>
      <c r="DM164" s="228">
        <v>31.35</v>
      </c>
      <c r="DN164" s="228">
        <v>29.98</v>
      </c>
      <c r="DO164" s="228">
        <v>1.37</v>
      </c>
      <c r="DP164" s="228">
        <v>1.37</v>
      </c>
      <c r="DQ164" s="228">
        <v>0.66</v>
      </c>
      <c r="DR164" s="228">
        <v>0.67</v>
      </c>
      <c r="DS164" s="228">
        <v>-0.01</v>
      </c>
      <c r="DT164" s="229">
        <v>-1.49E-2</v>
      </c>
      <c r="DU164" s="231">
        <v>1400</v>
      </c>
      <c r="DV164" s="231">
        <v>1300</v>
      </c>
      <c r="DW164" s="228">
        <v>0.33</v>
      </c>
      <c r="DX164" s="228">
        <v>0.59</v>
      </c>
      <c r="DY164" s="228">
        <v>-0.26</v>
      </c>
      <c r="DZ164" s="229">
        <v>-0.44069999999999998</v>
      </c>
      <c r="EA164" s="229">
        <v>3.1199999999999999E-2</v>
      </c>
      <c r="EB164" s="230">
        <v>280500</v>
      </c>
      <c r="EC164" s="229">
        <v>3.8999999999999998E-3</v>
      </c>
      <c r="ED164" s="229">
        <v>3.1199999999999999E-2</v>
      </c>
      <c r="EE164" s="228">
        <v>0</v>
      </c>
      <c r="EF164" s="229">
        <v>0</v>
      </c>
      <c r="EG164" s="230">
        <v>1421726</v>
      </c>
      <c r="EH164" s="230">
        <v>1097023</v>
      </c>
      <c r="EI164" s="229">
        <v>0.29599999999999999</v>
      </c>
      <c r="EJ164" s="229">
        <v>0.59379999999999999</v>
      </c>
      <c r="EK164" s="231">
        <v>1206.94</v>
      </c>
      <c r="EL164" s="228">
        <v>376.84</v>
      </c>
      <c r="EM164" s="228">
        <v>372.73</v>
      </c>
      <c r="EN164" s="228">
        <v>38.590000000000003</v>
      </c>
      <c r="EO164" s="231">
        <v>1956.51</v>
      </c>
      <c r="EP164" s="228">
        <v>683.36</v>
      </c>
      <c r="EQ164" s="231">
        <v>1273.1500000000001</v>
      </c>
      <c r="ER164" s="229">
        <v>1.8631</v>
      </c>
      <c r="ES164" s="228">
        <v>247.9</v>
      </c>
      <c r="ET164" s="228">
        <v>151.54</v>
      </c>
      <c r="EU164" s="231">
        <v>1214.2</v>
      </c>
      <c r="EV164" s="231">
        <v>31214205</v>
      </c>
      <c r="EW164" s="231">
        <v>1613.63</v>
      </c>
      <c r="EX164" s="231">
        <v>1523.47</v>
      </c>
      <c r="EY164" s="228">
        <v>90.16</v>
      </c>
      <c r="EZ164" s="229">
        <v>5.9200000000000003E-2</v>
      </c>
      <c r="FA164" s="229">
        <v>0.37180000000000002</v>
      </c>
      <c r="FB164" s="227" t="s">
        <v>693</v>
      </c>
      <c r="FC164">
        <f t="shared" si="3"/>
        <v>0</v>
      </c>
    </row>
    <row r="165" spans="1:159" ht="17.25" thickBot="1" x14ac:dyDescent="0.3">
      <c r="A165" s="226">
        <v>46129</v>
      </c>
      <c r="B165" s="227" t="s">
        <v>498</v>
      </c>
      <c r="C165" s="227" t="s">
        <v>483</v>
      </c>
      <c r="D165" s="228">
        <v>175</v>
      </c>
      <c r="E165" s="228">
        <v>11</v>
      </c>
      <c r="F165" s="231">
        <v>3116.8</v>
      </c>
      <c r="G165" s="231">
        <v>3106.9</v>
      </c>
      <c r="H165" s="228">
        <v>9.9</v>
      </c>
      <c r="I165" s="229">
        <v>3.2000000000000002E-3</v>
      </c>
      <c r="J165" s="231">
        <v>3139.7</v>
      </c>
      <c r="K165" s="231">
        <v>3112.2</v>
      </c>
      <c r="L165" s="228">
        <v>27.5</v>
      </c>
      <c r="M165" s="229">
        <v>8.8000000000000005E-3</v>
      </c>
      <c r="N165" s="231">
        <v>3116.8</v>
      </c>
      <c r="O165" s="231">
        <v>3106.9</v>
      </c>
      <c r="P165" s="228">
        <v>9.9</v>
      </c>
      <c r="Q165" s="229">
        <v>3.2000000000000002E-3</v>
      </c>
      <c r="R165" s="231">
        <v>3084.2</v>
      </c>
      <c r="S165" s="231">
        <v>3084.3</v>
      </c>
      <c r="T165" s="228">
        <v>-0.1</v>
      </c>
      <c r="U165" s="229">
        <v>0</v>
      </c>
      <c r="V165" s="231">
        <v>3080.7</v>
      </c>
      <c r="W165" s="231">
        <v>3085.9</v>
      </c>
      <c r="X165" s="228">
        <v>-5.2</v>
      </c>
      <c r="Y165" s="229">
        <v>-1.6999999999999999E-3</v>
      </c>
      <c r="Z165" s="228">
        <v>-22.9</v>
      </c>
      <c r="AA165" s="228">
        <v>-5.3</v>
      </c>
      <c r="AB165" s="228">
        <v>-17.600000000000001</v>
      </c>
      <c r="AC165" s="229">
        <v>-7.3000000000000001E-3</v>
      </c>
      <c r="AD165" s="228">
        <v>-22.9</v>
      </c>
      <c r="AE165" s="228">
        <v>-5.3</v>
      </c>
      <c r="AF165" s="228">
        <v>-17.600000000000001</v>
      </c>
      <c r="AG165" s="229">
        <v>-7.3000000000000001E-3</v>
      </c>
      <c r="AH165" s="228">
        <v>-55.5</v>
      </c>
      <c r="AI165" s="228">
        <v>-27.9</v>
      </c>
      <c r="AJ165" s="228">
        <v>-27.6</v>
      </c>
      <c r="AK165" s="229">
        <v>-1.77E-2</v>
      </c>
      <c r="AL165" s="228">
        <v>-59</v>
      </c>
      <c r="AM165" s="228">
        <v>-26.3</v>
      </c>
      <c r="AN165" s="228">
        <v>-32.700000000000003</v>
      </c>
      <c r="AO165" s="229">
        <v>-1.8800000000000001E-2</v>
      </c>
      <c r="AP165" s="231">
        <v>3117.7</v>
      </c>
      <c r="AQ165" s="231">
        <v>3095.54</v>
      </c>
      <c r="AR165" s="228">
        <v>0</v>
      </c>
      <c r="AS165" s="228">
        <v>209</v>
      </c>
      <c r="AT165" s="228">
        <v>173</v>
      </c>
      <c r="AU165" s="228">
        <v>36</v>
      </c>
      <c r="AV165" s="229">
        <v>0.2077</v>
      </c>
      <c r="AW165" s="228">
        <v>166</v>
      </c>
      <c r="AX165" s="228">
        <v>147</v>
      </c>
      <c r="AY165" s="228">
        <v>18</v>
      </c>
      <c r="AZ165" s="229">
        <v>0.12540000000000001</v>
      </c>
      <c r="BA165" s="228">
        <v>41</v>
      </c>
      <c r="BB165" s="228">
        <v>24</v>
      </c>
      <c r="BC165" s="228">
        <v>17</v>
      </c>
      <c r="BD165" s="229">
        <v>0.70589999999999997</v>
      </c>
      <c r="BE165" s="228">
        <v>2</v>
      </c>
      <c r="BF165" s="228">
        <v>2</v>
      </c>
      <c r="BG165" s="228">
        <v>0</v>
      </c>
      <c r="BH165" s="229">
        <v>0.28570000000000001</v>
      </c>
      <c r="BI165" s="228">
        <v>289</v>
      </c>
      <c r="BJ165" s="228">
        <v>563</v>
      </c>
      <c r="BK165" s="228">
        <v>-274</v>
      </c>
      <c r="BL165" s="229">
        <v>-0.48620000000000002</v>
      </c>
      <c r="BM165" s="228">
        <v>166</v>
      </c>
      <c r="BN165" s="228">
        <v>251</v>
      </c>
      <c r="BO165" s="228">
        <v>-85</v>
      </c>
      <c r="BP165" s="229">
        <v>-0.33860000000000001</v>
      </c>
      <c r="BQ165" s="228">
        <v>664</v>
      </c>
      <c r="BR165" s="228">
        <v>987</v>
      </c>
      <c r="BS165" s="228">
        <v>-323</v>
      </c>
      <c r="BT165" s="229">
        <v>-0.32700000000000001</v>
      </c>
      <c r="BU165" s="230">
        <v>477114</v>
      </c>
      <c r="BV165" s="230">
        <v>382402</v>
      </c>
      <c r="BW165" s="230">
        <v>94712</v>
      </c>
      <c r="BX165" s="229">
        <v>0.2477</v>
      </c>
      <c r="BY165" s="228">
        <v>833</v>
      </c>
      <c r="BZ165" s="228">
        <v>796</v>
      </c>
      <c r="CA165" s="228">
        <v>37</v>
      </c>
      <c r="CB165" s="229">
        <v>4.6199999999999998E-2</v>
      </c>
      <c r="CC165" s="228">
        <v>778</v>
      </c>
      <c r="CD165" s="228">
        <v>761</v>
      </c>
      <c r="CE165" s="228">
        <v>17</v>
      </c>
      <c r="CF165" s="229">
        <v>2.24E-2</v>
      </c>
      <c r="CG165" s="228">
        <v>51</v>
      </c>
      <c r="CH165" s="228">
        <v>32</v>
      </c>
      <c r="CI165" s="228">
        <v>19</v>
      </c>
      <c r="CJ165" s="229">
        <v>0.59019999999999995</v>
      </c>
      <c r="CK165" s="228">
        <v>3</v>
      </c>
      <c r="CL165" s="228">
        <v>3</v>
      </c>
      <c r="CM165" s="228">
        <v>1</v>
      </c>
      <c r="CN165" s="229">
        <v>0.2157</v>
      </c>
      <c r="CO165" s="228">
        <v>208</v>
      </c>
      <c r="CP165" s="228">
        <v>195</v>
      </c>
      <c r="CQ165" s="228">
        <v>13</v>
      </c>
      <c r="CR165" s="229">
        <v>6.9099999999999995E-2</v>
      </c>
      <c r="CS165" s="228">
        <v>210</v>
      </c>
      <c r="CT165" s="228">
        <v>201</v>
      </c>
      <c r="CU165" s="228">
        <v>9</v>
      </c>
      <c r="CV165" s="229">
        <v>4.6199999999999998E-2</v>
      </c>
      <c r="CW165" s="230">
        <v>1251</v>
      </c>
      <c r="CX165" s="230">
        <v>1192</v>
      </c>
      <c r="CY165" s="228">
        <v>60</v>
      </c>
      <c r="CZ165" s="229">
        <v>4.99E-2</v>
      </c>
      <c r="DA165" s="228">
        <v>30.37</v>
      </c>
      <c r="DB165" s="228">
        <v>31.83</v>
      </c>
      <c r="DC165" s="228">
        <v>-1.46</v>
      </c>
      <c r="DD165" s="228">
        <v>-1.46</v>
      </c>
      <c r="DE165" s="228">
        <v>31.58</v>
      </c>
      <c r="DF165" s="228">
        <v>31.65</v>
      </c>
      <c r="DG165" s="228">
        <v>-1.21</v>
      </c>
      <c r="DH165" s="228">
        <v>-7.0000000000000007E-2</v>
      </c>
      <c r="DI165" s="228">
        <v>28.73</v>
      </c>
      <c r="DJ165" s="228">
        <v>30.02</v>
      </c>
      <c r="DK165" s="228">
        <v>-1.29</v>
      </c>
      <c r="DL165" s="228">
        <v>-1.29</v>
      </c>
      <c r="DM165" s="228">
        <v>33.22</v>
      </c>
      <c r="DN165" s="228">
        <v>35.89</v>
      </c>
      <c r="DO165" s="228">
        <v>-2.67</v>
      </c>
      <c r="DP165" s="228">
        <v>-2.67</v>
      </c>
      <c r="DQ165" s="228">
        <v>1.01</v>
      </c>
      <c r="DR165" s="228">
        <v>1.03</v>
      </c>
      <c r="DS165" s="228">
        <v>-0.02</v>
      </c>
      <c r="DT165" s="229">
        <v>-1.9400000000000001E-2</v>
      </c>
      <c r="DU165" s="231">
        <v>3300</v>
      </c>
      <c r="DV165" s="231">
        <v>2700</v>
      </c>
      <c r="DW165" s="228">
        <v>0.56999999999999995</v>
      </c>
      <c r="DX165" s="228">
        <v>0.45</v>
      </c>
      <c r="DY165" s="228">
        <v>0.12</v>
      </c>
      <c r="DZ165" s="229">
        <v>0.26669999999999999</v>
      </c>
      <c r="EA165" s="229">
        <v>6.5799999999999997E-2</v>
      </c>
      <c r="EB165" s="230">
        <v>112700</v>
      </c>
      <c r="EC165" s="229">
        <v>-1.0500000000000001E-2</v>
      </c>
      <c r="ED165" s="229">
        <v>6.5799999999999997E-2</v>
      </c>
      <c r="EE165" s="228">
        <v>-22.16</v>
      </c>
      <c r="EF165" s="229">
        <v>-7.1000000000000004E-3</v>
      </c>
      <c r="EG165" s="230">
        <v>232345</v>
      </c>
      <c r="EH165" s="230">
        <v>172170</v>
      </c>
      <c r="EI165" s="229">
        <v>0.34949999999999998</v>
      </c>
      <c r="EJ165" s="229">
        <v>0.48699999999999999</v>
      </c>
      <c r="EK165" s="228">
        <v>299.43</v>
      </c>
      <c r="EL165" s="228">
        <v>160.41999999999999</v>
      </c>
      <c r="EM165" s="228">
        <v>208.76</v>
      </c>
      <c r="EN165" s="228">
        <v>25.12</v>
      </c>
      <c r="EO165" s="228">
        <v>668.61</v>
      </c>
      <c r="EP165" s="228">
        <v>988.4</v>
      </c>
      <c r="EQ165" s="228">
        <v>-319.79000000000002</v>
      </c>
      <c r="ER165" s="229">
        <v>-0.32350000000000001</v>
      </c>
      <c r="ES165" s="228">
        <v>207.04</v>
      </c>
      <c r="ET165" s="228">
        <v>192.75</v>
      </c>
      <c r="EU165" s="228">
        <v>832.58</v>
      </c>
      <c r="EV165" s="231">
        <v>8178275</v>
      </c>
      <c r="EW165" s="231">
        <v>1232.3800000000001</v>
      </c>
      <c r="EX165" s="231">
        <v>1169.3900000000001</v>
      </c>
      <c r="EY165" s="228">
        <v>62.99</v>
      </c>
      <c r="EZ165" s="229">
        <v>5.3900000000000003E-2</v>
      </c>
      <c r="FA165" s="229">
        <v>0.49099999999999999</v>
      </c>
      <c r="FB165" s="227" t="s">
        <v>555</v>
      </c>
      <c r="FC165">
        <f t="shared" si="3"/>
        <v>0</v>
      </c>
    </row>
    <row r="166" spans="1:159" ht="17.25" thickBot="1" x14ac:dyDescent="0.3">
      <c r="A166" s="226">
        <v>46129</v>
      </c>
      <c r="B166" s="227" t="s">
        <v>172</v>
      </c>
      <c r="C166" s="227" t="s">
        <v>275</v>
      </c>
      <c r="D166" s="228">
        <v>8000</v>
      </c>
      <c r="E166" s="228">
        <v>11</v>
      </c>
      <c r="F166" s="228">
        <v>114.73</v>
      </c>
      <c r="G166" s="228">
        <v>113.72</v>
      </c>
      <c r="H166" s="228">
        <v>1.01</v>
      </c>
      <c r="I166" s="229">
        <v>8.8999999999999999E-3</v>
      </c>
      <c r="J166" s="228">
        <v>114.48</v>
      </c>
      <c r="K166" s="228">
        <v>113.56</v>
      </c>
      <c r="L166" s="228">
        <v>0.92</v>
      </c>
      <c r="M166" s="229">
        <v>8.0999999999999996E-3</v>
      </c>
      <c r="N166" s="228">
        <v>114.73</v>
      </c>
      <c r="O166" s="228">
        <v>113.72</v>
      </c>
      <c r="P166" s="228">
        <v>1.01</v>
      </c>
      <c r="Q166" s="229">
        <v>8.8999999999999999E-3</v>
      </c>
      <c r="R166" s="228">
        <v>115.37</v>
      </c>
      <c r="S166" s="228">
        <v>114.39</v>
      </c>
      <c r="T166" s="228">
        <v>0.98</v>
      </c>
      <c r="U166" s="229">
        <v>8.6E-3</v>
      </c>
      <c r="V166" s="228">
        <v>115.93</v>
      </c>
      <c r="W166" s="228">
        <v>115.01</v>
      </c>
      <c r="X166" s="228">
        <v>0.92</v>
      </c>
      <c r="Y166" s="229">
        <v>8.0000000000000002E-3</v>
      </c>
      <c r="Z166" s="228">
        <v>0.25</v>
      </c>
      <c r="AA166" s="228">
        <v>0.16</v>
      </c>
      <c r="AB166" s="228">
        <v>0.09</v>
      </c>
      <c r="AC166" s="229">
        <v>2.2000000000000001E-3</v>
      </c>
      <c r="AD166" s="228">
        <v>0.25</v>
      </c>
      <c r="AE166" s="228">
        <v>0.16</v>
      </c>
      <c r="AF166" s="228">
        <v>0.09</v>
      </c>
      <c r="AG166" s="229">
        <v>2.2000000000000001E-3</v>
      </c>
      <c r="AH166" s="228">
        <v>0.89</v>
      </c>
      <c r="AI166" s="228">
        <v>0.83</v>
      </c>
      <c r="AJ166" s="228">
        <v>0.06</v>
      </c>
      <c r="AK166" s="229">
        <v>7.7999999999999996E-3</v>
      </c>
      <c r="AL166" s="228">
        <v>1.45</v>
      </c>
      <c r="AM166" s="228">
        <v>1.45</v>
      </c>
      <c r="AN166" s="228">
        <v>0</v>
      </c>
      <c r="AO166" s="229">
        <v>1.2699999999999999E-2</v>
      </c>
      <c r="AP166" s="228">
        <v>114.24</v>
      </c>
      <c r="AQ166" s="228">
        <v>114.9</v>
      </c>
      <c r="AR166" s="228">
        <v>0</v>
      </c>
      <c r="AS166" s="228">
        <v>484</v>
      </c>
      <c r="AT166" s="228">
        <v>539</v>
      </c>
      <c r="AU166" s="228">
        <v>-55</v>
      </c>
      <c r="AV166" s="229">
        <v>-0.10249999999999999</v>
      </c>
      <c r="AW166" s="228">
        <v>386</v>
      </c>
      <c r="AX166" s="228">
        <v>439</v>
      </c>
      <c r="AY166" s="228">
        <v>-53</v>
      </c>
      <c r="AZ166" s="229">
        <v>-0.1211</v>
      </c>
      <c r="BA166" s="228">
        <v>89</v>
      </c>
      <c r="BB166" s="228">
        <v>87</v>
      </c>
      <c r="BC166" s="228">
        <v>2</v>
      </c>
      <c r="BD166" s="229">
        <v>2.1000000000000001E-2</v>
      </c>
      <c r="BE166" s="228">
        <v>9</v>
      </c>
      <c r="BF166" s="228">
        <v>13</v>
      </c>
      <c r="BG166" s="228">
        <v>-4</v>
      </c>
      <c r="BH166" s="229">
        <v>-0.30940000000000001</v>
      </c>
      <c r="BI166" s="228">
        <v>948</v>
      </c>
      <c r="BJ166" s="228">
        <v>998</v>
      </c>
      <c r="BK166" s="228">
        <v>-50</v>
      </c>
      <c r="BL166" s="229">
        <v>-5.0599999999999999E-2</v>
      </c>
      <c r="BM166" s="228">
        <v>560</v>
      </c>
      <c r="BN166" s="228">
        <v>580</v>
      </c>
      <c r="BO166" s="228">
        <v>-20</v>
      </c>
      <c r="BP166" s="229">
        <v>-3.4000000000000002E-2</v>
      </c>
      <c r="BQ166" s="230">
        <v>1992</v>
      </c>
      <c r="BR166" s="230">
        <v>2117</v>
      </c>
      <c r="BS166" s="228">
        <v>-125</v>
      </c>
      <c r="BT166" s="229">
        <v>-5.9299999999999999E-2</v>
      </c>
      <c r="BU166" s="230">
        <v>15061346</v>
      </c>
      <c r="BV166" s="230">
        <v>19291285</v>
      </c>
      <c r="BW166" s="230">
        <v>-4229939</v>
      </c>
      <c r="BX166" s="229">
        <v>-0.21929999999999999</v>
      </c>
      <c r="BY166" s="230">
        <v>3092</v>
      </c>
      <c r="BZ166" s="230">
        <v>3124</v>
      </c>
      <c r="CA166" s="228">
        <v>-32</v>
      </c>
      <c r="CB166" s="229">
        <v>-1.04E-2</v>
      </c>
      <c r="CC166" s="230">
        <v>2667</v>
      </c>
      <c r="CD166" s="230">
        <v>2736</v>
      </c>
      <c r="CE166" s="228">
        <v>-69</v>
      </c>
      <c r="CF166" s="229">
        <v>-2.52E-2</v>
      </c>
      <c r="CG166" s="228">
        <v>305</v>
      </c>
      <c r="CH166" s="228">
        <v>270</v>
      </c>
      <c r="CI166" s="228">
        <v>34</v>
      </c>
      <c r="CJ166" s="229">
        <v>0.127</v>
      </c>
      <c r="CK166" s="228">
        <v>120</v>
      </c>
      <c r="CL166" s="228">
        <v>118</v>
      </c>
      <c r="CM166" s="228">
        <v>2</v>
      </c>
      <c r="CN166" s="229">
        <v>1.7100000000000001E-2</v>
      </c>
      <c r="CO166" s="228">
        <v>948</v>
      </c>
      <c r="CP166" s="228">
        <v>917</v>
      </c>
      <c r="CQ166" s="228">
        <v>31</v>
      </c>
      <c r="CR166" s="229">
        <v>3.4000000000000002E-2</v>
      </c>
      <c r="CS166" s="228">
        <v>833</v>
      </c>
      <c r="CT166" s="228">
        <v>817</v>
      </c>
      <c r="CU166" s="228">
        <v>16</v>
      </c>
      <c r="CV166" s="229">
        <v>1.9699999999999999E-2</v>
      </c>
      <c r="CW166" s="230">
        <v>4873</v>
      </c>
      <c r="CX166" s="230">
        <v>4858</v>
      </c>
      <c r="CY166" s="228">
        <v>15</v>
      </c>
      <c r="CZ166" s="229">
        <v>3.0000000000000001E-3</v>
      </c>
      <c r="DA166" s="228">
        <v>33.46</v>
      </c>
      <c r="DB166" s="228">
        <v>34.9</v>
      </c>
      <c r="DC166" s="228">
        <v>-1.44</v>
      </c>
      <c r="DD166" s="228">
        <v>-1.44</v>
      </c>
      <c r="DE166" s="228">
        <v>37.97</v>
      </c>
      <c r="DF166" s="228">
        <v>38.049999999999997</v>
      </c>
      <c r="DG166" s="228">
        <v>-4.51</v>
      </c>
      <c r="DH166" s="228">
        <v>-0.08</v>
      </c>
      <c r="DI166" s="228">
        <v>32.090000000000003</v>
      </c>
      <c r="DJ166" s="228">
        <v>33.6</v>
      </c>
      <c r="DK166" s="228">
        <v>-1.51</v>
      </c>
      <c r="DL166" s="228">
        <v>-1.51</v>
      </c>
      <c r="DM166" s="228">
        <v>35.770000000000003</v>
      </c>
      <c r="DN166" s="228">
        <v>37.119999999999997</v>
      </c>
      <c r="DO166" s="228">
        <v>-1.35</v>
      </c>
      <c r="DP166" s="228">
        <v>-1.35</v>
      </c>
      <c r="DQ166" s="228">
        <v>0.88</v>
      </c>
      <c r="DR166" s="228">
        <v>0.89</v>
      </c>
      <c r="DS166" s="228">
        <v>-0.01</v>
      </c>
      <c r="DT166" s="229">
        <v>-1.12E-2</v>
      </c>
      <c r="DU166" s="228">
        <v>120</v>
      </c>
      <c r="DV166" s="228">
        <v>110</v>
      </c>
      <c r="DW166" s="228">
        <v>0.59</v>
      </c>
      <c r="DX166" s="228">
        <v>0.57999999999999996</v>
      </c>
      <c r="DY166" s="228">
        <v>0.01</v>
      </c>
      <c r="DZ166" s="229">
        <v>1.72E-2</v>
      </c>
      <c r="EA166" s="229">
        <v>0.13739999999999999</v>
      </c>
      <c r="EB166" s="230">
        <v>33872000</v>
      </c>
      <c r="EC166" s="229">
        <v>5.5999999999999999E-3</v>
      </c>
      <c r="ED166" s="229">
        <v>0.13739999999999999</v>
      </c>
      <c r="EE166" s="228">
        <v>0.66</v>
      </c>
      <c r="EF166" s="229">
        <v>5.7999999999999996E-3</v>
      </c>
      <c r="EG166" s="230">
        <v>6723442</v>
      </c>
      <c r="EH166" s="230">
        <v>6599081</v>
      </c>
      <c r="EI166" s="229">
        <v>1.8800000000000001E-2</v>
      </c>
      <c r="EJ166" s="229">
        <v>0.44640000000000002</v>
      </c>
      <c r="EK166" s="228">
        <v>983.88</v>
      </c>
      <c r="EL166" s="228">
        <v>551.09</v>
      </c>
      <c r="EM166" s="228">
        <v>482.15</v>
      </c>
      <c r="EN166" s="228">
        <v>56.2</v>
      </c>
      <c r="EO166" s="231">
        <v>2017.13</v>
      </c>
      <c r="EP166" s="231">
        <v>2133.7600000000002</v>
      </c>
      <c r="EQ166" s="228">
        <v>-116.63</v>
      </c>
      <c r="ER166" s="229">
        <v>-5.4699999999999999E-2</v>
      </c>
      <c r="ES166" s="228">
        <v>962.54</v>
      </c>
      <c r="ET166" s="228">
        <v>789.25</v>
      </c>
      <c r="EU166" s="231">
        <v>3094.7</v>
      </c>
      <c r="EV166" s="231">
        <v>515822637</v>
      </c>
      <c r="EW166" s="231">
        <v>4846.49</v>
      </c>
      <c r="EX166" s="231">
        <v>4800.7</v>
      </c>
      <c r="EY166" s="228">
        <v>45.79</v>
      </c>
      <c r="EZ166" s="229">
        <v>9.4999999999999998E-3</v>
      </c>
      <c r="FA166" s="229">
        <v>0.82340000000000002</v>
      </c>
      <c r="FB166" s="227" t="s">
        <v>693</v>
      </c>
      <c r="FC166">
        <f t="shared" si="3"/>
        <v>0</v>
      </c>
    </row>
    <row r="167" spans="1:159" ht="17.25" thickBot="1" x14ac:dyDescent="0.3">
      <c r="A167" s="226">
        <v>46129</v>
      </c>
      <c r="B167" s="227" t="s">
        <v>175</v>
      </c>
      <c r="C167" s="227" t="s">
        <v>668</v>
      </c>
      <c r="D167" s="228">
        <v>650</v>
      </c>
      <c r="E167" s="228">
        <v>11</v>
      </c>
      <c r="F167" s="228">
        <v>924.4</v>
      </c>
      <c r="G167" s="228">
        <v>896.45</v>
      </c>
      <c r="H167" s="228">
        <v>27.95</v>
      </c>
      <c r="I167" s="229">
        <v>3.1199999999999999E-2</v>
      </c>
      <c r="J167" s="228">
        <v>923.7</v>
      </c>
      <c r="K167" s="228">
        <v>893.8</v>
      </c>
      <c r="L167" s="228">
        <v>29.9</v>
      </c>
      <c r="M167" s="229">
        <v>3.3500000000000002E-2</v>
      </c>
      <c r="N167" s="228">
        <v>924.4</v>
      </c>
      <c r="O167" s="228">
        <v>896.45</v>
      </c>
      <c r="P167" s="228">
        <v>27.95</v>
      </c>
      <c r="Q167" s="229">
        <v>3.1199999999999999E-2</v>
      </c>
      <c r="R167" s="228">
        <v>928.45</v>
      </c>
      <c r="S167" s="228">
        <v>902.25</v>
      </c>
      <c r="T167" s="228">
        <v>26.2</v>
      </c>
      <c r="U167" s="229">
        <v>2.9000000000000001E-2</v>
      </c>
      <c r="V167" s="228">
        <v>933</v>
      </c>
      <c r="W167" s="228">
        <v>901.55</v>
      </c>
      <c r="X167" s="228">
        <v>31.45</v>
      </c>
      <c r="Y167" s="229">
        <v>3.49E-2</v>
      </c>
      <c r="Z167" s="228">
        <v>0.7</v>
      </c>
      <c r="AA167" s="228">
        <v>2.65</v>
      </c>
      <c r="AB167" s="228">
        <v>-1.95</v>
      </c>
      <c r="AC167" s="229">
        <v>8.0000000000000004E-4</v>
      </c>
      <c r="AD167" s="228">
        <v>0.7</v>
      </c>
      <c r="AE167" s="228">
        <v>2.65</v>
      </c>
      <c r="AF167" s="228">
        <v>-1.95</v>
      </c>
      <c r="AG167" s="229">
        <v>8.0000000000000004E-4</v>
      </c>
      <c r="AH167" s="228">
        <v>4.75</v>
      </c>
      <c r="AI167" s="228">
        <v>8.4499999999999993</v>
      </c>
      <c r="AJ167" s="228">
        <v>-3.7</v>
      </c>
      <c r="AK167" s="229">
        <v>5.1000000000000004E-3</v>
      </c>
      <c r="AL167" s="228">
        <v>9.3000000000000007</v>
      </c>
      <c r="AM167" s="228">
        <v>7.75</v>
      </c>
      <c r="AN167" s="228">
        <v>1.55</v>
      </c>
      <c r="AO167" s="229">
        <v>1.01E-2</v>
      </c>
      <c r="AP167" s="228">
        <v>919.42</v>
      </c>
      <c r="AQ167" s="228">
        <v>924.08</v>
      </c>
      <c r="AR167" s="228">
        <v>0</v>
      </c>
      <c r="AS167" s="228">
        <v>392</v>
      </c>
      <c r="AT167" s="228">
        <v>334</v>
      </c>
      <c r="AU167" s="228">
        <v>58</v>
      </c>
      <c r="AV167" s="229">
        <v>0.1731</v>
      </c>
      <c r="AW167" s="228">
        <v>366</v>
      </c>
      <c r="AX167" s="228">
        <v>318</v>
      </c>
      <c r="AY167" s="228">
        <v>48</v>
      </c>
      <c r="AZ167" s="229">
        <v>0.15190000000000001</v>
      </c>
      <c r="BA167" s="228">
        <v>25</v>
      </c>
      <c r="BB167" s="228">
        <v>16</v>
      </c>
      <c r="BC167" s="228">
        <v>9</v>
      </c>
      <c r="BD167" s="229">
        <v>0.60150000000000003</v>
      </c>
      <c r="BE167" s="228">
        <v>1</v>
      </c>
      <c r="BF167" s="228">
        <v>0</v>
      </c>
      <c r="BG167" s="228">
        <v>0</v>
      </c>
      <c r="BH167" s="229">
        <v>0.25</v>
      </c>
      <c r="BI167" s="228">
        <v>830</v>
      </c>
      <c r="BJ167" s="228">
        <v>904</v>
      </c>
      <c r="BK167" s="228">
        <v>-73</v>
      </c>
      <c r="BL167" s="229">
        <v>-8.1100000000000005E-2</v>
      </c>
      <c r="BM167" s="228">
        <v>282</v>
      </c>
      <c r="BN167" s="228">
        <v>266</v>
      </c>
      <c r="BO167" s="228">
        <v>16</v>
      </c>
      <c r="BP167" s="229">
        <v>5.9200000000000003E-2</v>
      </c>
      <c r="BQ167" s="230">
        <v>1504</v>
      </c>
      <c r="BR167" s="230">
        <v>1504</v>
      </c>
      <c r="BS167" s="228">
        <v>0</v>
      </c>
      <c r="BT167" s="229">
        <v>2.0000000000000001E-4</v>
      </c>
      <c r="BU167" s="230">
        <v>2169893</v>
      </c>
      <c r="BV167" s="230">
        <v>1980658</v>
      </c>
      <c r="BW167" s="230">
        <v>189235</v>
      </c>
      <c r="BX167" s="229">
        <v>9.5500000000000002E-2</v>
      </c>
      <c r="BY167" s="230">
        <v>1274</v>
      </c>
      <c r="BZ167" s="230">
        <v>1244</v>
      </c>
      <c r="CA167" s="228">
        <v>30</v>
      </c>
      <c r="CB167" s="229">
        <v>2.3800000000000002E-2</v>
      </c>
      <c r="CC167" s="230">
        <v>1240</v>
      </c>
      <c r="CD167" s="230">
        <v>1217</v>
      </c>
      <c r="CE167" s="228">
        <v>23</v>
      </c>
      <c r="CF167" s="229">
        <v>1.9E-2</v>
      </c>
      <c r="CG167" s="228">
        <v>32</v>
      </c>
      <c r="CH167" s="228">
        <v>26</v>
      </c>
      <c r="CI167" s="228">
        <v>6</v>
      </c>
      <c r="CJ167" s="229">
        <v>0.23780000000000001</v>
      </c>
      <c r="CK167" s="228">
        <v>1</v>
      </c>
      <c r="CL167" s="228">
        <v>1</v>
      </c>
      <c r="CM167" s="228">
        <v>0</v>
      </c>
      <c r="CN167" s="229">
        <v>0.33329999999999999</v>
      </c>
      <c r="CO167" s="228">
        <v>237</v>
      </c>
      <c r="CP167" s="228">
        <v>194</v>
      </c>
      <c r="CQ167" s="228">
        <v>43</v>
      </c>
      <c r="CR167" s="229">
        <v>0.2243</v>
      </c>
      <c r="CS167" s="228">
        <v>237</v>
      </c>
      <c r="CT167" s="228">
        <v>179</v>
      </c>
      <c r="CU167" s="228">
        <v>58</v>
      </c>
      <c r="CV167" s="229">
        <v>0.32569999999999999</v>
      </c>
      <c r="CW167" s="230">
        <v>1748</v>
      </c>
      <c r="CX167" s="230">
        <v>1616</v>
      </c>
      <c r="CY167" s="228">
        <v>131</v>
      </c>
      <c r="CZ167" s="229">
        <v>8.1100000000000005E-2</v>
      </c>
      <c r="DA167" s="228">
        <v>48.52</v>
      </c>
      <c r="DB167" s="228">
        <v>47.42</v>
      </c>
      <c r="DC167" s="228">
        <v>1.1000000000000001</v>
      </c>
      <c r="DD167" s="228">
        <v>1.1000000000000001</v>
      </c>
      <c r="DE167" s="228">
        <v>47.3</v>
      </c>
      <c r="DF167" s="228">
        <v>47.24</v>
      </c>
      <c r="DG167" s="228">
        <v>1.22</v>
      </c>
      <c r="DH167" s="228">
        <v>0.06</v>
      </c>
      <c r="DI167" s="228">
        <v>48.86</v>
      </c>
      <c r="DJ167" s="228">
        <v>47.3</v>
      </c>
      <c r="DK167" s="228">
        <v>1.56</v>
      </c>
      <c r="DL167" s="228">
        <v>1.56</v>
      </c>
      <c r="DM167" s="228">
        <v>47.54</v>
      </c>
      <c r="DN167" s="228">
        <v>47.85</v>
      </c>
      <c r="DO167" s="228">
        <v>-0.31</v>
      </c>
      <c r="DP167" s="228">
        <v>-0.31</v>
      </c>
      <c r="DQ167" s="228">
        <v>1</v>
      </c>
      <c r="DR167" s="228">
        <v>0.92</v>
      </c>
      <c r="DS167" s="228">
        <v>0.08</v>
      </c>
      <c r="DT167" s="229">
        <v>8.6999999999999994E-2</v>
      </c>
      <c r="DU167" s="228">
        <v>920</v>
      </c>
      <c r="DV167" s="228">
        <v>840</v>
      </c>
      <c r="DW167" s="228">
        <v>0.34</v>
      </c>
      <c r="DX167" s="228">
        <v>0.28999999999999998</v>
      </c>
      <c r="DY167" s="228">
        <v>0.05</v>
      </c>
      <c r="DZ167" s="229">
        <v>0.1724</v>
      </c>
      <c r="EA167" s="229">
        <v>2.6200000000000001E-2</v>
      </c>
      <c r="EB167" s="230">
        <v>290550</v>
      </c>
      <c r="EC167" s="229">
        <v>4.4000000000000003E-3</v>
      </c>
      <c r="ED167" s="229">
        <v>2.6200000000000001E-2</v>
      </c>
      <c r="EE167" s="228">
        <v>4.66</v>
      </c>
      <c r="EF167" s="229">
        <v>5.1000000000000004E-3</v>
      </c>
      <c r="EG167" s="230">
        <v>939822</v>
      </c>
      <c r="EH167" s="230">
        <v>838814</v>
      </c>
      <c r="EI167" s="229">
        <v>0.12039999999999999</v>
      </c>
      <c r="EJ167" s="229">
        <v>0.43309999999999998</v>
      </c>
      <c r="EK167" s="228">
        <v>862.7</v>
      </c>
      <c r="EL167" s="228">
        <v>268.13</v>
      </c>
      <c r="EM167" s="228">
        <v>390.14</v>
      </c>
      <c r="EN167" s="228">
        <v>31.12</v>
      </c>
      <c r="EO167" s="231">
        <v>1520.97</v>
      </c>
      <c r="EP167" s="231">
        <v>1489.42</v>
      </c>
      <c r="EQ167" s="228">
        <v>31.55</v>
      </c>
      <c r="ER167" s="229">
        <v>2.12E-2</v>
      </c>
      <c r="ES167" s="228">
        <v>234.36</v>
      </c>
      <c r="ET167" s="228">
        <v>210.57</v>
      </c>
      <c r="EU167" s="231">
        <v>1273.92</v>
      </c>
      <c r="EV167" s="231">
        <v>28118603</v>
      </c>
      <c r="EW167" s="231">
        <v>1718.85</v>
      </c>
      <c r="EX167" s="231">
        <v>1549.84</v>
      </c>
      <c r="EY167" s="228">
        <v>169.01</v>
      </c>
      <c r="EZ167" s="229">
        <v>0.109</v>
      </c>
      <c r="FA167" s="229">
        <v>0.6724</v>
      </c>
      <c r="FB167" s="227" t="s">
        <v>555</v>
      </c>
      <c r="FC167">
        <f t="shared" si="3"/>
        <v>0</v>
      </c>
    </row>
    <row r="168" spans="1:159" ht="17.25" thickBot="1" x14ac:dyDescent="0.3">
      <c r="A168" s="226">
        <v>46129</v>
      </c>
      <c r="B168" s="227" t="s">
        <v>614</v>
      </c>
      <c r="C168" s="227" t="s">
        <v>572</v>
      </c>
      <c r="D168" s="228">
        <v>350</v>
      </c>
      <c r="E168" s="228">
        <v>11</v>
      </c>
      <c r="F168" s="231">
        <v>1601.1</v>
      </c>
      <c r="G168" s="231">
        <v>1555.3</v>
      </c>
      <c r="H168" s="228">
        <v>45.8</v>
      </c>
      <c r="I168" s="229">
        <v>2.9399999999999999E-2</v>
      </c>
      <c r="J168" s="231">
        <v>1600.6</v>
      </c>
      <c r="K168" s="231">
        <v>1550.5</v>
      </c>
      <c r="L168" s="228">
        <v>50.1</v>
      </c>
      <c r="M168" s="229">
        <v>3.2300000000000002E-2</v>
      </c>
      <c r="N168" s="231">
        <v>1601.1</v>
      </c>
      <c r="O168" s="231">
        <v>1555.3</v>
      </c>
      <c r="P168" s="228">
        <v>45.8</v>
      </c>
      <c r="Q168" s="229">
        <v>2.9399999999999999E-2</v>
      </c>
      <c r="R168" s="231">
        <v>1604.7</v>
      </c>
      <c r="S168" s="231">
        <v>1560.7</v>
      </c>
      <c r="T168" s="228">
        <v>44</v>
      </c>
      <c r="U168" s="229">
        <v>2.8199999999999999E-2</v>
      </c>
      <c r="V168" s="231">
        <v>1613.4</v>
      </c>
      <c r="W168" s="231">
        <v>1565</v>
      </c>
      <c r="X168" s="228">
        <v>48.4</v>
      </c>
      <c r="Y168" s="229">
        <v>3.09E-2</v>
      </c>
      <c r="Z168" s="228">
        <v>0.5</v>
      </c>
      <c r="AA168" s="228">
        <v>4.8</v>
      </c>
      <c r="AB168" s="228">
        <v>-4.3</v>
      </c>
      <c r="AC168" s="229">
        <v>2.9999999999999997E-4</v>
      </c>
      <c r="AD168" s="228">
        <v>0.5</v>
      </c>
      <c r="AE168" s="228">
        <v>4.8</v>
      </c>
      <c r="AF168" s="228">
        <v>-4.3</v>
      </c>
      <c r="AG168" s="229">
        <v>2.9999999999999997E-4</v>
      </c>
      <c r="AH168" s="228">
        <v>4.0999999999999996</v>
      </c>
      <c r="AI168" s="228">
        <v>10.199999999999999</v>
      </c>
      <c r="AJ168" s="228">
        <v>-6.1</v>
      </c>
      <c r="AK168" s="229">
        <v>2.5999999999999999E-3</v>
      </c>
      <c r="AL168" s="228">
        <v>12.8</v>
      </c>
      <c r="AM168" s="228">
        <v>14.5</v>
      </c>
      <c r="AN168" s="228">
        <v>-1.7</v>
      </c>
      <c r="AO168" s="229">
        <v>8.0000000000000002E-3</v>
      </c>
      <c r="AP168" s="231">
        <v>1603.17</v>
      </c>
      <c r="AQ168" s="231">
        <v>1605.6</v>
      </c>
      <c r="AR168" s="228">
        <v>0</v>
      </c>
      <c r="AS168" s="228">
        <v>565</v>
      </c>
      <c r="AT168" s="228">
        <v>437</v>
      </c>
      <c r="AU168" s="228">
        <v>128</v>
      </c>
      <c r="AV168" s="229">
        <v>0.2918</v>
      </c>
      <c r="AW168" s="228">
        <v>532</v>
      </c>
      <c r="AX168" s="228">
        <v>408</v>
      </c>
      <c r="AY168" s="228">
        <v>124</v>
      </c>
      <c r="AZ168" s="229">
        <v>0.30420000000000003</v>
      </c>
      <c r="BA168" s="228">
        <v>31</v>
      </c>
      <c r="BB168" s="228">
        <v>27</v>
      </c>
      <c r="BC168" s="228">
        <v>5</v>
      </c>
      <c r="BD168" s="229">
        <v>0.1797</v>
      </c>
      <c r="BE168" s="228">
        <v>1</v>
      </c>
      <c r="BF168" s="228">
        <v>3</v>
      </c>
      <c r="BG168" s="228">
        <v>-1</v>
      </c>
      <c r="BH168" s="229">
        <v>-0.4894</v>
      </c>
      <c r="BI168" s="230">
        <v>2715</v>
      </c>
      <c r="BJ168" s="230">
        <v>1753</v>
      </c>
      <c r="BK168" s="228">
        <v>962</v>
      </c>
      <c r="BL168" s="229">
        <v>0.54890000000000005</v>
      </c>
      <c r="BM168" s="228">
        <v>944</v>
      </c>
      <c r="BN168" s="228">
        <v>522</v>
      </c>
      <c r="BO168" s="228">
        <v>422</v>
      </c>
      <c r="BP168" s="229">
        <v>0.80859999999999999</v>
      </c>
      <c r="BQ168" s="230">
        <v>4223</v>
      </c>
      <c r="BR168" s="230">
        <v>2712</v>
      </c>
      <c r="BS168" s="230">
        <v>1512</v>
      </c>
      <c r="BT168" s="229">
        <v>0.5575</v>
      </c>
      <c r="BU168" s="230">
        <v>4238023</v>
      </c>
      <c r="BV168" s="230">
        <v>6527722</v>
      </c>
      <c r="BW168" s="230">
        <v>-2289699</v>
      </c>
      <c r="BX168" s="229">
        <v>-0.3508</v>
      </c>
      <c r="BY168" s="230">
        <v>1289</v>
      </c>
      <c r="BZ168" s="230">
        <v>1451</v>
      </c>
      <c r="CA168" s="228">
        <v>-162</v>
      </c>
      <c r="CB168" s="229">
        <v>-0.11169999999999999</v>
      </c>
      <c r="CC168" s="230">
        <v>1264</v>
      </c>
      <c r="CD168" s="230">
        <v>1431</v>
      </c>
      <c r="CE168" s="228">
        <v>-167</v>
      </c>
      <c r="CF168" s="229">
        <v>-0.1167</v>
      </c>
      <c r="CG168" s="228">
        <v>23</v>
      </c>
      <c r="CH168" s="228">
        <v>18</v>
      </c>
      <c r="CI168" s="228">
        <v>5</v>
      </c>
      <c r="CJ168" s="229">
        <v>0.26650000000000001</v>
      </c>
      <c r="CK168" s="228">
        <v>2</v>
      </c>
      <c r="CL168" s="228">
        <v>2</v>
      </c>
      <c r="CM168" s="228">
        <v>0</v>
      </c>
      <c r="CN168" s="229">
        <v>2.5600000000000001E-2</v>
      </c>
      <c r="CO168" s="228">
        <v>385</v>
      </c>
      <c r="CP168" s="228">
        <v>331</v>
      </c>
      <c r="CQ168" s="228">
        <v>54</v>
      </c>
      <c r="CR168" s="229">
        <v>0.16309999999999999</v>
      </c>
      <c r="CS168" s="228">
        <v>255</v>
      </c>
      <c r="CT168" s="228">
        <v>199</v>
      </c>
      <c r="CU168" s="228">
        <v>56</v>
      </c>
      <c r="CV168" s="229">
        <v>0.28249999999999997</v>
      </c>
      <c r="CW168" s="230">
        <v>1929</v>
      </c>
      <c r="CX168" s="230">
        <v>1981</v>
      </c>
      <c r="CY168" s="228">
        <v>-52</v>
      </c>
      <c r="CZ168" s="229">
        <v>-2.63E-2</v>
      </c>
      <c r="DA168" s="228">
        <v>37.299999999999997</v>
      </c>
      <c r="DB168" s="228">
        <v>38.590000000000003</v>
      </c>
      <c r="DC168" s="228">
        <v>-1.29</v>
      </c>
      <c r="DD168" s="228">
        <v>-1.29</v>
      </c>
      <c r="DE168" s="228">
        <v>45.89</v>
      </c>
      <c r="DF168" s="228">
        <v>45.81</v>
      </c>
      <c r="DG168" s="228">
        <v>-8.59</v>
      </c>
      <c r="DH168" s="228">
        <v>0.08</v>
      </c>
      <c r="DI168" s="228">
        <v>36.92</v>
      </c>
      <c r="DJ168" s="228">
        <v>37.78</v>
      </c>
      <c r="DK168" s="228">
        <v>-0.86</v>
      </c>
      <c r="DL168" s="228">
        <v>-0.86</v>
      </c>
      <c r="DM168" s="228">
        <v>38.39</v>
      </c>
      <c r="DN168" s="228">
        <v>41.31</v>
      </c>
      <c r="DO168" s="228">
        <v>-2.92</v>
      </c>
      <c r="DP168" s="228">
        <v>-2.92</v>
      </c>
      <c r="DQ168" s="228">
        <v>0.66</v>
      </c>
      <c r="DR168" s="228">
        <v>0.6</v>
      </c>
      <c r="DS168" s="228">
        <v>0.06</v>
      </c>
      <c r="DT168" s="229">
        <v>0.1</v>
      </c>
      <c r="DU168" s="231">
        <v>1600</v>
      </c>
      <c r="DV168" s="231">
        <v>1500</v>
      </c>
      <c r="DW168" s="228">
        <v>0.35</v>
      </c>
      <c r="DX168" s="228">
        <v>0.3</v>
      </c>
      <c r="DY168" s="228">
        <v>0.05</v>
      </c>
      <c r="DZ168" s="229">
        <v>0.16669999999999999</v>
      </c>
      <c r="EA168" s="229">
        <v>1.9300000000000001E-2</v>
      </c>
      <c r="EB168" s="230">
        <v>125300</v>
      </c>
      <c r="EC168" s="229">
        <v>2.2000000000000001E-3</v>
      </c>
      <c r="ED168" s="229">
        <v>1.9300000000000001E-2</v>
      </c>
      <c r="EE168" s="228">
        <v>2.4300000000000002</v>
      </c>
      <c r="EF168" s="229">
        <v>1.5E-3</v>
      </c>
      <c r="EG168" s="230">
        <v>2260928</v>
      </c>
      <c r="EH168" s="230">
        <v>4649732</v>
      </c>
      <c r="EI168" s="229">
        <v>-0.51380000000000003</v>
      </c>
      <c r="EJ168" s="229">
        <v>0.53349999999999997</v>
      </c>
      <c r="EK168" s="231">
        <v>2826.18</v>
      </c>
      <c r="EL168" s="228">
        <v>917.09</v>
      </c>
      <c r="EM168" s="228">
        <v>565.59</v>
      </c>
      <c r="EN168" s="228">
        <v>45.96</v>
      </c>
      <c r="EO168" s="231">
        <v>4308.8599999999997</v>
      </c>
      <c r="EP168" s="231">
        <v>2649.29</v>
      </c>
      <c r="EQ168" s="231">
        <v>1659.56</v>
      </c>
      <c r="ER168" s="229">
        <v>0.62639999999999996</v>
      </c>
      <c r="ES168" s="228">
        <v>383.67</v>
      </c>
      <c r="ET168" s="228">
        <v>237.23</v>
      </c>
      <c r="EU168" s="231">
        <v>1289.18</v>
      </c>
      <c r="EV168" s="231">
        <v>69300607</v>
      </c>
      <c r="EW168" s="231">
        <v>1910.07</v>
      </c>
      <c r="EX168" s="231">
        <v>1914.29</v>
      </c>
      <c r="EY168" s="228">
        <v>-4.22</v>
      </c>
      <c r="EZ168" s="229">
        <v>-2.2000000000000001E-3</v>
      </c>
      <c r="FA168" s="229">
        <v>0.17380000000000001</v>
      </c>
      <c r="FB168" s="227" t="s">
        <v>693</v>
      </c>
      <c r="FC168">
        <f t="shared" si="3"/>
        <v>0</v>
      </c>
    </row>
    <row r="169" spans="1:159" ht="17.25" thickBot="1" x14ac:dyDescent="0.3">
      <c r="A169" s="226">
        <v>46129</v>
      </c>
      <c r="B169" s="227" t="s">
        <v>184</v>
      </c>
      <c r="C169" s="227" t="s">
        <v>519</v>
      </c>
      <c r="D169" s="228">
        <v>125</v>
      </c>
      <c r="E169" s="228">
        <v>11</v>
      </c>
      <c r="F169" s="231">
        <v>8162</v>
      </c>
      <c r="G169" s="231">
        <v>7925</v>
      </c>
      <c r="H169" s="228">
        <v>237</v>
      </c>
      <c r="I169" s="229">
        <v>2.9899999999999999E-2</v>
      </c>
      <c r="J169" s="231">
        <v>8182.5</v>
      </c>
      <c r="K169" s="231">
        <v>7903.5</v>
      </c>
      <c r="L169" s="228">
        <v>279</v>
      </c>
      <c r="M169" s="229">
        <v>3.5299999999999998E-2</v>
      </c>
      <c r="N169" s="231">
        <v>8162</v>
      </c>
      <c r="O169" s="231">
        <v>7925</v>
      </c>
      <c r="P169" s="228">
        <v>237</v>
      </c>
      <c r="Q169" s="229">
        <v>2.9899999999999999E-2</v>
      </c>
      <c r="R169" s="231">
        <v>8118</v>
      </c>
      <c r="S169" s="231">
        <v>7908.5</v>
      </c>
      <c r="T169" s="228">
        <v>209.5</v>
      </c>
      <c r="U169" s="229">
        <v>2.6499999999999999E-2</v>
      </c>
      <c r="V169" s="231">
        <v>8109</v>
      </c>
      <c r="W169" s="231">
        <v>7867.5</v>
      </c>
      <c r="X169" s="228">
        <v>241.5</v>
      </c>
      <c r="Y169" s="229">
        <v>3.0700000000000002E-2</v>
      </c>
      <c r="Z169" s="228">
        <v>-20.5</v>
      </c>
      <c r="AA169" s="228">
        <v>21.5</v>
      </c>
      <c r="AB169" s="228">
        <v>-42</v>
      </c>
      <c r="AC169" s="229">
        <v>-2.5000000000000001E-3</v>
      </c>
      <c r="AD169" s="228">
        <v>-20.5</v>
      </c>
      <c r="AE169" s="228">
        <v>21.5</v>
      </c>
      <c r="AF169" s="228">
        <v>-42</v>
      </c>
      <c r="AG169" s="229">
        <v>-2.5000000000000001E-3</v>
      </c>
      <c r="AH169" s="228">
        <v>-64.5</v>
      </c>
      <c r="AI169" s="228">
        <v>5</v>
      </c>
      <c r="AJ169" s="228">
        <v>-69.5</v>
      </c>
      <c r="AK169" s="229">
        <v>-7.9000000000000008E-3</v>
      </c>
      <c r="AL169" s="228">
        <v>-73.5</v>
      </c>
      <c r="AM169" s="228">
        <v>-36</v>
      </c>
      <c r="AN169" s="228">
        <v>-37.5</v>
      </c>
      <c r="AO169" s="229">
        <v>-8.9999999999999993E-3</v>
      </c>
      <c r="AP169" s="231">
        <v>8139.39</v>
      </c>
      <c r="AQ169" s="231">
        <v>8100.8</v>
      </c>
      <c r="AR169" s="228">
        <v>0</v>
      </c>
      <c r="AS169" s="228">
        <v>661</v>
      </c>
      <c r="AT169" s="228">
        <v>414</v>
      </c>
      <c r="AU169" s="228">
        <v>247</v>
      </c>
      <c r="AV169" s="229">
        <v>0.59719999999999995</v>
      </c>
      <c r="AW169" s="228">
        <v>572</v>
      </c>
      <c r="AX169" s="228">
        <v>377</v>
      </c>
      <c r="AY169" s="228">
        <v>195</v>
      </c>
      <c r="AZ169" s="229">
        <v>0.51719999999999999</v>
      </c>
      <c r="BA169" s="228">
        <v>85</v>
      </c>
      <c r="BB169" s="228">
        <v>34</v>
      </c>
      <c r="BC169" s="228">
        <v>50</v>
      </c>
      <c r="BD169" s="229">
        <v>1.4527000000000001</v>
      </c>
      <c r="BE169" s="228">
        <v>5</v>
      </c>
      <c r="BF169" s="228">
        <v>3</v>
      </c>
      <c r="BG169" s="228">
        <v>2</v>
      </c>
      <c r="BH169" s="229">
        <v>0.82140000000000002</v>
      </c>
      <c r="BI169" s="230">
        <v>5277</v>
      </c>
      <c r="BJ169" s="230">
        <v>1424</v>
      </c>
      <c r="BK169" s="230">
        <v>3852</v>
      </c>
      <c r="BL169" s="229">
        <v>2.7048000000000001</v>
      </c>
      <c r="BM169" s="230">
        <v>3589</v>
      </c>
      <c r="BN169" s="230">
        <v>1144</v>
      </c>
      <c r="BO169" s="230">
        <v>2445</v>
      </c>
      <c r="BP169" s="229">
        <v>2.1368999999999998</v>
      </c>
      <c r="BQ169" s="230">
        <v>9527</v>
      </c>
      <c r="BR169" s="230">
        <v>2983</v>
      </c>
      <c r="BS169" s="230">
        <v>6545</v>
      </c>
      <c r="BT169" s="229">
        <v>2.1943000000000001</v>
      </c>
      <c r="BU169" s="230">
        <v>708323</v>
      </c>
      <c r="BV169" s="230">
        <v>286274</v>
      </c>
      <c r="BW169" s="230">
        <v>422049</v>
      </c>
      <c r="BX169" s="229">
        <v>1.4742999999999999</v>
      </c>
      <c r="BY169" s="230">
        <v>1524</v>
      </c>
      <c r="BZ169" s="230">
        <v>1592</v>
      </c>
      <c r="CA169" s="228">
        <v>-68</v>
      </c>
      <c r="CB169" s="229">
        <v>-4.2799999999999998E-2</v>
      </c>
      <c r="CC169" s="230">
        <v>1442</v>
      </c>
      <c r="CD169" s="230">
        <v>1523</v>
      </c>
      <c r="CE169" s="228">
        <v>-81</v>
      </c>
      <c r="CF169" s="229">
        <v>-5.2999999999999999E-2</v>
      </c>
      <c r="CG169" s="228">
        <v>75</v>
      </c>
      <c r="CH169" s="228">
        <v>64</v>
      </c>
      <c r="CI169" s="228">
        <v>10</v>
      </c>
      <c r="CJ169" s="229">
        <v>0.1585</v>
      </c>
      <c r="CK169" s="228">
        <v>7</v>
      </c>
      <c r="CL169" s="228">
        <v>5</v>
      </c>
      <c r="CM169" s="228">
        <v>2</v>
      </c>
      <c r="CN169" s="229">
        <v>0.4894</v>
      </c>
      <c r="CO169" s="228">
        <v>943</v>
      </c>
      <c r="CP169" s="228">
        <v>746</v>
      </c>
      <c r="CQ169" s="228">
        <v>197</v>
      </c>
      <c r="CR169" s="229">
        <v>0.26400000000000001</v>
      </c>
      <c r="CS169" s="230">
        <v>1171</v>
      </c>
      <c r="CT169" s="230">
        <v>1037</v>
      </c>
      <c r="CU169" s="228">
        <v>135</v>
      </c>
      <c r="CV169" s="229">
        <v>0.1298</v>
      </c>
      <c r="CW169" s="230">
        <v>3638</v>
      </c>
      <c r="CX169" s="230">
        <v>3375</v>
      </c>
      <c r="CY169" s="228">
        <v>263</v>
      </c>
      <c r="CZ169" s="229">
        <v>7.8E-2</v>
      </c>
      <c r="DA169" s="228">
        <v>37.909999999999997</v>
      </c>
      <c r="DB169" s="228">
        <v>37.299999999999997</v>
      </c>
      <c r="DC169" s="228">
        <v>0.61</v>
      </c>
      <c r="DD169" s="228">
        <v>0.61</v>
      </c>
      <c r="DE169" s="228">
        <v>41.72</v>
      </c>
      <c r="DF169" s="228">
        <v>41.56</v>
      </c>
      <c r="DG169" s="228">
        <v>-3.81</v>
      </c>
      <c r="DH169" s="228">
        <v>0.16</v>
      </c>
      <c r="DI169" s="228">
        <v>34.340000000000003</v>
      </c>
      <c r="DJ169" s="228">
        <v>32.909999999999997</v>
      </c>
      <c r="DK169" s="228">
        <v>1.43</v>
      </c>
      <c r="DL169" s="228">
        <v>1.43</v>
      </c>
      <c r="DM169" s="228">
        <v>43.16</v>
      </c>
      <c r="DN169" s="228">
        <v>42.77</v>
      </c>
      <c r="DO169" s="228">
        <v>0.39</v>
      </c>
      <c r="DP169" s="228">
        <v>0.39</v>
      </c>
      <c r="DQ169" s="228">
        <v>1.24</v>
      </c>
      <c r="DR169" s="228">
        <v>1.39</v>
      </c>
      <c r="DS169" s="228">
        <v>-0.15</v>
      </c>
      <c r="DT169" s="229">
        <v>-0.1079</v>
      </c>
      <c r="DU169" s="231">
        <v>8200</v>
      </c>
      <c r="DV169" s="231">
        <v>7500</v>
      </c>
      <c r="DW169" s="228">
        <v>0.68</v>
      </c>
      <c r="DX169" s="228">
        <v>0.8</v>
      </c>
      <c r="DY169" s="228">
        <v>-0.12</v>
      </c>
      <c r="DZ169" s="229">
        <v>-0.15</v>
      </c>
      <c r="EA169" s="229">
        <v>5.3600000000000002E-2</v>
      </c>
      <c r="EB169" s="230">
        <v>84750</v>
      </c>
      <c r="EC169" s="229">
        <v>-5.4000000000000003E-3</v>
      </c>
      <c r="ED169" s="229">
        <v>5.3600000000000002E-2</v>
      </c>
      <c r="EE169" s="228">
        <v>-38.590000000000003</v>
      </c>
      <c r="EF169" s="229">
        <v>-4.7000000000000002E-3</v>
      </c>
      <c r="EG169" s="230">
        <v>318541</v>
      </c>
      <c r="EH169" s="230">
        <v>100961</v>
      </c>
      <c r="EI169" s="229">
        <v>2.1551</v>
      </c>
      <c r="EJ169" s="229">
        <v>0.44969999999999999</v>
      </c>
      <c r="EK169" s="231">
        <v>5483.12</v>
      </c>
      <c r="EL169" s="231">
        <v>3337.06</v>
      </c>
      <c r="EM169" s="228">
        <v>659.17</v>
      </c>
      <c r="EN169" s="228">
        <v>49.2</v>
      </c>
      <c r="EO169" s="231">
        <v>9479.34</v>
      </c>
      <c r="EP169" s="231">
        <v>2860.24</v>
      </c>
      <c r="EQ169" s="231">
        <v>6619.1</v>
      </c>
      <c r="ER169" s="229">
        <v>2.3142</v>
      </c>
      <c r="ES169" s="228">
        <v>927.32</v>
      </c>
      <c r="ET169" s="231">
        <v>1062.97</v>
      </c>
      <c r="EU169" s="231">
        <v>1523.19</v>
      </c>
      <c r="EV169" s="231">
        <v>8693344</v>
      </c>
      <c r="EW169" s="231">
        <v>3513.49</v>
      </c>
      <c r="EX169" s="231">
        <v>3174.07</v>
      </c>
      <c r="EY169" s="228">
        <v>339.42</v>
      </c>
      <c r="EZ169" s="229">
        <v>0.1069</v>
      </c>
      <c r="FA169" s="229">
        <v>0.51270000000000004</v>
      </c>
      <c r="FB169" s="227" t="s">
        <v>693</v>
      </c>
      <c r="FC169">
        <f t="shared" si="3"/>
        <v>0</v>
      </c>
    </row>
    <row r="170" spans="1:159" ht="17.25" thickBot="1" x14ac:dyDescent="0.3">
      <c r="A170" s="226">
        <v>46129</v>
      </c>
      <c r="B170" s="227" t="s">
        <v>161</v>
      </c>
      <c r="C170" s="227" t="s">
        <v>276</v>
      </c>
      <c r="D170" s="228">
        <v>1900</v>
      </c>
      <c r="E170" s="228">
        <v>11</v>
      </c>
      <c r="F170" s="228">
        <v>317.64999999999998</v>
      </c>
      <c r="G170" s="228">
        <v>311.85000000000002</v>
      </c>
      <c r="H170" s="228">
        <v>5.8</v>
      </c>
      <c r="I170" s="229">
        <v>1.8599999999999998E-2</v>
      </c>
      <c r="J170" s="228">
        <v>318.10000000000002</v>
      </c>
      <c r="K170" s="228">
        <v>312.25</v>
      </c>
      <c r="L170" s="228">
        <v>5.85</v>
      </c>
      <c r="M170" s="229">
        <v>1.8700000000000001E-2</v>
      </c>
      <c r="N170" s="228">
        <v>317.64999999999998</v>
      </c>
      <c r="O170" s="228">
        <v>311.85000000000002</v>
      </c>
      <c r="P170" s="228">
        <v>5.8</v>
      </c>
      <c r="Q170" s="229">
        <v>1.8599999999999998E-2</v>
      </c>
      <c r="R170" s="228">
        <v>319.55</v>
      </c>
      <c r="S170" s="228">
        <v>313.8</v>
      </c>
      <c r="T170" s="228">
        <v>5.75</v>
      </c>
      <c r="U170" s="229">
        <v>1.83E-2</v>
      </c>
      <c r="V170" s="228">
        <v>321.25</v>
      </c>
      <c r="W170" s="228">
        <v>315.60000000000002</v>
      </c>
      <c r="X170" s="228">
        <v>5.65</v>
      </c>
      <c r="Y170" s="229">
        <v>1.7899999999999999E-2</v>
      </c>
      <c r="Z170" s="228">
        <v>-0.45</v>
      </c>
      <c r="AA170" s="228">
        <v>-0.4</v>
      </c>
      <c r="AB170" s="228">
        <v>-0.05</v>
      </c>
      <c r="AC170" s="229">
        <v>-1.4E-3</v>
      </c>
      <c r="AD170" s="228">
        <v>-0.45</v>
      </c>
      <c r="AE170" s="228">
        <v>-0.4</v>
      </c>
      <c r="AF170" s="228">
        <v>-0.05</v>
      </c>
      <c r="AG170" s="229">
        <v>-1.4E-3</v>
      </c>
      <c r="AH170" s="228">
        <v>1.45</v>
      </c>
      <c r="AI170" s="228">
        <v>1.55</v>
      </c>
      <c r="AJ170" s="228">
        <v>-0.1</v>
      </c>
      <c r="AK170" s="229">
        <v>4.5999999999999999E-3</v>
      </c>
      <c r="AL170" s="228">
        <v>3.15</v>
      </c>
      <c r="AM170" s="228">
        <v>3.35</v>
      </c>
      <c r="AN170" s="228">
        <v>-0.2</v>
      </c>
      <c r="AO170" s="229">
        <v>9.9000000000000008E-3</v>
      </c>
      <c r="AP170" s="228">
        <v>315.86</v>
      </c>
      <c r="AQ170" s="228">
        <v>317.55</v>
      </c>
      <c r="AR170" s="228">
        <v>0</v>
      </c>
      <c r="AS170" s="228">
        <v>515</v>
      </c>
      <c r="AT170" s="228">
        <v>704</v>
      </c>
      <c r="AU170" s="228">
        <v>-189</v>
      </c>
      <c r="AV170" s="229">
        <v>-0.26910000000000001</v>
      </c>
      <c r="AW170" s="228">
        <v>447</v>
      </c>
      <c r="AX170" s="228">
        <v>586</v>
      </c>
      <c r="AY170" s="228">
        <v>-139</v>
      </c>
      <c r="AZ170" s="229">
        <v>-0.2379</v>
      </c>
      <c r="BA170" s="228">
        <v>63</v>
      </c>
      <c r="BB170" s="228">
        <v>64</v>
      </c>
      <c r="BC170" s="228">
        <v>-1</v>
      </c>
      <c r="BD170" s="229">
        <v>-1.4200000000000001E-2</v>
      </c>
      <c r="BE170" s="228">
        <v>5</v>
      </c>
      <c r="BF170" s="228">
        <v>54</v>
      </c>
      <c r="BG170" s="228">
        <v>-49</v>
      </c>
      <c r="BH170" s="229">
        <v>-0.90439999999999998</v>
      </c>
      <c r="BI170" s="230">
        <v>2630</v>
      </c>
      <c r="BJ170" s="230">
        <v>2581</v>
      </c>
      <c r="BK170" s="228">
        <v>49</v>
      </c>
      <c r="BL170" s="229">
        <v>1.89E-2</v>
      </c>
      <c r="BM170" s="228">
        <v>994</v>
      </c>
      <c r="BN170" s="228">
        <v>737</v>
      </c>
      <c r="BO170" s="228">
        <v>257</v>
      </c>
      <c r="BP170" s="229">
        <v>0.34910000000000002</v>
      </c>
      <c r="BQ170" s="230">
        <v>4138</v>
      </c>
      <c r="BR170" s="230">
        <v>4022</v>
      </c>
      <c r="BS170" s="228">
        <v>117</v>
      </c>
      <c r="BT170" s="229">
        <v>2.9000000000000001E-2</v>
      </c>
      <c r="BU170" s="230">
        <v>14210473</v>
      </c>
      <c r="BV170" s="230">
        <v>23036162</v>
      </c>
      <c r="BW170" s="230">
        <v>-8825689</v>
      </c>
      <c r="BX170" s="229">
        <v>-0.3831</v>
      </c>
      <c r="BY170" s="230">
        <v>2516</v>
      </c>
      <c r="BZ170" s="230">
        <v>2536</v>
      </c>
      <c r="CA170" s="228">
        <v>-19</v>
      </c>
      <c r="CB170" s="229">
        <v>-7.7000000000000002E-3</v>
      </c>
      <c r="CC170" s="230">
        <v>2240</v>
      </c>
      <c r="CD170" s="230">
        <v>2271</v>
      </c>
      <c r="CE170" s="228">
        <v>-31</v>
      </c>
      <c r="CF170" s="229">
        <v>-1.37E-2</v>
      </c>
      <c r="CG170" s="228">
        <v>203</v>
      </c>
      <c r="CH170" s="228">
        <v>192</v>
      </c>
      <c r="CI170" s="228">
        <v>11</v>
      </c>
      <c r="CJ170" s="229">
        <v>5.8500000000000003E-2</v>
      </c>
      <c r="CK170" s="228">
        <v>73</v>
      </c>
      <c r="CL170" s="228">
        <v>72</v>
      </c>
      <c r="CM170" s="228">
        <v>0</v>
      </c>
      <c r="CN170" s="229">
        <v>5.0000000000000001E-3</v>
      </c>
      <c r="CO170" s="230">
        <v>1189</v>
      </c>
      <c r="CP170" s="230">
        <v>1260</v>
      </c>
      <c r="CQ170" s="228">
        <v>-71</v>
      </c>
      <c r="CR170" s="229">
        <v>-5.6500000000000002E-2</v>
      </c>
      <c r="CS170" s="228">
        <v>750</v>
      </c>
      <c r="CT170" s="228">
        <v>630</v>
      </c>
      <c r="CU170" s="228">
        <v>121</v>
      </c>
      <c r="CV170" s="229">
        <v>0.19139999999999999</v>
      </c>
      <c r="CW170" s="230">
        <v>4456</v>
      </c>
      <c r="CX170" s="230">
        <v>4426</v>
      </c>
      <c r="CY170" s="228">
        <v>30</v>
      </c>
      <c r="CZ170" s="229">
        <v>6.7999999999999996E-3</v>
      </c>
      <c r="DA170" s="228">
        <v>23.79</v>
      </c>
      <c r="DB170" s="228">
        <v>27.98</v>
      </c>
      <c r="DC170" s="228">
        <v>-4.1900000000000004</v>
      </c>
      <c r="DD170" s="228">
        <v>-4.1900000000000004</v>
      </c>
      <c r="DE170" s="228">
        <v>29.03</v>
      </c>
      <c r="DF170" s="228">
        <v>29</v>
      </c>
      <c r="DG170" s="228">
        <v>-5.24</v>
      </c>
      <c r="DH170" s="228">
        <v>0.03</v>
      </c>
      <c r="DI170" s="228">
        <v>22.97</v>
      </c>
      <c r="DJ170" s="228">
        <v>27.9</v>
      </c>
      <c r="DK170" s="228">
        <v>-4.93</v>
      </c>
      <c r="DL170" s="228">
        <v>-4.93</v>
      </c>
      <c r="DM170" s="228">
        <v>25.94</v>
      </c>
      <c r="DN170" s="228">
        <v>28.26</v>
      </c>
      <c r="DO170" s="228">
        <v>-2.3199999999999998</v>
      </c>
      <c r="DP170" s="228">
        <v>-2.3199999999999998</v>
      </c>
      <c r="DQ170" s="228">
        <v>0.63</v>
      </c>
      <c r="DR170" s="228">
        <v>0.5</v>
      </c>
      <c r="DS170" s="228">
        <v>0.13</v>
      </c>
      <c r="DT170" s="229">
        <v>0.26</v>
      </c>
      <c r="DU170" s="228">
        <v>315</v>
      </c>
      <c r="DV170" s="228">
        <v>300</v>
      </c>
      <c r="DW170" s="228">
        <v>0.38</v>
      </c>
      <c r="DX170" s="228">
        <v>0.28999999999999998</v>
      </c>
      <c r="DY170" s="228">
        <v>0.09</v>
      </c>
      <c r="DZ170" s="229">
        <v>0.31030000000000002</v>
      </c>
      <c r="EA170" s="229">
        <v>0.1096</v>
      </c>
      <c r="EB170" s="230">
        <v>8320100</v>
      </c>
      <c r="EC170" s="229">
        <v>6.0000000000000001E-3</v>
      </c>
      <c r="ED170" s="229">
        <v>0.1096</v>
      </c>
      <c r="EE170" s="228">
        <v>1.69</v>
      </c>
      <c r="EF170" s="229">
        <v>5.4000000000000003E-3</v>
      </c>
      <c r="EG170" s="230">
        <v>8894487</v>
      </c>
      <c r="EH170" s="230">
        <v>13628627</v>
      </c>
      <c r="EI170" s="229">
        <v>-0.34739999999999999</v>
      </c>
      <c r="EJ170" s="229">
        <v>0.62590000000000001</v>
      </c>
      <c r="EK170" s="231">
        <v>2681.58</v>
      </c>
      <c r="EL170" s="228">
        <v>969.24</v>
      </c>
      <c r="EM170" s="228">
        <v>512.13</v>
      </c>
      <c r="EN170" s="228">
        <v>85.36</v>
      </c>
      <c r="EO170" s="231">
        <v>4162.95</v>
      </c>
      <c r="EP170" s="231">
        <v>4029.94</v>
      </c>
      <c r="EQ170" s="228">
        <v>133.01</v>
      </c>
      <c r="ER170" s="229">
        <v>3.3000000000000002E-2</v>
      </c>
      <c r="ES170" s="231">
        <v>1185.18</v>
      </c>
      <c r="ET170" s="228">
        <v>696.37</v>
      </c>
      <c r="EU170" s="231">
        <v>2518.3000000000002</v>
      </c>
      <c r="EV170" s="231">
        <v>660840864</v>
      </c>
      <c r="EW170" s="231">
        <v>4399.84</v>
      </c>
      <c r="EX170" s="231">
        <v>4318.91</v>
      </c>
      <c r="EY170" s="228">
        <v>80.930000000000007</v>
      </c>
      <c r="EZ170" s="229">
        <v>1.8700000000000001E-2</v>
      </c>
      <c r="FA170" s="229">
        <v>0.21229999999999999</v>
      </c>
      <c r="FB170" s="227" t="s">
        <v>693</v>
      </c>
      <c r="FC170">
        <f t="shared" si="3"/>
        <v>0</v>
      </c>
    </row>
    <row r="171" spans="1:159" ht="17.25" thickBot="1" x14ac:dyDescent="0.3">
      <c r="A171" s="226">
        <v>46129</v>
      </c>
      <c r="B171" s="227" t="s">
        <v>184</v>
      </c>
      <c r="C171" s="227" t="s">
        <v>685</v>
      </c>
      <c r="D171" s="228">
        <v>50</v>
      </c>
      <c r="E171" s="228">
        <v>11</v>
      </c>
      <c r="F171" s="231">
        <v>28970</v>
      </c>
      <c r="G171" s="231">
        <v>28325</v>
      </c>
      <c r="H171" s="228">
        <v>645</v>
      </c>
      <c r="I171" s="229">
        <v>2.2800000000000001E-2</v>
      </c>
      <c r="J171" s="231">
        <v>28925</v>
      </c>
      <c r="K171" s="231">
        <v>28255</v>
      </c>
      <c r="L171" s="228">
        <v>670</v>
      </c>
      <c r="M171" s="229">
        <v>2.3699999999999999E-2</v>
      </c>
      <c r="N171" s="231">
        <v>28970</v>
      </c>
      <c r="O171" s="231">
        <v>28325</v>
      </c>
      <c r="P171" s="228">
        <v>645</v>
      </c>
      <c r="Q171" s="229">
        <v>2.2800000000000001E-2</v>
      </c>
      <c r="R171" s="231">
        <v>28910</v>
      </c>
      <c r="S171" s="231">
        <v>28290</v>
      </c>
      <c r="T171" s="228">
        <v>620</v>
      </c>
      <c r="U171" s="229">
        <v>2.1899999999999999E-2</v>
      </c>
      <c r="V171" s="231">
        <v>28875</v>
      </c>
      <c r="W171" s="231">
        <v>28290</v>
      </c>
      <c r="X171" s="228">
        <v>585</v>
      </c>
      <c r="Y171" s="229">
        <v>2.07E-2</v>
      </c>
      <c r="Z171" s="228">
        <v>45</v>
      </c>
      <c r="AA171" s="228">
        <v>70</v>
      </c>
      <c r="AB171" s="228">
        <v>-25</v>
      </c>
      <c r="AC171" s="229">
        <v>1.6000000000000001E-3</v>
      </c>
      <c r="AD171" s="228">
        <v>45</v>
      </c>
      <c r="AE171" s="228">
        <v>70</v>
      </c>
      <c r="AF171" s="228">
        <v>-25</v>
      </c>
      <c r="AG171" s="229">
        <v>1.6000000000000001E-3</v>
      </c>
      <c r="AH171" s="228">
        <v>-15</v>
      </c>
      <c r="AI171" s="228">
        <v>35</v>
      </c>
      <c r="AJ171" s="228">
        <v>-50</v>
      </c>
      <c r="AK171" s="229">
        <v>-5.0000000000000001E-4</v>
      </c>
      <c r="AL171" s="228">
        <v>-50</v>
      </c>
      <c r="AM171" s="228">
        <v>35</v>
      </c>
      <c r="AN171" s="228">
        <v>-85</v>
      </c>
      <c r="AO171" s="229">
        <v>-1.6999999999999999E-3</v>
      </c>
      <c r="AP171" s="231">
        <v>28761.58</v>
      </c>
      <c r="AQ171" s="231">
        <v>28705.919999999998</v>
      </c>
      <c r="AR171" s="228">
        <v>0</v>
      </c>
      <c r="AS171" s="228">
        <v>291</v>
      </c>
      <c r="AT171" s="228">
        <v>340</v>
      </c>
      <c r="AU171" s="228">
        <v>-48</v>
      </c>
      <c r="AV171" s="229">
        <v>-0.14249999999999999</v>
      </c>
      <c r="AW171" s="228">
        <v>256</v>
      </c>
      <c r="AX171" s="228">
        <v>297</v>
      </c>
      <c r="AY171" s="228">
        <v>-41</v>
      </c>
      <c r="AZ171" s="229">
        <v>-0.13869999999999999</v>
      </c>
      <c r="BA171" s="228">
        <v>31</v>
      </c>
      <c r="BB171" s="228">
        <v>35</v>
      </c>
      <c r="BC171" s="228">
        <v>-5</v>
      </c>
      <c r="BD171" s="229">
        <v>-0.13059999999999999</v>
      </c>
      <c r="BE171" s="228">
        <v>5</v>
      </c>
      <c r="BF171" s="228">
        <v>7</v>
      </c>
      <c r="BG171" s="228">
        <v>-3</v>
      </c>
      <c r="BH171" s="229">
        <v>-0.35289999999999999</v>
      </c>
      <c r="BI171" s="230">
        <v>1300</v>
      </c>
      <c r="BJ171" s="230">
        <v>1389</v>
      </c>
      <c r="BK171" s="228">
        <v>-89</v>
      </c>
      <c r="BL171" s="229">
        <v>-6.3700000000000007E-2</v>
      </c>
      <c r="BM171" s="228">
        <v>870</v>
      </c>
      <c r="BN171" s="228">
        <v>831</v>
      </c>
      <c r="BO171" s="228">
        <v>39</v>
      </c>
      <c r="BP171" s="229">
        <v>4.6300000000000001E-2</v>
      </c>
      <c r="BQ171" s="230">
        <v>2461</v>
      </c>
      <c r="BR171" s="230">
        <v>2559</v>
      </c>
      <c r="BS171" s="228">
        <v>-98</v>
      </c>
      <c r="BT171" s="229">
        <v>-3.8399999999999997E-2</v>
      </c>
      <c r="BU171" s="230">
        <v>111373</v>
      </c>
      <c r="BV171" s="230">
        <v>182024</v>
      </c>
      <c r="BW171" s="230">
        <v>-70651</v>
      </c>
      <c r="BX171" s="229">
        <v>-0.3881</v>
      </c>
      <c r="BY171" s="230">
        <v>1127</v>
      </c>
      <c r="BZ171" s="230">
        <v>1132</v>
      </c>
      <c r="CA171" s="228">
        <v>-6</v>
      </c>
      <c r="CB171" s="229">
        <v>-5.0000000000000001E-3</v>
      </c>
      <c r="CC171" s="230">
        <v>1051</v>
      </c>
      <c r="CD171" s="230">
        <v>1057</v>
      </c>
      <c r="CE171" s="228">
        <v>-5</v>
      </c>
      <c r="CF171" s="229">
        <v>-5.1000000000000004E-3</v>
      </c>
      <c r="CG171" s="228">
        <v>62</v>
      </c>
      <c r="CH171" s="228">
        <v>63</v>
      </c>
      <c r="CI171" s="228">
        <v>-1</v>
      </c>
      <c r="CJ171" s="229">
        <v>-1.1599999999999999E-2</v>
      </c>
      <c r="CK171" s="228">
        <v>14</v>
      </c>
      <c r="CL171" s="228">
        <v>13</v>
      </c>
      <c r="CM171" s="228">
        <v>0</v>
      </c>
      <c r="CN171" s="229">
        <v>3.2599999999999997E-2</v>
      </c>
      <c r="CO171" s="228">
        <v>725</v>
      </c>
      <c r="CP171" s="228">
        <v>780</v>
      </c>
      <c r="CQ171" s="228">
        <v>-55</v>
      </c>
      <c r="CR171" s="229">
        <v>-7.1099999999999997E-2</v>
      </c>
      <c r="CS171" s="228">
        <v>763</v>
      </c>
      <c r="CT171" s="228">
        <v>664</v>
      </c>
      <c r="CU171" s="228">
        <v>99</v>
      </c>
      <c r="CV171" s="229">
        <v>0.1492</v>
      </c>
      <c r="CW171" s="230">
        <v>2615</v>
      </c>
      <c r="CX171" s="230">
        <v>2577</v>
      </c>
      <c r="CY171" s="228">
        <v>38</v>
      </c>
      <c r="CZ171" s="229">
        <v>1.47E-2</v>
      </c>
      <c r="DA171" s="228">
        <v>36.18</v>
      </c>
      <c r="DB171" s="228">
        <v>40.33</v>
      </c>
      <c r="DC171" s="228">
        <v>-4.1500000000000004</v>
      </c>
      <c r="DD171" s="228">
        <v>-4.1500000000000004</v>
      </c>
      <c r="DE171" s="228">
        <v>57.48</v>
      </c>
      <c r="DF171" s="228">
        <v>57.53</v>
      </c>
      <c r="DG171" s="228">
        <v>-21.3</v>
      </c>
      <c r="DH171" s="228">
        <v>-0.05</v>
      </c>
      <c r="DI171" s="228">
        <v>34.21</v>
      </c>
      <c r="DJ171" s="228">
        <v>38.72</v>
      </c>
      <c r="DK171" s="228">
        <v>-4.51</v>
      </c>
      <c r="DL171" s="228">
        <v>-4.51</v>
      </c>
      <c r="DM171" s="228">
        <v>39.14</v>
      </c>
      <c r="DN171" s="228">
        <v>43.01</v>
      </c>
      <c r="DO171" s="228">
        <v>-3.87</v>
      </c>
      <c r="DP171" s="228">
        <v>-3.87</v>
      </c>
      <c r="DQ171" s="228">
        <v>1.05</v>
      </c>
      <c r="DR171" s="228">
        <v>0.85</v>
      </c>
      <c r="DS171" s="228">
        <v>0.2</v>
      </c>
      <c r="DT171" s="229">
        <v>0.23530000000000001</v>
      </c>
      <c r="DU171" s="231">
        <v>30000</v>
      </c>
      <c r="DV171" s="231">
        <v>26000</v>
      </c>
      <c r="DW171" s="228">
        <v>0.67</v>
      </c>
      <c r="DX171" s="228">
        <v>0.6</v>
      </c>
      <c r="DY171" s="228">
        <v>7.0000000000000007E-2</v>
      </c>
      <c r="DZ171" s="229">
        <v>0.1167</v>
      </c>
      <c r="EA171" s="229">
        <v>6.7100000000000007E-2</v>
      </c>
      <c r="EB171" s="230">
        <v>26200</v>
      </c>
      <c r="EC171" s="229">
        <v>-2.0999999999999999E-3</v>
      </c>
      <c r="ED171" s="229">
        <v>6.7100000000000007E-2</v>
      </c>
      <c r="EE171" s="228">
        <v>-55.66</v>
      </c>
      <c r="EF171" s="229">
        <v>-1.9E-3</v>
      </c>
      <c r="EG171" s="230">
        <v>38627</v>
      </c>
      <c r="EH171" s="230">
        <v>72807</v>
      </c>
      <c r="EI171" s="229">
        <v>-0.46949999999999997</v>
      </c>
      <c r="EJ171" s="229">
        <v>0.3468</v>
      </c>
      <c r="EK171" s="231">
        <v>1361.51</v>
      </c>
      <c r="EL171" s="228">
        <v>819.48</v>
      </c>
      <c r="EM171" s="228">
        <v>288.99</v>
      </c>
      <c r="EN171" s="228">
        <v>30.5</v>
      </c>
      <c r="EO171" s="231">
        <v>2469.98</v>
      </c>
      <c r="EP171" s="231">
        <v>2539.31</v>
      </c>
      <c r="EQ171" s="228">
        <v>-69.33</v>
      </c>
      <c r="ER171" s="229">
        <v>-2.7300000000000001E-2</v>
      </c>
      <c r="ES171" s="228">
        <v>719.16</v>
      </c>
      <c r="ET171" s="228">
        <v>680.42</v>
      </c>
      <c r="EU171" s="231">
        <v>1126.6099999999999</v>
      </c>
      <c r="EV171" s="231">
        <v>1917916</v>
      </c>
      <c r="EW171" s="231">
        <v>2526.19</v>
      </c>
      <c r="EX171" s="231">
        <v>2464.9699999999998</v>
      </c>
      <c r="EY171" s="228">
        <v>61.22</v>
      </c>
      <c r="EZ171" s="229">
        <v>2.4799999999999999E-2</v>
      </c>
      <c r="FA171" s="229">
        <v>0.47060000000000002</v>
      </c>
      <c r="FB171" s="227" t="s">
        <v>693</v>
      </c>
      <c r="FC171">
        <f t="shared" si="3"/>
        <v>0</v>
      </c>
    </row>
    <row r="172" spans="1:159" ht="17.25" thickBot="1" x14ac:dyDescent="0.3">
      <c r="A172" s="226">
        <v>46129</v>
      </c>
      <c r="B172" s="227" t="s">
        <v>170</v>
      </c>
      <c r="C172" s="227" t="s">
        <v>676</v>
      </c>
      <c r="D172" s="228">
        <v>2625</v>
      </c>
      <c r="E172" s="228">
        <v>11</v>
      </c>
      <c r="F172" s="228">
        <v>148.41</v>
      </c>
      <c r="G172" s="228">
        <v>147.63</v>
      </c>
      <c r="H172" s="228">
        <v>0.78</v>
      </c>
      <c r="I172" s="229">
        <v>5.3E-3</v>
      </c>
      <c r="J172" s="228">
        <v>148.85</v>
      </c>
      <c r="K172" s="228">
        <v>147.5</v>
      </c>
      <c r="L172" s="228">
        <v>1.35</v>
      </c>
      <c r="M172" s="229">
        <v>9.1999999999999998E-3</v>
      </c>
      <c r="N172" s="228">
        <v>148.41</v>
      </c>
      <c r="O172" s="228">
        <v>147.63</v>
      </c>
      <c r="P172" s="228">
        <v>0.78</v>
      </c>
      <c r="Q172" s="229">
        <v>5.3E-3</v>
      </c>
      <c r="R172" s="228">
        <v>0</v>
      </c>
      <c r="S172" s="228">
        <v>0</v>
      </c>
      <c r="T172" s="228">
        <v>0</v>
      </c>
      <c r="U172" s="229">
        <v>0</v>
      </c>
      <c r="V172" s="228">
        <v>0</v>
      </c>
      <c r="W172" s="228">
        <v>0</v>
      </c>
      <c r="X172" s="228">
        <v>0</v>
      </c>
      <c r="Y172" s="229">
        <v>0</v>
      </c>
      <c r="Z172" s="228">
        <v>-0.44</v>
      </c>
      <c r="AA172" s="228">
        <v>0.13</v>
      </c>
      <c r="AB172" s="228">
        <v>-0.56999999999999995</v>
      </c>
      <c r="AC172" s="229">
        <v>-3.0000000000000001E-3</v>
      </c>
      <c r="AD172" s="228">
        <v>-0.44</v>
      </c>
      <c r="AE172" s="228">
        <v>0.13</v>
      </c>
      <c r="AF172" s="228">
        <v>-0.56999999999999995</v>
      </c>
      <c r="AG172" s="229">
        <v>-3.0000000000000001E-3</v>
      </c>
      <c r="AH172" s="228">
        <v>0</v>
      </c>
      <c r="AI172" s="228">
        <v>0</v>
      </c>
      <c r="AJ172" s="228">
        <v>0</v>
      </c>
      <c r="AK172" s="229">
        <v>0</v>
      </c>
      <c r="AL172" s="228">
        <v>0</v>
      </c>
      <c r="AM172" s="228">
        <v>0</v>
      </c>
      <c r="AN172" s="228">
        <v>0</v>
      </c>
      <c r="AO172" s="229">
        <v>0</v>
      </c>
      <c r="AP172" s="228">
        <v>148.27000000000001</v>
      </c>
      <c r="AQ172" s="228">
        <v>0</v>
      </c>
      <c r="AR172" s="228">
        <v>0</v>
      </c>
      <c r="AS172" s="228">
        <v>32</v>
      </c>
      <c r="AT172" s="228">
        <v>40</v>
      </c>
      <c r="AU172" s="228">
        <v>-7</v>
      </c>
      <c r="AV172" s="229">
        <v>-0.18490000000000001</v>
      </c>
      <c r="AW172" s="228">
        <v>32</v>
      </c>
      <c r="AX172" s="228">
        <v>40</v>
      </c>
      <c r="AY172" s="228">
        <v>-7</v>
      </c>
      <c r="AZ172" s="229">
        <v>-0.18490000000000001</v>
      </c>
      <c r="BA172" s="228">
        <v>0</v>
      </c>
      <c r="BB172" s="228">
        <v>0</v>
      </c>
      <c r="BC172" s="228">
        <v>0</v>
      </c>
      <c r="BD172" s="229">
        <v>0</v>
      </c>
      <c r="BE172" s="228">
        <v>0</v>
      </c>
      <c r="BF172" s="228">
        <v>0</v>
      </c>
      <c r="BG172" s="228">
        <v>0</v>
      </c>
      <c r="BH172" s="229">
        <v>0</v>
      </c>
      <c r="BI172" s="228">
        <v>85</v>
      </c>
      <c r="BJ172" s="228">
        <v>84</v>
      </c>
      <c r="BK172" s="228">
        <v>2</v>
      </c>
      <c r="BL172" s="229">
        <v>1.8200000000000001E-2</v>
      </c>
      <c r="BM172" s="228">
        <v>22</v>
      </c>
      <c r="BN172" s="228">
        <v>28</v>
      </c>
      <c r="BO172" s="228">
        <v>-7</v>
      </c>
      <c r="BP172" s="229">
        <v>-0.2319</v>
      </c>
      <c r="BQ172" s="228">
        <v>139</v>
      </c>
      <c r="BR172" s="228">
        <v>151</v>
      </c>
      <c r="BS172" s="228">
        <v>-12</v>
      </c>
      <c r="BT172" s="229">
        <v>-8.14E-2</v>
      </c>
      <c r="BU172" s="230">
        <v>2247661</v>
      </c>
      <c r="BV172" s="230">
        <v>3806978</v>
      </c>
      <c r="BW172" s="230">
        <v>-1559317</v>
      </c>
      <c r="BX172" s="229">
        <v>-0.40960000000000002</v>
      </c>
      <c r="BY172" s="228">
        <v>176</v>
      </c>
      <c r="BZ172" s="228">
        <v>174</v>
      </c>
      <c r="CA172" s="228">
        <v>1</v>
      </c>
      <c r="CB172" s="229">
        <v>7.7999999999999996E-3</v>
      </c>
      <c r="CC172" s="228">
        <v>176</v>
      </c>
      <c r="CD172" s="228">
        <v>174</v>
      </c>
      <c r="CE172" s="228">
        <v>1</v>
      </c>
      <c r="CF172" s="229">
        <v>7.7999999999999996E-3</v>
      </c>
      <c r="CG172" s="228">
        <v>0</v>
      </c>
      <c r="CH172" s="228">
        <v>0</v>
      </c>
      <c r="CI172" s="228">
        <v>0</v>
      </c>
      <c r="CJ172" s="229">
        <v>0</v>
      </c>
      <c r="CK172" s="228">
        <v>0</v>
      </c>
      <c r="CL172" s="228">
        <v>0</v>
      </c>
      <c r="CM172" s="228">
        <v>0</v>
      </c>
      <c r="CN172" s="229">
        <v>0</v>
      </c>
      <c r="CO172" s="228">
        <v>82</v>
      </c>
      <c r="CP172" s="228">
        <v>85</v>
      </c>
      <c r="CQ172" s="228">
        <v>-3</v>
      </c>
      <c r="CR172" s="229">
        <v>-3.2599999999999997E-2</v>
      </c>
      <c r="CS172" s="228">
        <v>49</v>
      </c>
      <c r="CT172" s="228">
        <v>49</v>
      </c>
      <c r="CU172" s="228">
        <v>0</v>
      </c>
      <c r="CV172" s="229">
        <v>-8.0000000000000004E-4</v>
      </c>
      <c r="CW172" s="228">
        <v>307</v>
      </c>
      <c r="CX172" s="228">
        <v>309</v>
      </c>
      <c r="CY172" s="228">
        <v>-1</v>
      </c>
      <c r="CZ172" s="229">
        <v>-4.7000000000000002E-3</v>
      </c>
      <c r="DA172" s="228">
        <v>37.65</v>
      </c>
      <c r="DB172" s="228">
        <v>39.35</v>
      </c>
      <c r="DC172" s="228">
        <v>-1.7</v>
      </c>
      <c r="DD172" s="228">
        <v>-1.7</v>
      </c>
      <c r="DE172" s="228">
        <v>43.26</v>
      </c>
      <c r="DF172" s="228">
        <v>43.37</v>
      </c>
      <c r="DG172" s="228">
        <v>-5.61</v>
      </c>
      <c r="DH172" s="228">
        <v>-0.11</v>
      </c>
      <c r="DI172" s="228">
        <v>37.42</v>
      </c>
      <c r="DJ172" s="228">
        <v>39.049999999999997</v>
      </c>
      <c r="DK172" s="228">
        <v>-1.63</v>
      </c>
      <c r="DL172" s="228">
        <v>-1.63</v>
      </c>
      <c r="DM172" s="228">
        <v>38.58</v>
      </c>
      <c r="DN172" s="228">
        <v>40.24</v>
      </c>
      <c r="DO172" s="228">
        <v>-1.66</v>
      </c>
      <c r="DP172" s="228">
        <v>-1.66</v>
      </c>
      <c r="DQ172" s="228">
        <v>0.6</v>
      </c>
      <c r="DR172" s="228">
        <v>0.57999999999999996</v>
      </c>
      <c r="DS172" s="228">
        <v>0.02</v>
      </c>
      <c r="DT172" s="229">
        <v>3.4500000000000003E-2</v>
      </c>
      <c r="DU172" s="228">
        <v>150</v>
      </c>
      <c r="DV172" s="228">
        <v>150</v>
      </c>
      <c r="DW172" s="228">
        <v>0.25</v>
      </c>
      <c r="DX172" s="228">
        <v>0.34</v>
      </c>
      <c r="DY172" s="228">
        <v>-0.09</v>
      </c>
      <c r="DZ172" s="229">
        <v>-0.26469999999999999</v>
      </c>
      <c r="EA172" s="229">
        <v>0</v>
      </c>
      <c r="EB172" s="228">
        <v>0</v>
      </c>
      <c r="EC172" s="229">
        <v>0</v>
      </c>
      <c r="ED172" s="229">
        <v>0</v>
      </c>
      <c r="EE172" s="228">
        <v>0</v>
      </c>
      <c r="EF172" s="229">
        <v>0</v>
      </c>
      <c r="EG172" s="230">
        <v>843228</v>
      </c>
      <c r="EH172" s="230">
        <v>1299413</v>
      </c>
      <c r="EI172" s="229">
        <v>-0.35110000000000002</v>
      </c>
      <c r="EJ172" s="229">
        <v>0.37519999999999998</v>
      </c>
      <c r="EK172" s="228">
        <v>89.37</v>
      </c>
      <c r="EL172" s="228">
        <v>21.24</v>
      </c>
      <c r="EM172" s="228">
        <v>32.270000000000003</v>
      </c>
      <c r="EN172" s="228">
        <v>9.76</v>
      </c>
      <c r="EO172" s="228">
        <v>142.87</v>
      </c>
      <c r="EP172" s="228">
        <v>155.87</v>
      </c>
      <c r="EQ172" s="228">
        <v>-13</v>
      </c>
      <c r="ER172" s="229">
        <v>-8.3400000000000002E-2</v>
      </c>
      <c r="ES172" s="228">
        <v>86.36</v>
      </c>
      <c r="ET172" s="228">
        <v>48.54</v>
      </c>
      <c r="EU172" s="228">
        <v>175.78</v>
      </c>
      <c r="EV172" s="231">
        <v>92833839</v>
      </c>
      <c r="EW172" s="228">
        <v>310.67</v>
      </c>
      <c r="EX172" s="228">
        <v>311.64</v>
      </c>
      <c r="EY172" s="228">
        <v>-0.97</v>
      </c>
      <c r="EZ172" s="229">
        <v>-3.0999999999999999E-3</v>
      </c>
      <c r="FA172" s="229">
        <v>0.22289999999999999</v>
      </c>
      <c r="FB172" s="227" t="s">
        <v>555</v>
      </c>
      <c r="FC172">
        <f t="shared" si="3"/>
        <v>0</v>
      </c>
    </row>
    <row r="173" spans="1:159" ht="17.25" thickBot="1" x14ac:dyDescent="0.3">
      <c r="A173" s="226">
        <v>46129</v>
      </c>
      <c r="B173" s="227" t="s">
        <v>184</v>
      </c>
      <c r="C173" s="227" t="s">
        <v>688</v>
      </c>
      <c r="D173" s="228">
        <v>575</v>
      </c>
      <c r="E173" s="228">
        <v>11</v>
      </c>
      <c r="F173" s="231">
        <v>1006.65</v>
      </c>
      <c r="G173" s="231">
        <v>1004.05</v>
      </c>
      <c r="H173" s="228">
        <v>2.6</v>
      </c>
      <c r="I173" s="229">
        <v>2.5999999999999999E-3</v>
      </c>
      <c r="J173" s="231">
        <v>1034.5999999999999</v>
      </c>
      <c r="K173" s="231">
        <v>1003.1</v>
      </c>
      <c r="L173" s="228">
        <v>31.5</v>
      </c>
      <c r="M173" s="229">
        <v>3.1399999999999997E-2</v>
      </c>
      <c r="N173" s="231">
        <v>1006.65</v>
      </c>
      <c r="O173" s="231">
        <v>1004.05</v>
      </c>
      <c r="P173" s="228">
        <v>2.6</v>
      </c>
      <c r="Q173" s="229">
        <v>2.5999999999999999E-3</v>
      </c>
      <c r="R173" s="228">
        <v>991.6</v>
      </c>
      <c r="S173" s="228">
        <v>992.5</v>
      </c>
      <c r="T173" s="228">
        <v>-0.9</v>
      </c>
      <c r="U173" s="229">
        <v>-8.9999999999999998E-4</v>
      </c>
      <c r="V173" s="231">
        <v>1001.5</v>
      </c>
      <c r="W173" s="228">
        <v>987.45</v>
      </c>
      <c r="X173" s="228">
        <v>14.05</v>
      </c>
      <c r="Y173" s="229">
        <v>1.4200000000000001E-2</v>
      </c>
      <c r="Z173" s="228">
        <v>-27.95</v>
      </c>
      <c r="AA173" s="228">
        <v>0.95</v>
      </c>
      <c r="AB173" s="228">
        <v>-28.9</v>
      </c>
      <c r="AC173" s="229">
        <v>-2.7E-2</v>
      </c>
      <c r="AD173" s="228">
        <v>-27.95</v>
      </c>
      <c r="AE173" s="228">
        <v>0.95</v>
      </c>
      <c r="AF173" s="228">
        <v>-28.9</v>
      </c>
      <c r="AG173" s="229">
        <v>-2.7E-2</v>
      </c>
      <c r="AH173" s="228">
        <v>-43</v>
      </c>
      <c r="AI173" s="228">
        <v>-10.6</v>
      </c>
      <c r="AJ173" s="228">
        <v>-32.4</v>
      </c>
      <c r="AK173" s="229">
        <v>-4.1599999999999998E-2</v>
      </c>
      <c r="AL173" s="228">
        <v>-33.1</v>
      </c>
      <c r="AM173" s="228">
        <v>-15.65</v>
      </c>
      <c r="AN173" s="228">
        <v>-17.45</v>
      </c>
      <c r="AO173" s="229">
        <v>-3.2000000000000001E-2</v>
      </c>
      <c r="AP173" s="231">
        <v>1009.26</v>
      </c>
      <c r="AQ173" s="228">
        <v>995.46</v>
      </c>
      <c r="AR173" s="228">
        <v>0</v>
      </c>
      <c r="AS173" s="228">
        <v>679</v>
      </c>
      <c r="AT173" s="228">
        <v>290</v>
      </c>
      <c r="AU173" s="228">
        <v>389</v>
      </c>
      <c r="AV173" s="229">
        <v>1.3416999999999999</v>
      </c>
      <c r="AW173" s="228">
        <v>547</v>
      </c>
      <c r="AX173" s="228">
        <v>197</v>
      </c>
      <c r="AY173" s="228">
        <v>350</v>
      </c>
      <c r="AZ173" s="229">
        <v>1.7789999999999999</v>
      </c>
      <c r="BA173" s="228">
        <v>131</v>
      </c>
      <c r="BB173" s="228">
        <v>93</v>
      </c>
      <c r="BC173" s="228">
        <v>39</v>
      </c>
      <c r="BD173" s="229">
        <v>0.41749999999999998</v>
      </c>
      <c r="BE173" s="228">
        <v>0</v>
      </c>
      <c r="BF173" s="228">
        <v>0</v>
      </c>
      <c r="BG173" s="228">
        <v>0</v>
      </c>
      <c r="BH173" s="229">
        <v>-0.16669999999999999</v>
      </c>
      <c r="BI173" s="228">
        <v>454</v>
      </c>
      <c r="BJ173" s="228">
        <v>241</v>
      </c>
      <c r="BK173" s="228">
        <v>213</v>
      </c>
      <c r="BL173" s="229">
        <v>0.88170000000000004</v>
      </c>
      <c r="BM173" s="228">
        <v>312</v>
      </c>
      <c r="BN173" s="228">
        <v>106</v>
      </c>
      <c r="BO173" s="228">
        <v>206</v>
      </c>
      <c r="BP173" s="229">
        <v>1.9556</v>
      </c>
      <c r="BQ173" s="230">
        <v>1445</v>
      </c>
      <c r="BR173" s="228">
        <v>637</v>
      </c>
      <c r="BS173" s="228">
        <v>808</v>
      </c>
      <c r="BT173" s="229">
        <v>1.2690999999999999</v>
      </c>
      <c r="BU173" s="230">
        <v>7485168</v>
      </c>
      <c r="BV173" s="230">
        <v>957309</v>
      </c>
      <c r="BW173" s="230">
        <v>6527859</v>
      </c>
      <c r="BX173" s="229">
        <v>6.819</v>
      </c>
      <c r="BY173" s="230">
        <v>1326</v>
      </c>
      <c r="BZ173" s="230">
        <v>1101</v>
      </c>
      <c r="CA173" s="228">
        <v>225</v>
      </c>
      <c r="CB173" s="229">
        <v>0.2039</v>
      </c>
      <c r="CC173" s="230">
        <v>1127</v>
      </c>
      <c r="CD173" s="230">
        <v>1000</v>
      </c>
      <c r="CE173" s="228">
        <v>127</v>
      </c>
      <c r="CF173" s="229">
        <v>0.1273</v>
      </c>
      <c r="CG173" s="228">
        <v>198</v>
      </c>
      <c r="CH173" s="228">
        <v>100</v>
      </c>
      <c r="CI173" s="228">
        <v>97</v>
      </c>
      <c r="CJ173" s="229">
        <v>0.9677</v>
      </c>
      <c r="CK173" s="228">
        <v>1</v>
      </c>
      <c r="CL173" s="228">
        <v>1</v>
      </c>
      <c r="CM173" s="228">
        <v>0</v>
      </c>
      <c r="CN173" s="229">
        <v>0</v>
      </c>
      <c r="CO173" s="228">
        <v>223</v>
      </c>
      <c r="CP173" s="228">
        <v>211</v>
      </c>
      <c r="CQ173" s="228">
        <v>11</v>
      </c>
      <c r="CR173" s="229">
        <v>5.3699999999999998E-2</v>
      </c>
      <c r="CS173" s="228">
        <v>181</v>
      </c>
      <c r="CT173" s="228">
        <v>174</v>
      </c>
      <c r="CU173" s="228">
        <v>7</v>
      </c>
      <c r="CV173" s="229">
        <v>4.2700000000000002E-2</v>
      </c>
      <c r="CW173" s="230">
        <v>1730</v>
      </c>
      <c r="CX173" s="230">
        <v>1486</v>
      </c>
      <c r="CY173" s="228">
        <v>243</v>
      </c>
      <c r="CZ173" s="229">
        <v>0.16370000000000001</v>
      </c>
      <c r="DA173" s="228">
        <v>41.62</v>
      </c>
      <c r="DB173" s="228">
        <v>41.55</v>
      </c>
      <c r="DC173" s="228">
        <v>7.0000000000000007E-2</v>
      </c>
      <c r="DD173" s="228">
        <v>7.0000000000000007E-2</v>
      </c>
      <c r="DE173" s="228">
        <v>48.93</v>
      </c>
      <c r="DF173" s="228">
        <v>49.06</v>
      </c>
      <c r="DG173" s="228">
        <v>-7.31</v>
      </c>
      <c r="DH173" s="228">
        <v>-0.13</v>
      </c>
      <c r="DI173" s="228">
        <v>40.72</v>
      </c>
      <c r="DJ173" s="228">
        <v>40.840000000000003</v>
      </c>
      <c r="DK173" s="228">
        <v>-0.12</v>
      </c>
      <c r="DL173" s="228">
        <v>-0.12</v>
      </c>
      <c r="DM173" s="228">
        <v>42.92</v>
      </c>
      <c r="DN173" s="228">
        <v>43.17</v>
      </c>
      <c r="DO173" s="228">
        <v>-0.25</v>
      </c>
      <c r="DP173" s="228">
        <v>-0.25</v>
      </c>
      <c r="DQ173" s="228">
        <v>0.81</v>
      </c>
      <c r="DR173" s="228">
        <v>0.82</v>
      </c>
      <c r="DS173" s="228">
        <v>-0.01</v>
      </c>
      <c r="DT173" s="229">
        <v>-1.2200000000000001E-2</v>
      </c>
      <c r="DU173" s="231">
        <v>1000</v>
      </c>
      <c r="DV173" s="228">
        <v>960</v>
      </c>
      <c r="DW173" s="228">
        <v>0.69</v>
      </c>
      <c r="DX173" s="228">
        <v>0.44</v>
      </c>
      <c r="DY173" s="228">
        <v>0.25</v>
      </c>
      <c r="DZ173" s="229">
        <v>0.56820000000000004</v>
      </c>
      <c r="EA173" s="229">
        <v>0.1497</v>
      </c>
      <c r="EB173" s="230">
        <v>1006250</v>
      </c>
      <c r="EC173" s="229">
        <v>-1.4999999999999999E-2</v>
      </c>
      <c r="ED173" s="229">
        <v>0.1497</v>
      </c>
      <c r="EE173" s="228">
        <v>-13.8</v>
      </c>
      <c r="EF173" s="229">
        <v>-1.37E-2</v>
      </c>
      <c r="EG173" s="230">
        <v>4650294</v>
      </c>
      <c r="EH173" s="230">
        <v>301695</v>
      </c>
      <c r="EI173" s="229">
        <v>14.4139</v>
      </c>
      <c r="EJ173" s="229">
        <v>0.62129999999999996</v>
      </c>
      <c r="EK173" s="228">
        <v>473.79</v>
      </c>
      <c r="EL173" s="228">
        <v>295.22000000000003</v>
      </c>
      <c r="EM173" s="228">
        <v>678.74</v>
      </c>
      <c r="EN173" s="228">
        <v>38.65</v>
      </c>
      <c r="EO173" s="231">
        <v>1447.76</v>
      </c>
      <c r="EP173" s="228">
        <v>639.11</v>
      </c>
      <c r="EQ173" s="228">
        <v>808.65</v>
      </c>
      <c r="ER173" s="229">
        <v>1.2653000000000001</v>
      </c>
      <c r="ES173" s="228">
        <v>218.37</v>
      </c>
      <c r="ET173" s="228">
        <v>163.99</v>
      </c>
      <c r="EU173" s="231">
        <v>1322.95</v>
      </c>
      <c r="EV173" s="231">
        <v>23961540</v>
      </c>
      <c r="EW173" s="231">
        <v>1705.31</v>
      </c>
      <c r="EX173" s="231">
        <v>1459.1</v>
      </c>
      <c r="EY173" s="228">
        <v>246.21</v>
      </c>
      <c r="EZ173" s="229">
        <v>0.16869999999999999</v>
      </c>
      <c r="FA173" s="229">
        <v>0.71709999999999996</v>
      </c>
      <c r="FB173" s="227" t="s">
        <v>555</v>
      </c>
      <c r="FC173">
        <f t="shared" si="3"/>
        <v>0</v>
      </c>
    </row>
    <row r="174" spans="1:159" ht="17.25" thickBot="1" x14ac:dyDescent="0.3">
      <c r="A174" s="226">
        <v>46129</v>
      </c>
      <c r="B174" s="227" t="s">
        <v>206</v>
      </c>
      <c r="C174" s="227" t="s">
        <v>604</v>
      </c>
      <c r="D174" s="228">
        <v>450</v>
      </c>
      <c r="E174" s="228">
        <v>11</v>
      </c>
      <c r="F174" s="231">
        <v>1357.6</v>
      </c>
      <c r="G174" s="231">
        <v>1339</v>
      </c>
      <c r="H174" s="228">
        <v>18.600000000000001</v>
      </c>
      <c r="I174" s="229">
        <v>1.3899999999999999E-2</v>
      </c>
      <c r="J174" s="231">
        <v>1356.8</v>
      </c>
      <c r="K174" s="231">
        <v>1337.9</v>
      </c>
      <c r="L174" s="228">
        <v>18.899999999999999</v>
      </c>
      <c r="M174" s="229">
        <v>1.41E-2</v>
      </c>
      <c r="N174" s="231">
        <v>1357.6</v>
      </c>
      <c r="O174" s="231">
        <v>1339</v>
      </c>
      <c r="P174" s="228">
        <v>18.600000000000001</v>
      </c>
      <c r="Q174" s="229">
        <v>1.3899999999999999E-2</v>
      </c>
      <c r="R174" s="231">
        <v>1362.2</v>
      </c>
      <c r="S174" s="231">
        <v>1344.2</v>
      </c>
      <c r="T174" s="228">
        <v>18</v>
      </c>
      <c r="U174" s="229">
        <v>1.34E-2</v>
      </c>
      <c r="V174" s="231">
        <v>1366.2</v>
      </c>
      <c r="W174" s="231">
        <v>1337.9</v>
      </c>
      <c r="X174" s="228">
        <v>28.3</v>
      </c>
      <c r="Y174" s="229">
        <v>2.12E-2</v>
      </c>
      <c r="Z174" s="228">
        <v>0.8</v>
      </c>
      <c r="AA174" s="228">
        <v>1.1000000000000001</v>
      </c>
      <c r="AB174" s="228">
        <v>-0.3</v>
      </c>
      <c r="AC174" s="229">
        <v>5.9999999999999995E-4</v>
      </c>
      <c r="AD174" s="228">
        <v>0.8</v>
      </c>
      <c r="AE174" s="228">
        <v>1.1000000000000001</v>
      </c>
      <c r="AF174" s="228">
        <v>-0.3</v>
      </c>
      <c r="AG174" s="229">
        <v>5.9999999999999995E-4</v>
      </c>
      <c r="AH174" s="228">
        <v>5.4</v>
      </c>
      <c r="AI174" s="228">
        <v>6.3</v>
      </c>
      <c r="AJ174" s="228">
        <v>-0.9</v>
      </c>
      <c r="AK174" s="229">
        <v>4.0000000000000001E-3</v>
      </c>
      <c r="AL174" s="228">
        <v>9.4</v>
      </c>
      <c r="AM174" s="228">
        <v>0</v>
      </c>
      <c r="AN174" s="228">
        <v>9.4</v>
      </c>
      <c r="AO174" s="229">
        <v>6.8999999999999999E-3</v>
      </c>
      <c r="AP174" s="231">
        <v>1353.87</v>
      </c>
      <c r="AQ174" s="231">
        <v>1357.7</v>
      </c>
      <c r="AR174" s="228">
        <v>0</v>
      </c>
      <c r="AS174" s="228">
        <v>146</v>
      </c>
      <c r="AT174" s="228">
        <v>115</v>
      </c>
      <c r="AU174" s="228">
        <v>31</v>
      </c>
      <c r="AV174" s="229">
        <v>0.26669999999999999</v>
      </c>
      <c r="AW174" s="228">
        <v>142</v>
      </c>
      <c r="AX174" s="228">
        <v>109</v>
      </c>
      <c r="AY174" s="228">
        <v>33</v>
      </c>
      <c r="AZ174" s="229">
        <v>0.30640000000000001</v>
      </c>
      <c r="BA174" s="228">
        <v>4</v>
      </c>
      <c r="BB174" s="228">
        <v>6</v>
      </c>
      <c r="BC174" s="228">
        <v>-3</v>
      </c>
      <c r="BD174" s="229">
        <v>-0.42449999999999999</v>
      </c>
      <c r="BE174" s="228">
        <v>0</v>
      </c>
      <c r="BF174" s="228">
        <v>0</v>
      </c>
      <c r="BG174" s="228">
        <v>0</v>
      </c>
      <c r="BH174" s="229">
        <v>1.5</v>
      </c>
      <c r="BI174" s="228">
        <v>336</v>
      </c>
      <c r="BJ174" s="228">
        <v>329</v>
      </c>
      <c r="BK174" s="228">
        <v>6</v>
      </c>
      <c r="BL174" s="229">
        <v>1.9099999999999999E-2</v>
      </c>
      <c r="BM174" s="228">
        <v>144</v>
      </c>
      <c r="BN174" s="228">
        <v>217</v>
      </c>
      <c r="BO174" s="228">
        <v>-73</v>
      </c>
      <c r="BP174" s="229">
        <v>-0.3372</v>
      </c>
      <c r="BQ174" s="228">
        <v>626</v>
      </c>
      <c r="BR174" s="228">
        <v>662</v>
      </c>
      <c r="BS174" s="228">
        <v>-36</v>
      </c>
      <c r="BT174" s="229">
        <v>-5.4399999999999997E-2</v>
      </c>
      <c r="BU174" s="230">
        <v>856464</v>
      </c>
      <c r="BV174" s="230">
        <v>1108207</v>
      </c>
      <c r="BW174" s="230">
        <v>-251743</v>
      </c>
      <c r="BX174" s="229">
        <v>-0.22720000000000001</v>
      </c>
      <c r="BY174" s="228">
        <v>941</v>
      </c>
      <c r="BZ174" s="228">
        <v>954</v>
      </c>
      <c r="CA174" s="228">
        <v>-13</v>
      </c>
      <c r="CB174" s="229">
        <v>-1.3299999999999999E-2</v>
      </c>
      <c r="CC174" s="228">
        <v>930</v>
      </c>
      <c r="CD174" s="228">
        <v>942</v>
      </c>
      <c r="CE174" s="228">
        <v>-12</v>
      </c>
      <c r="CF174" s="229">
        <v>-1.2999999999999999E-2</v>
      </c>
      <c r="CG174" s="228">
        <v>11</v>
      </c>
      <c r="CH174" s="228">
        <v>11</v>
      </c>
      <c r="CI174" s="228">
        <v>-1</v>
      </c>
      <c r="CJ174" s="229">
        <v>-4.8599999999999997E-2</v>
      </c>
      <c r="CK174" s="228">
        <v>1</v>
      </c>
      <c r="CL174" s="228">
        <v>1</v>
      </c>
      <c r="CM174" s="228">
        <v>0</v>
      </c>
      <c r="CN174" s="229">
        <v>0.23080000000000001</v>
      </c>
      <c r="CO174" s="228">
        <v>300</v>
      </c>
      <c r="CP174" s="228">
        <v>316</v>
      </c>
      <c r="CQ174" s="228">
        <v>-16</v>
      </c>
      <c r="CR174" s="229">
        <v>-5.0700000000000002E-2</v>
      </c>
      <c r="CS174" s="228">
        <v>223</v>
      </c>
      <c r="CT174" s="228">
        <v>214</v>
      </c>
      <c r="CU174" s="228">
        <v>9</v>
      </c>
      <c r="CV174" s="229">
        <v>4.1000000000000002E-2</v>
      </c>
      <c r="CW174" s="230">
        <v>1465</v>
      </c>
      <c r="CX174" s="230">
        <v>1484</v>
      </c>
      <c r="CY174" s="228">
        <v>-20</v>
      </c>
      <c r="CZ174" s="229">
        <v>-1.34E-2</v>
      </c>
      <c r="DA174" s="228">
        <v>40.200000000000003</v>
      </c>
      <c r="DB174" s="228">
        <v>42.84</v>
      </c>
      <c r="DC174" s="228">
        <v>-2.64</v>
      </c>
      <c r="DD174" s="228">
        <v>-2.64</v>
      </c>
      <c r="DE174" s="228">
        <v>44.91</v>
      </c>
      <c r="DF174" s="228">
        <v>44.98</v>
      </c>
      <c r="DG174" s="228">
        <v>-4.71</v>
      </c>
      <c r="DH174" s="228">
        <v>-7.0000000000000007E-2</v>
      </c>
      <c r="DI174" s="228">
        <v>37.4</v>
      </c>
      <c r="DJ174" s="228">
        <v>38.65</v>
      </c>
      <c r="DK174" s="228">
        <v>-1.25</v>
      </c>
      <c r="DL174" s="228">
        <v>-1.25</v>
      </c>
      <c r="DM174" s="228">
        <v>46.74</v>
      </c>
      <c r="DN174" s="228">
        <v>49.21</v>
      </c>
      <c r="DO174" s="228">
        <v>-2.4700000000000002</v>
      </c>
      <c r="DP174" s="228">
        <v>-2.4700000000000002</v>
      </c>
      <c r="DQ174" s="228">
        <v>0.74</v>
      </c>
      <c r="DR174" s="228">
        <v>0.68</v>
      </c>
      <c r="DS174" s="228">
        <v>0.06</v>
      </c>
      <c r="DT174" s="229">
        <v>8.8200000000000001E-2</v>
      </c>
      <c r="DU174" s="231">
        <v>1400</v>
      </c>
      <c r="DV174" s="231">
        <v>1200</v>
      </c>
      <c r="DW174" s="228">
        <v>0.43</v>
      </c>
      <c r="DX174" s="228">
        <v>0.66</v>
      </c>
      <c r="DY174" s="228">
        <v>-0.23</v>
      </c>
      <c r="DZ174" s="229">
        <v>-0.34849999999999998</v>
      </c>
      <c r="EA174" s="229">
        <v>1.2500000000000001E-2</v>
      </c>
      <c r="EB174" s="230">
        <v>89100</v>
      </c>
      <c r="EC174" s="229">
        <v>3.3999999999999998E-3</v>
      </c>
      <c r="ED174" s="229">
        <v>1.2500000000000001E-2</v>
      </c>
      <c r="EE174" s="228">
        <v>3.83</v>
      </c>
      <c r="EF174" s="229">
        <v>2.8E-3</v>
      </c>
      <c r="EG174" s="230">
        <v>449840</v>
      </c>
      <c r="EH174" s="230">
        <v>482662</v>
      </c>
      <c r="EI174" s="229">
        <v>-6.8000000000000005E-2</v>
      </c>
      <c r="EJ174" s="229">
        <v>0.5252</v>
      </c>
      <c r="EK174" s="228">
        <v>353.61</v>
      </c>
      <c r="EL174" s="228">
        <v>136.36000000000001</v>
      </c>
      <c r="EM174" s="228">
        <v>145.87</v>
      </c>
      <c r="EN174" s="228">
        <v>24.6</v>
      </c>
      <c r="EO174" s="228">
        <v>635.84</v>
      </c>
      <c r="EP174" s="228">
        <v>657.88</v>
      </c>
      <c r="EQ174" s="228">
        <v>-22.04</v>
      </c>
      <c r="ER174" s="229">
        <v>-3.3500000000000002E-2</v>
      </c>
      <c r="ES174" s="228">
        <v>301.69</v>
      </c>
      <c r="ET174" s="228">
        <v>201.2</v>
      </c>
      <c r="EU174" s="228">
        <v>941.47</v>
      </c>
      <c r="EV174" s="231">
        <v>25234534</v>
      </c>
      <c r="EW174" s="231">
        <v>1444.37</v>
      </c>
      <c r="EX174" s="231">
        <v>1452.11</v>
      </c>
      <c r="EY174" s="228">
        <v>-7.74</v>
      </c>
      <c r="EZ174" s="229">
        <v>-5.3E-3</v>
      </c>
      <c r="FA174" s="229">
        <v>0.42749999999999999</v>
      </c>
      <c r="FB174" s="227" t="s">
        <v>693</v>
      </c>
      <c r="FC174">
        <f t="shared" si="3"/>
        <v>0</v>
      </c>
    </row>
    <row r="175" spans="1:159" ht="17.25" thickBot="1" x14ac:dyDescent="0.3">
      <c r="A175" s="226">
        <v>46129</v>
      </c>
      <c r="B175" s="227" t="s">
        <v>172</v>
      </c>
      <c r="C175" s="227" t="s">
        <v>279</v>
      </c>
      <c r="D175" s="228">
        <v>3175</v>
      </c>
      <c r="E175" s="228">
        <v>11</v>
      </c>
      <c r="F175" s="228">
        <v>316.64999999999998</v>
      </c>
      <c r="G175" s="228">
        <v>315.95</v>
      </c>
      <c r="H175" s="228">
        <v>0.7</v>
      </c>
      <c r="I175" s="229">
        <v>2.2000000000000001E-3</v>
      </c>
      <c r="J175" s="228">
        <v>315.55</v>
      </c>
      <c r="K175" s="228">
        <v>315.89999999999998</v>
      </c>
      <c r="L175" s="228">
        <v>-0.35</v>
      </c>
      <c r="M175" s="229">
        <v>-1.1000000000000001E-3</v>
      </c>
      <c r="N175" s="228">
        <v>316.64999999999998</v>
      </c>
      <c r="O175" s="228">
        <v>315.95</v>
      </c>
      <c r="P175" s="228">
        <v>0.7</v>
      </c>
      <c r="Q175" s="229">
        <v>2.2000000000000001E-3</v>
      </c>
      <c r="R175" s="228">
        <v>318.2</v>
      </c>
      <c r="S175" s="228">
        <v>318</v>
      </c>
      <c r="T175" s="228">
        <v>0.2</v>
      </c>
      <c r="U175" s="229">
        <v>5.9999999999999995E-4</v>
      </c>
      <c r="V175" s="228">
        <v>317.5</v>
      </c>
      <c r="W175" s="228">
        <v>319.7</v>
      </c>
      <c r="X175" s="228">
        <v>-2.2000000000000002</v>
      </c>
      <c r="Y175" s="229">
        <v>-6.8999999999999999E-3</v>
      </c>
      <c r="Z175" s="228">
        <v>1.1000000000000001</v>
      </c>
      <c r="AA175" s="228">
        <v>0.05</v>
      </c>
      <c r="AB175" s="228">
        <v>1.05</v>
      </c>
      <c r="AC175" s="229">
        <v>3.5000000000000001E-3</v>
      </c>
      <c r="AD175" s="228">
        <v>1.1000000000000001</v>
      </c>
      <c r="AE175" s="228">
        <v>0.05</v>
      </c>
      <c r="AF175" s="228">
        <v>1.05</v>
      </c>
      <c r="AG175" s="229">
        <v>3.5000000000000001E-3</v>
      </c>
      <c r="AH175" s="228">
        <v>2.65</v>
      </c>
      <c r="AI175" s="228">
        <v>2.1</v>
      </c>
      <c r="AJ175" s="228">
        <v>0.55000000000000004</v>
      </c>
      <c r="AK175" s="229">
        <v>8.3999999999999995E-3</v>
      </c>
      <c r="AL175" s="228">
        <v>1.95</v>
      </c>
      <c r="AM175" s="228">
        <v>3.8</v>
      </c>
      <c r="AN175" s="228">
        <v>-1.85</v>
      </c>
      <c r="AO175" s="229">
        <v>6.1999999999999998E-3</v>
      </c>
      <c r="AP175" s="228">
        <v>315.42</v>
      </c>
      <c r="AQ175" s="228">
        <v>317.63</v>
      </c>
      <c r="AR175" s="228">
        <v>0</v>
      </c>
      <c r="AS175" s="228">
        <v>247</v>
      </c>
      <c r="AT175" s="228">
        <v>296</v>
      </c>
      <c r="AU175" s="228">
        <v>-49</v>
      </c>
      <c r="AV175" s="229">
        <v>-0.16500000000000001</v>
      </c>
      <c r="AW175" s="228">
        <v>225</v>
      </c>
      <c r="AX175" s="228">
        <v>267</v>
      </c>
      <c r="AY175" s="228">
        <v>-42</v>
      </c>
      <c r="AZ175" s="229">
        <v>-0.15709999999999999</v>
      </c>
      <c r="BA175" s="228">
        <v>21</v>
      </c>
      <c r="BB175" s="228">
        <v>28</v>
      </c>
      <c r="BC175" s="228">
        <v>-7</v>
      </c>
      <c r="BD175" s="229">
        <v>-0.25</v>
      </c>
      <c r="BE175" s="228">
        <v>1</v>
      </c>
      <c r="BF175" s="228">
        <v>1</v>
      </c>
      <c r="BG175" s="228">
        <v>0</v>
      </c>
      <c r="BH175" s="229">
        <v>0.1111</v>
      </c>
      <c r="BI175" s="230">
        <v>1091</v>
      </c>
      <c r="BJ175" s="228">
        <v>750</v>
      </c>
      <c r="BK175" s="228">
        <v>340</v>
      </c>
      <c r="BL175" s="229">
        <v>0.45340000000000003</v>
      </c>
      <c r="BM175" s="228">
        <v>425</v>
      </c>
      <c r="BN175" s="228">
        <v>431</v>
      </c>
      <c r="BO175" s="228">
        <v>-6</v>
      </c>
      <c r="BP175" s="229">
        <v>-1.35E-2</v>
      </c>
      <c r="BQ175" s="230">
        <v>1763</v>
      </c>
      <c r="BR175" s="230">
        <v>1478</v>
      </c>
      <c r="BS175" s="228">
        <v>286</v>
      </c>
      <c r="BT175" s="229">
        <v>0.19320000000000001</v>
      </c>
      <c r="BU175" s="230">
        <v>3345655</v>
      </c>
      <c r="BV175" s="230">
        <v>3111149</v>
      </c>
      <c r="BW175" s="230">
        <v>234506</v>
      </c>
      <c r="BX175" s="229">
        <v>7.5399999999999995E-2</v>
      </c>
      <c r="BY175" s="230">
        <v>1948</v>
      </c>
      <c r="BZ175" s="230">
        <v>1958</v>
      </c>
      <c r="CA175" s="228">
        <v>-10</v>
      </c>
      <c r="CB175" s="229">
        <v>-5.0000000000000001E-3</v>
      </c>
      <c r="CC175" s="230">
        <v>1906</v>
      </c>
      <c r="CD175" s="230">
        <v>1922</v>
      </c>
      <c r="CE175" s="228">
        <v>-16</v>
      </c>
      <c r="CF175" s="229">
        <v>-8.3999999999999995E-3</v>
      </c>
      <c r="CG175" s="228">
        <v>39</v>
      </c>
      <c r="CH175" s="228">
        <v>33</v>
      </c>
      <c r="CI175" s="228">
        <v>6</v>
      </c>
      <c r="CJ175" s="229">
        <v>0.17849999999999999</v>
      </c>
      <c r="CK175" s="228">
        <v>4</v>
      </c>
      <c r="CL175" s="228">
        <v>3</v>
      </c>
      <c r="CM175" s="228">
        <v>1</v>
      </c>
      <c r="CN175" s="229">
        <v>0.1515</v>
      </c>
      <c r="CO175" s="228">
        <v>973</v>
      </c>
      <c r="CP175" s="228">
        <v>985</v>
      </c>
      <c r="CQ175" s="228">
        <v>-12</v>
      </c>
      <c r="CR175" s="229">
        <v>-1.17E-2</v>
      </c>
      <c r="CS175" s="228">
        <v>877</v>
      </c>
      <c r="CT175" s="228">
        <v>863</v>
      </c>
      <c r="CU175" s="228">
        <v>14</v>
      </c>
      <c r="CV175" s="229">
        <v>1.6E-2</v>
      </c>
      <c r="CW175" s="230">
        <v>3798</v>
      </c>
      <c r="CX175" s="230">
        <v>3806</v>
      </c>
      <c r="CY175" s="228">
        <v>-8</v>
      </c>
      <c r="CZ175" s="229">
        <v>-2E-3</v>
      </c>
      <c r="DA175" s="228">
        <v>31.87</v>
      </c>
      <c r="DB175" s="228">
        <v>34.83</v>
      </c>
      <c r="DC175" s="228">
        <v>-2.96</v>
      </c>
      <c r="DD175" s="228">
        <v>-2.96</v>
      </c>
      <c r="DE175" s="228">
        <v>43.19</v>
      </c>
      <c r="DF175" s="228">
        <v>43.3</v>
      </c>
      <c r="DG175" s="228">
        <v>-11.32</v>
      </c>
      <c r="DH175" s="228">
        <v>-0.11</v>
      </c>
      <c r="DI175" s="228">
        <v>31.67</v>
      </c>
      <c r="DJ175" s="228">
        <v>34.99</v>
      </c>
      <c r="DK175" s="228">
        <v>-3.32</v>
      </c>
      <c r="DL175" s="228">
        <v>-3.32</v>
      </c>
      <c r="DM175" s="228">
        <v>32.39</v>
      </c>
      <c r="DN175" s="228">
        <v>34.57</v>
      </c>
      <c r="DO175" s="228">
        <v>-2.1800000000000002</v>
      </c>
      <c r="DP175" s="228">
        <v>-2.1800000000000002</v>
      </c>
      <c r="DQ175" s="228">
        <v>0.9</v>
      </c>
      <c r="DR175" s="228">
        <v>0.88</v>
      </c>
      <c r="DS175" s="228">
        <v>0.02</v>
      </c>
      <c r="DT175" s="229">
        <v>2.2700000000000001E-2</v>
      </c>
      <c r="DU175" s="228">
        <v>300</v>
      </c>
      <c r="DV175" s="228">
        <v>280</v>
      </c>
      <c r="DW175" s="228">
        <v>0.39</v>
      </c>
      <c r="DX175" s="228">
        <v>0.56999999999999995</v>
      </c>
      <c r="DY175" s="228">
        <v>-0.18</v>
      </c>
      <c r="DZ175" s="229">
        <v>-0.31580000000000003</v>
      </c>
      <c r="EA175" s="229">
        <v>2.1700000000000001E-2</v>
      </c>
      <c r="EB175" s="230">
        <v>1136650</v>
      </c>
      <c r="EC175" s="229">
        <v>4.8999999999999998E-3</v>
      </c>
      <c r="ED175" s="229">
        <v>2.1700000000000001E-2</v>
      </c>
      <c r="EE175" s="228">
        <v>2.21</v>
      </c>
      <c r="EF175" s="229">
        <v>7.0000000000000001E-3</v>
      </c>
      <c r="EG175" s="230">
        <v>1368788</v>
      </c>
      <c r="EH175" s="230">
        <v>1289065</v>
      </c>
      <c r="EI175" s="229">
        <v>6.1800000000000001E-2</v>
      </c>
      <c r="EJ175" s="229">
        <v>0.40910000000000002</v>
      </c>
      <c r="EK175" s="231">
        <v>1128.4100000000001</v>
      </c>
      <c r="EL175" s="228">
        <v>420.49</v>
      </c>
      <c r="EM175" s="228">
        <v>246.41</v>
      </c>
      <c r="EN175" s="228">
        <v>30.17</v>
      </c>
      <c r="EO175" s="231">
        <v>1795.31</v>
      </c>
      <c r="EP175" s="231">
        <v>1518.12</v>
      </c>
      <c r="EQ175" s="228">
        <v>277.19</v>
      </c>
      <c r="ER175" s="229">
        <v>0.18260000000000001</v>
      </c>
      <c r="ES175" s="228">
        <v>977.98</v>
      </c>
      <c r="ET175" s="228">
        <v>829.6</v>
      </c>
      <c r="EU175" s="231">
        <v>1948.19</v>
      </c>
      <c r="EV175" s="231">
        <v>92573471</v>
      </c>
      <c r="EW175" s="231">
        <v>3755.78</v>
      </c>
      <c r="EX175" s="231">
        <v>3756.96</v>
      </c>
      <c r="EY175" s="228">
        <v>-1.18</v>
      </c>
      <c r="EZ175" s="229">
        <v>-2.9999999999999997E-4</v>
      </c>
      <c r="FA175" s="229">
        <v>1.2957000000000001</v>
      </c>
      <c r="FB175" s="227" t="s">
        <v>693</v>
      </c>
      <c r="FC175">
        <f t="shared" si="3"/>
        <v>0</v>
      </c>
    </row>
    <row r="176" spans="1:159" ht="17.25" thickBot="1" x14ac:dyDescent="0.3">
      <c r="A176" s="226">
        <v>46129</v>
      </c>
      <c r="B176" s="227" t="s">
        <v>175</v>
      </c>
      <c r="C176" s="227" t="s">
        <v>280</v>
      </c>
      <c r="D176" s="228">
        <v>1400</v>
      </c>
      <c r="E176" s="228">
        <v>11</v>
      </c>
      <c r="F176" s="228">
        <v>374.45</v>
      </c>
      <c r="G176" s="228">
        <v>365.15</v>
      </c>
      <c r="H176" s="228">
        <v>9.3000000000000007</v>
      </c>
      <c r="I176" s="229">
        <v>2.5499999999999998E-2</v>
      </c>
      <c r="J176" s="228">
        <v>373.3</v>
      </c>
      <c r="K176" s="228">
        <v>364.2</v>
      </c>
      <c r="L176" s="228">
        <v>9.1</v>
      </c>
      <c r="M176" s="229">
        <v>2.5000000000000001E-2</v>
      </c>
      <c r="N176" s="228">
        <v>374.45</v>
      </c>
      <c r="O176" s="228">
        <v>365.15</v>
      </c>
      <c r="P176" s="228">
        <v>9.3000000000000007</v>
      </c>
      <c r="Q176" s="229">
        <v>2.5499999999999998E-2</v>
      </c>
      <c r="R176" s="228">
        <v>376.5</v>
      </c>
      <c r="S176" s="228">
        <v>367.2</v>
      </c>
      <c r="T176" s="228">
        <v>9.3000000000000007</v>
      </c>
      <c r="U176" s="229">
        <v>2.53E-2</v>
      </c>
      <c r="V176" s="228">
        <v>378.35</v>
      </c>
      <c r="W176" s="228">
        <v>369.6</v>
      </c>
      <c r="X176" s="228">
        <v>8.75</v>
      </c>
      <c r="Y176" s="229">
        <v>2.3699999999999999E-2</v>
      </c>
      <c r="Z176" s="228">
        <v>1.1499999999999999</v>
      </c>
      <c r="AA176" s="228">
        <v>0.95</v>
      </c>
      <c r="AB176" s="228">
        <v>0.2</v>
      </c>
      <c r="AC176" s="229">
        <v>3.0999999999999999E-3</v>
      </c>
      <c r="AD176" s="228">
        <v>1.1499999999999999</v>
      </c>
      <c r="AE176" s="228">
        <v>0.95</v>
      </c>
      <c r="AF176" s="228">
        <v>0.2</v>
      </c>
      <c r="AG176" s="229">
        <v>3.0999999999999999E-3</v>
      </c>
      <c r="AH176" s="228">
        <v>3.2</v>
      </c>
      <c r="AI176" s="228">
        <v>3</v>
      </c>
      <c r="AJ176" s="228">
        <v>0.2</v>
      </c>
      <c r="AK176" s="229">
        <v>8.6E-3</v>
      </c>
      <c r="AL176" s="228">
        <v>5.05</v>
      </c>
      <c r="AM176" s="228">
        <v>5.4</v>
      </c>
      <c r="AN176" s="228">
        <v>-0.35</v>
      </c>
      <c r="AO176" s="229">
        <v>1.35E-2</v>
      </c>
      <c r="AP176" s="228">
        <v>372.92</v>
      </c>
      <c r="AQ176" s="228">
        <v>374.75</v>
      </c>
      <c r="AR176" s="228">
        <v>0</v>
      </c>
      <c r="AS176" s="228">
        <v>588</v>
      </c>
      <c r="AT176" s="228">
        <v>623</v>
      </c>
      <c r="AU176" s="228">
        <v>-35</v>
      </c>
      <c r="AV176" s="229">
        <v>-5.6399999999999999E-2</v>
      </c>
      <c r="AW176" s="228">
        <v>434</v>
      </c>
      <c r="AX176" s="228">
        <v>514</v>
      </c>
      <c r="AY176" s="228">
        <v>-79</v>
      </c>
      <c r="AZ176" s="229">
        <v>-0.15429999999999999</v>
      </c>
      <c r="BA176" s="228">
        <v>88</v>
      </c>
      <c r="BB176" s="228">
        <v>101</v>
      </c>
      <c r="BC176" s="228">
        <v>-12</v>
      </c>
      <c r="BD176" s="229">
        <v>-0.1215</v>
      </c>
      <c r="BE176" s="228">
        <v>65</v>
      </c>
      <c r="BF176" s="228">
        <v>9</v>
      </c>
      <c r="BG176" s="228">
        <v>56</v>
      </c>
      <c r="BH176" s="229">
        <v>6.4759000000000002</v>
      </c>
      <c r="BI176" s="230">
        <v>2046</v>
      </c>
      <c r="BJ176" s="230">
        <v>4074</v>
      </c>
      <c r="BK176" s="230">
        <v>-2028</v>
      </c>
      <c r="BL176" s="229">
        <v>-0.49790000000000001</v>
      </c>
      <c r="BM176" s="230">
        <v>1213</v>
      </c>
      <c r="BN176" s="230">
        <v>1678</v>
      </c>
      <c r="BO176" s="228">
        <v>-466</v>
      </c>
      <c r="BP176" s="229">
        <v>-0.27750000000000002</v>
      </c>
      <c r="BQ176" s="230">
        <v>3846</v>
      </c>
      <c r="BR176" s="230">
        <v>6375</v>
      </c>
      <c r="BS176" s="230">
        <v>-2529</v>
      </c>
      <c r="BT176" s="229">
        <v>-0.3967</v>
      </c>
      <c r="BU176" s="230">
        <v>15535938</v>
      </c>
      <c r="BV176" s="230">
        <v>22980292</v>
      </c>
      <c r="BW176" s="230">
        <v>-7444354</v>
      </c>
      <c r="BX176" s="229">
        <v>-0.32390000000000002</v>
      </c>
      <c r="BY176" s="230">
        <v>2522</v>
      </c>
      <c r="BZ176" s="230">
        <v>2518</v>
      </c>
      <c r="CA176" s="228">
        <v>4</v>
      </c>
      <c r="CB176" s="229">
        <v>1.6000000000000001E-3</v>
      </c>
      <c r="CC176" s="230">
        <v>2196</v>
      </c>
      <c r="CD176" s="230">
        <v>2276</v>
      </c>
      <c r="CE176" s="228">
        <v>-80</v>
      </c>
      <c r="CF176" s="229">
        <v>-3.5099999999999999E-2</v>
      </c>
      <c r="CG176" s="228">
        <v>262</v>
      </c>
      <c r="CH176" s="228">
        <v>233</v>
      </c>
      <c r="CI176" s="228">
        <v>29</v>
      </c>
      <c r="CJ176" s="229">
        <v>0.125</v>
      </c>
      <c r="CK176" s="228">
        <v>64</v>
      </c>
      <c r="CL176" s="228">
        <v>9</v>
      </c>
      <c r="CM176" s="228">
        <v>55</v>
      </c>
      <c r="CN176" s="229">
        <v>6.1833999999999998</v>
      </c>
      <c r="CO176" s="230">
        <v>1020</v>
      </c>
      <c r="CP176" s="230">
        <v>1075</v>
      </c>
      <c r="CQ176" s="228">
        <v>-56</v>
      </c>
      <c r="CR176" s="229">
        <v>-5.1700000000000003E-2</v>
      </c>
      <c r="CS176" s="228">
        <v>937</v>
      </c>
      <c r="CT176" s="228">
        <v>892</v>
      </c>
      <c r="CU176" s="228">
        <v>45</v>
      </c>
      <c r="CV176" s="229">
        <v>5.0500000000000003E-2</v>
      </c>
      <c r="CW176" s="230">
        <v>4478</v>
      </c>
      <c r="CX176" s="230">
        <v>4485</v>
      </c>
      <c r="CY176" s="228">
        <v>-7</v>
      </c>
      <c r="CZ176" s="229">
        <v>-1.5E-3</v>
      </c>
      <c r="DA176" s="228">
        <v>33.53</v>
      </c>
      <c r="DB176" s="228">
        <v>33.9</v>
      </c>
      <c r="DC176" s="228">
        <v>-0.37</v>
      </c>
      <c r="DD176" s="228">
        <v>-0.37</v>
      </c>
      <c r="DE176" s="228">
        <v>42.81</v>
      </c>
      <c r="DF176" s="228">
        <v>42.78</v>
      </c>
      <c r="DG176" s="228">
        <v>-9.2799999999999994</v>
      </c>
      <c r="DH176" s="228">
        <v>0.03</v>
      </c>
      <c r="DI176" s="228">
        <v>31.48</v>
      </c>
      <c r="DJ176" s="228">
        <v>32.840000000000003</v>
      </c>
      <c r="DK176" s="228">
        <v>-1.36</v>
      </c>
      <c r="DL176" s="228">
        <v>-1.36</v>
      </c>
      <c r="DM176" s="228">
        <v>36.979999999999997</v>
      </c>
      <c r="DN176" s="228">
        <v>36.46</v>
      </c>
      <c r="DO176" s="228">
        <v>0.52</v>
      </c>
      <c r="DP176" s="228">
        <v>0.52</v>
      </c>
      <c r="DQ176" s="228">
        <v>0.92</v>
      </c>
      <c r="DR176" s="228">
        <v>0.83</v>
      </c>
      <c r="DS176" s="228">
        <v>0.09</v>
      </c>
      <c r="DT176" s="229">
        <v>0.1084</v>
      </c>
      <c r="DU176" s="228">
        <v>380</v>
      </c>
      <c r="DV176" s="228">
        <v>330</v>
      </c>
      <c r="DW176" s="228">
        <v>0.59</v>
      </c>
      <c r="DX176" s="228">
        <v>0.41</v>
      </c>
      <c r="DY176" s="228">
        <v>0.18</v>
      </c>
      <c r="DZ176" s="229">
        <v>0.439</v>
      </c>
      <c r="EA176" s="229">
        <v>0.1293</v>
      </c>
      <c r="EB176" s="230">
        <v>6463800</v>
      </c>
      <c r="EC176" s="229">
        <v>5.4999999999999997E-3</v>
      </c>
      <c r="ED176" s="229">
        <v>0.1293</v>
      </c>
      <c r="EE176" s="228">
        <v>1.83</v>
      </c>
      <c r="EF176" s="229">
        <v>4.8999999999999998E-3</v>
      </c>
      <c r="EG176" s="230">
        <v>7778504</v>
      </c>
      <c r="EH176" s="230">
        <v>9712518</v>
      </c>
      <c r="EI176" s="229">
        <v>-0.1991</v>
      </c>
      <c r="EJ176" s="229">
        <v>0.50070000000000003</v>
      </c>
      <c r="EK176" s="231">
        <v>2110.31</v>
      </c>
      <c r="EL176" s="231">
        <v>1159.92</v>
      </c>
      <c r="EM176" s="228">
        <v>586.85</v>
      </c>
      <c r="EN176" s="228">
        <v>69.239999999999995</v>
      </c>
      <c r="EO176" s="231">
        <v>3857.08</v>
      </c>
      <c r="EP176" s="231">
        <v>6337.94</v>
      </c>
      <c r="EQ176" s="231">
        <v>-2480.86</v>
      </c>
      <c r="ER176" s="229">
        <v>-0.39140000000000003</v>
      </c>
      <c r="ES176" s="228">
        <v>982.39</v>
      </c>
      <c r="ET176" s="228">
        <v>850.23</v>
      </c>
      <c r="EU176" s="231">
        <v>2524.0100000000002</v>
      </c>
      <c r="EV176" s="231">
        <v>187084550</v>
      </c>
      <c r="EW176" s="231">
        <v>4356.63</v>
      </c>
      <c r="EX176" s="231">
        <v>4289.6899999999996</v>
      </c>
      <c r="EY176" s="228">
        <v>66.94</v>
      </c>
      <c r="EZ176" s="229">
        <v>1.5599999999999999E-2</v>
      </c>
      <c r="FA176" s="229">
        <v>0.63929999999999998</v>
      </c>
      <c r="FB176" s="227" t="s">
        <v>555</v>
      </c>
      <c r="FC176">
        <f t="shared" si="3"/>
        <v>0</v>
      </c>
    </row>
    <row r="177" spans="1:159" ht="17.25" thickBot="1" x14ac:dyDescent="0.3">
      <c r="A177" s="226">
        <v>46129</v>
      </c>
      <c r="B177" s="227" t="s">
        <v>193</v>
      </c>
      <c r="C177" s="227" t="s">
        <v>281</v>
      </c>
      <c r="D177" s="228">
        <v>500</v>
      </c>
      <c r="E177" s="228">
        <v>11</v>
      </c>
      <c r="F177" s="231">
        <v>1366.3</v>
      </c>
      <c r="G177" s="231">
        <v>1344.6</v>
      </c>
      <c r="H177" s="228">
        <v>21.7</v>
      </c>
      <c r="I177" s="229">
        <v>1.61E-2</v>
      </c>
      <c r="J177" s="231">
        <v>1365</v>
      </c>
      <c r="K177" s="231">
        <v>1343.3</v>
      </c>
      <c r="L177" s="228">
        <v>21.7</v>
      </c>
      <c r="M177" s="229">
        <v>1.6199999999999999E-2</v>
      </c>
      <c r="N177" s="231">
        <v>1366.3</v>
      </c>
      <c r="O177" s="231">
        <v>1344.6</v>
      </c>
      <c r="P177" s="228">
        <v>21.7</v>
      </c>
      <c r="Q177" s="229">
        <v>1.61E-2</v>
      </c>
      <c r="R177" s="231">
        <v>1373.6</v>
      </c>
      <c r="S177" s="231">
        <v>1352.4</v>
      </c>
      <c r="T177" s="228">
        <v>21.2</v>
      </c>
      <c r="U177" s="229">
        <v>1.5699999999999999E-2</v>
      </c>
      <c r="V177" s="231">
        <v>1383.2</v>
      </c>
      <c r="W177" s="231">
        <v>1359.6</v>
      </c>
      <c r="X177" s="228">
        <v>23.6</v>
      </c>
      <c r="Y177" s="229">
        <v>1.7399999999999999E-2</v>
      </c>
      <c r="Z177" s="228">
        <v>1.3</v>
      </c>
      <c r="AA177" s="228">
        <v>1.3</v>
      </c>
      <c r="AB177" s="228">
        <v>0</v>
      </c>
      <c r="AC177" s="229">
        <v>1E-3</v>
      </c>
      <c r="AD177" s="228">
        <v>1.3</v>
      </c>
      <c r="AE177" s="228">
        <v>1.3</v>
      </c>
      <c r="AF177" s="228">
        <v>0</v>
      </c>
      <c r="AG177" s="229">
        <v>1E-3</v>
      </c>
      <c r="AH177" s="228">
        <v>8.6</v>
      </c>
      <c r="AI177" s="228">
        <v>9.1</v>
      </c>
      <c r="AJ177" s="228">
        <v>-0.5</v>
      </c>
      <c r="AK177" s="229">
        <v>6.3E-3</v>
      </c>
      <c r="AL177" s="228">
        <v>18.2</v>
      </c>
      <c r="AM177" s="228">
        <v>16.3</v>
      </c>
      <c r="AN177" s="228">
        <v>1.9</v>
      </c>
      <c r="AO177" s="229">
        <v>1.3299999999999999E-2</v>
      </c>
      <c r="AP177" s="231">
        <v>1361.42</v>
      </c>
      <c r="AQ177" s="231">
        <v>1368.43</v>
      </c>
      <c r="AR177" s="228">
        <v>0</v>
      </c>
      <c r="AS177" s="230">
        <v>1824</v>
      </c>
      <c r="AT177" s="230">
        <v>2146</v>
      </c>
      <c r="AU177" s="228">
        <v>-322</v>
      </c>
      <c r="AV177" s="229">
        <v>-0.1502</v>
      </c>
      <c r="AW177" s="230">
        <v>1469</v>
      </c>
      <c r="AX177" s="230">
        <v>1631</v>
      </c>
      <c r="AY177" s="228">
        <v>-162</v>
      </c>
      <c r="AZ177" s="229">
        <v>-9.9199999999999997E-2</v>
      </c>
      <c r="BA177" s="228">
        <v>233</v>
      </c>
      <c r="BB177" s="228">
        <v>227</v>
      </c>
      <c r="BC177" s="228">
        <v>7</v>
      </c>
      <c r="BD177" s="229">
        <v>2.9000000000000001E-2</v>
      </c>
      <c r="BE177" s="228">
        <v>122</v>
      </c>
      <c r="BF177" s="228">
        <v>289</v>
      </c>
      <c r="BG177" s="228">
        <v>-167</v>
      </c>
      <c r="BH177" s="229">
        <v>-0.57879999999999998</v>
      </c>
      <c r="BI177" s="230">
        <v>14085</v>
      </c>
      <c r="BJ177" s="230">
        <v>9405</v>
      </c>
      <c r="BK177" s="230">
        <v>4680</v>
      </c>
      <c r="BL177" s="229">
        <v>0.49759999999999999</v>
      </c>
      <c r="BM177" s="230">
        <v>6773</v>
      </c>
      <c r="BN177" s="230">
        <v>4829</v>
      </c>
      <c r="BO177" s="230">
        <v>1943</v>
      </c>
      <c r="BP177" s="229">
        <v>0.40239999999999998</v>
      </c>
      <c r="BQ177" s="230">
        <v>22682</v>
      </c>
      <c r="BR177" s="230">
        <v>16380</v>
      </c>
      <c r="BS177" s="230">
        <v>6301</v>
      </c>
      <c r="BT177" s="229">
        <v>0.38469999999999999</v>
      </c>
      <c r="BU177" s="230">
        <v>15236906</v>
      </c>
      <c r="BV177" s="230">
        <v>34114712</v>
      </c>
      <c r="BW177" s="230">
        <v>-18877806</v>
      </c>
      <c r="BX177" s="229">
        <v>-0.5534</v>
      </c>
      <c r="BY177" s="230">
        <v>13152</v>
      </c>
      <c r="BZ177" s="230">
        <v>13152</v>
      </c>
      <c r="CA177" s="228">
        <v>0</v>
      </c>
      <c r="CB177" s="229">
        <v>0</v>
      </c>
      <c r="CC177" s="230">
        <v>10410</v>
      </c>
      <c r="CD177" s="230">
        <v>10539</v>
      </c>
      <c r="CE177" s="228">
        <v>-129</v>
      </c>
      <c r="CF177" s="229">
        <v>-1.2200000000000001E-2</v>
      </c>
      <c r="CG177" s="230">
        <v>2141</v>
      </c>
      <c r="CH177" s="230">
        <v>2096</v>
      </c>
      <c r="CI177" s="228">
        <v>45</v>
      </c>
      <c r="CJ177" s="229">
        <v>2.1600000000000001E-2</v>
      </c>
      <c r="CK177" s="228">
        <v>601</v>
      </c>
      <c r="CL177" s="228">
        <v>517</v>
      </c>
      <c r="CM177" s="228">
        <v>84</v>
      </c>
      <c r="CN177" s="229">
        <v>0.16170000000000001</v>
      </c>
      <c r="CO177" s="230">
        <v>10896</v>
      </c>
      <c r="CP177" s="230">
        <v>11457</v>
      </c>
      <c r="CQ177" s="228">
        <v>-561</v>
      </c>
      <c r="CR177" s="229">
        <v>-4.8899999999999999E-2</v>
      </c>
      <c r="CS177" s="230">
        <v>5269</v>
      </c>
      <c r="CT177" s="230">
        <v>5186</v>
      </c>
      <c r="CU177" s="228">
        <v>83</v>
      </c>
      <c r="CV177" s="229">
        <v>1.6E-2</v>
      </c>
      <c r="CW177" s="230">
        <v>29317</v>
      </c>
      <c r="CX177" s="230">
        <v>29795</v>
      </c>
      <c r="CY177" s="228">
        <v>-478</v>
      </c>
      <c r="CZ177" s="229">
        <v>-1.6E-2</v>
      </c>
      <c r="DA177" s="228">
        <v>23.58</v>
      </c>
      <c r="DB177" s="228">
        <v>24.51</v>
      </c>
      <c r="DC177" s="228">
        <v>-0.93</v>
      </c>
      <c r="DD177" s="228">
        <v>-0.93</v>
      </c>
      <c r="DE177" s="228">
        <v>26.47</v>
      </c>
      <c r="DF177" s="228">
        <v>26.45</v>
      </c>
      <c r="DG177" s="228">
        <v>-2.89</v>
      </c>
      <c r="DH177" s="228">
        <v>0.02</v>
      </c>
      <c r="DI177" s="228">
        <v>23.11</v>
      </c>
      <c r="DJ177" s="228">
        <v>24.5</v>
      </c>
      <c r="DK177" s="228">
        <v>-1.39</v>
      </c>
      <c r="DL177" s="228">
        <v>-1.39</v>
      </c>
      <c r="DM177" s="228">
        <v>24.53</v>
      </c>
      <c r="DN177" s="228">
        <v>24.52</v>
      </c>
      <c r="DO177" s="228">
        <v>0.01</v>
      </c>
      <c r="DP177" s="228">
        <v>0.01</v>
      </c>
      <c r="DQ177" s="228">
        <v>0.48</v>
      </c>
      <c r="DR177" s="228">
        <v>0.45</v>
      </c>
      <c r="DS177" s="228">
        <v>0.03</v>
      </c>
      <c r="DT177" s="229">
        <v>6.6699999999999995E-2</v>
      </c>
      <c r="DU177" s="231">
        <v>1400</v>
      </c>
      <c r="DV177" s="231">
        <v>1300</v>
      </c>
      <c r="DW177" s="228">
        <v>0.48</v>
      </c>
      <c r="DX177" s="228">
        <v>0.51</v>
      </c>
      <c r="DY177" s="228">
        <v>-0.03</v>
      </c>
      <c r="DZ177" s="229">
        <v>-5.8799999999999998E-2</v>
      </c>
      <c r="EA177" s="229">
        <v>0.20849999999999999</v>
      </c>
      <c r="EB177" s="230">
        <v>19123000</v>
      </c>
      <c r="EC177" s="229">
        <v>5.3E-3</v>
      </c>
      <c r="ED177" s="229">
        <v>0.20849999999999999</v>
      </c>
      <c r="EE177" s="228">
        <v>7.01</v>
      </c>
      <c r="EF177" s="229">
        <v>5.1000000000000004E-3</v>
      </c>
      <c r="EG177" s="230">
        <v>7056605</v>
      </c>
      <c r="EH177" s="230">
        <v>8808298</v>
      </c>
      <c r="EI177" s="229">
        <v>-0.19889999999999999</v>
      </c>
      <c r="EJ177" s="229">
        <v>0.46310000000000001</v>
      </c>
      <c r="EK177" s="231">
        <v>14535.29</v>
      </c>
      <c r="EL177" s="231">
        <v>6619.95</v>
      </c>
      <c r="EM177" s="231">
        <v>1820.14</v>
      </c>
      <c r="EN177" s="228">
        <v>270.26</v>
      </c>
      <c r="EO177" s="231">
        <v>22975.38</v>
      </c>
      <c r="EP177" s="231">
        <v>16441.25</v>
      </c>
      <c r="EQ177" s="231">
        <v>6534.14</v>
      </c>
      <c r="ER177" s="229">
        <v>0.39739999999999998</v>
      </c>
      <c r="ES177" s="231">
        <v>11188.35</v>
      </c>
      <c r="ET177" s="231">
        <v>5176.22</v>
      </c>
      <c r="EU177" s="231">
        <v>13170.4</v>
      </c>
      <c r="EV177" s="231">
        <v>664381721</v>
      </c>
      <c r="EW177" s="231">
        <v>29534.959999999999</v>
      </c>
      <c r="EX177" s="231">
        <v>29782.18</v>
      </c>
      <c r="EY177" s="228">
        <v>-247.22</v>
      </c>
      <c r="EZ177" s="229">
        <v>-8.3000000000000001E-3</v>
      </c>
      <c r="FA177" s="229">
        <v>0.32300000000000001</v>
      </c>
      <c r="FB177" s="227" t="s">
        <v>237</v>
      </c>
      <c r="FC177">
        <f t="shared" si="3"/>
        <v>0</v>
      </c>
    </row>
    <row r="178" spans="1:159" ht="17.25" thickBot="1" x14ac:dyDescent="0.3">
      <c r="A178" s="226">
        <v>46129</v>
      </c>
      <c r="B178" s="227" t="s">
        <v>215</v>
      </c>
      <c r="C178" s="227" t="s">
        <v>673</v>
      </c>
      <c r="D178" s="228">
        <v>1525</v>
      </c>
      <c r="E178" s="228">
        <v>11</v>
      </c>
      <c r="F178" s="228">
        <v>299.66000000000003</v>
      </c>
      <c r="G178" s="228">
        <v>292.2</v>
      </c>
      <c r="H178" s="228">
        <v>7.46</v>
      </c>
      <c r="I178" s="229">
        <v>2.5499999999999998E-2</v>
      </c>
      <c r="J178" s="228">
        <v>303.06</v>
      </c>
      <c r="K178" s="228">
        <v>293.89</v>
      </c>
      <c r="L178" s="228">
        <v>9.17</v>
      </c>
      <c r="M178" s="229">
        <v>3.1199999999999999E-2</v>
      </c>
      <c r="N178" s="228">
        <v>299.66000000000003</v>
      </c>
      <c r="O178" s="228">
        <v>292.2</v>
      </c>
      <c r="P178" s="228">
        <v>7.46</v>
      </c>
      <c r="Q178" s="229">
        <v>2.5499999999999998E-2</v>
      </c>
      <c r="R178" s="228">
        <v>285.35000000000002</v>
      </c>
      <c r="S178" s="228">
        <v>279.33999999999997</v>
      </c>
      <c r="T178" s="228">
        <v>6.01</v>
      </c>
      <c r="U178" s="229">
        <v>2.1499999999999998E-2</v>
      </c>
      <c r="V178" s="228">
        <v>278.02999999999997</v>
      </c>
      <c r="W178" s="228">
        <v>272.45</v>
      </c>
      <c r="X178" s="228">
        <v>5.58</v>
      </c>
      <c r="Y178" s="229">
        <v>2.0500000000000001E-2</v>
      </c>
      <c r="Z178" s="228">
        <v>-3.4</v>
      </c>
      <c r="AA178" s="228">
        <v>-1.69</v>
      </c>
      <c r="AB178" s="228">
        <v>-1.71</v>
      </c>
      <c r="AC178" s="229">
        <v>-1.12E-2</v>
      </c>
      <c r="AD178" s="228">
        <v>-3.4</v>
      </c>
      <c r="AE178" s="228">
        <v>-1.69</v>
      </c>
      <c r="AF178" s="228">
        <v>-1.71</v>
      </c>
      <c r="AG178" s="229">
        <v>-1.12E-2</v>
      </c>
      <c r="AH178" s="228">
        <v>-17.71</v>
      </c>
      <c r="AI178" s="228">
        <v>-14.55</v>
      </c>
      <c r="AJ178" s="228">
        <v>-3.16</v>
      </c>
      <c r="AK178" s="229">
        <v>-5.8400000000000001E-2</v>
      </c>
      <c r="AL178" s="228">
        <v>-25.03</v>
      </c>
      <c r="AM178" s="228">
        <v>-21.44</v>
      </c>
      <c r="AN178" s="228">
        <v>-3.59</v>
      </c>
      <c r="AO178" s="229">
        <v>-8.2600000000000007E-2</v>
      </c>
      <c r="AP178" s="228">
        <v>300.24</v>
      </c>
      <c r="AQ178" s="228">
        <v>285.68</v>
      </c>
      <c r="AR178" s="228">
        <v>0</v>
      </c>
      <c r="AS178" s="228">
        <v>815</v>
      </c>
      <c r="AT178" s="228">
        <v>473</v>
      </c>
      <c r="AU178" s="228">
        <v>342</v>
      </c>
      <c r="AV178" s="229">
        <v>0.72189999999999999</v>
      </c>
      <c r="AW178" s="228">
        <v>537</v>
      </c>
      <c r="AX178" s="228">
        <v>329</v>
      </c>
      <c r="AY178" s="228">
        <v>209</v>
      </c>
      <c r="AZ178" s="229">
        <v>0.63439999999999996</v>
      </c>
      <c r="BA178" s="228">
        <v>243</v>
      </c>
      <c r="BB178" s="228">
        <v>123</v>
      </c>
      <c r="BC178" s="228">
        <v>120</v>
      </c>
      <c r="BD178" s="229">
        <v>0.97799999999999998</v>
      </c>
      <c r="BE178" s="228">
        <v>35</v>
      </c>
      <c r="BF178" s="228">
        <v>22</v>
      </c>
      <c r="BG178" s="228">
        <v>13</v>
      </c>
      <c r="BH178" s="229">
        <v>0.6008</v>
      </c>
      <c r="BI178" s="230">
        <v>3532</v>
      </c>
      <c r="BJ178" s="230">
        <v>1448</v>
      </c>
      <c r="BK178" s="230">
        <v>2085</v>
      </c>
      <c r="BL178" s="229">
        <v>1.4401999999999999</v>
      </c>
      <c r="BM178" s="230">
        <v>1066</v>
      </c>
      <c r="BN178" s="228">
        <v>409</v>
      </c>
      <c r="BO178" s="228">
        <v>657</v>
      </c>
      <c r="BP178" s="229">
        <v>1.6055999999999999</v>
      </c>
      <c r="BQ178" s="230">
        <v>5413</v>
      </c>
      <c r="BR178" s="230">
        <v>2330</v>
      </c>
      <c r="BS178" s="230">
        <v>3083</v>
      </c>
      <c r="BT178" s="229">
        <v>1.3233999999999999</v>
      </c>
      <c r="BU178" s="230">
        <v>40222724</v>
      </c>
      <c r="BV178" s="230">
        <v>17458790</v>
      </c>
      <c r="BW178" s="230">
        <v>22763934</v>
      </c>
      <c r="BX178" s="229">
        <v>1.3039000000000001</v>
      </c>
      <c r="BY178" s="230">
        <v>1971</v>
      </c>
      <c r="BZ178" s="230">
        <v>1773</v>
      </c>
      <c r="CA178" s="228">
        <v>198</v>
      </c>
      <c r="CB178" s="229">
        <v>0.1116</v>
      </c>
      <c r="CC178" s="230">
        <v>1495</v>
      </c>
      <c r="CD178" s="230">
        <v>1385</v>
      </c>
      <c r="CE178" s="228">
        <v>110</v>
      </c>
      <c r="CF178" s="229">
        <v>7.9399999999999998E-2</v>
      </c>
      <c r="CG178" s="228">
        <v>417</v>
      </c>
      <c r="CH178" s="228">
        <v>345</v>
      </c>
      <c r="CI178" s="228">
        <v>72</v>
      </c>
      <c r="CJ178" s="229">
        <v>0.20780000000000001</v>
      </c>
      <c r="CK178" s="228">
        <v>59</v>
      </c>
      <c r="CL178" s="228">
        <v>43</v>
      </c>
      <c r="CM178" s="228">
        <v>16</v>
      </c>
      <c r="CN178" s="229">
        <v>0.37609999999999999</v>
      </c>
      <c r="CO178" s="228">
        <v>738</v>
      </c>
      <c r="CP178" s="228">
        <v>565</v>
      </c>
      <c r="CQ178" s="228">
        <v>172</v>
      </c>
      <c r="CR178" s="229">
        <v>0.3049</v>
      </c>
      <c r="CS178" s="228">
        <v>487</v>
      </c>
      <c r="CT178" s="228">
        <v>406</v>
      </c>
      <c r="CU178" s="228">
        <v>81</v>
      </c>
      <c r="CV178" s="229">
        <v>0.20019999999999999</v>
      </c>
      <c r="CW178" s="230">
        <v>3196</v>
      </c>
      <c r="CX178" s="230">
        <v>2744</v>
      </c>
      <c r="CY178" s="228">
        <v>451</v>
      </c>
      <c r="CZ178" s="229">
        <v>0.16450000000000001</v>
      </c>
      <c r="DA178" s="228">
        <v>45.66</v>
      </c>
      <c r="DB178" s="228">
        <v>43.44</v>
      </c>
      <c r="DC178" s="228">
        <v>2.2200000000000002</v>
      </c>
      <c r="DD178" s="228">
        <v>2.2200000000000002</v>
      </c>
      <c r="DE178" s="228">
        <v>58.38</v>
      </c>
      <c r="DF178" s="228">
        <v>58.43</v>
      </c>
      <c r="DG178" s="228">
        <v>-12.72</v>
      </c>
      <c r="DH178" s="228">
        <v>-0.05</v>
      </c>
      <c r="DI178" s="228">
        <v>45.43</v>
      </c>
      <c r="DJ178" s="228">
        <v>42.88</v>
      </c>
      <c r="DK178" s="228">
        <v>2.5499999999999998</v>
      </c>
      <c r="DL178" s="228">
        <v>2.5499999999999998</v>
      </c>
      <c r="DM178" s="228">
        <v>46.43</v>
      </c>
      <c r="DN178" s="228">
        <v>45.43</v>
      </c>
      <c r="DO178" s="228">
        <v>1</v>
      </c>
      <c r="DP178" s="228">
        <v>1</v>
      </c>
      <c r="DQ178" s="228">
        <v>0.66</v>
      </c>
      <c r="DR178" s="228">
        <v>0.72</v>
      </c>
      <c r="DS178" s="228">
        <v>-0.06</v>
      </c>
      <c r="DT178" s="229">
        <v>-8.3299999999999999E-2</v>
      </c>
      <c r="DU178" s="228">
        <v>310</v>
      </c>
      <c r="DV178" s="228">
        <v>290</v>
      </c>
      <c r="DW178" s="228">
        <v>0.3</v>
      </c>
      <c r="DX178" s="228">
        <v>0.28000000000000003</v>
      </c>
      <c r="DY178" s="228">
        <v>0.02</v>
      </c>
      <c r="DZ178" s="229">
        <v>7.1400000000000005E-2</v>
      </c>
      <c r="EA178" s="229">
        <v>0.24129999999999999</v>
      </c>
      <c r="EB178" s="230">
        <v>12941150</v>
      </c>
      <c r="EC178" s="229">
        <v>-4.7800000000000002E-2</v>
      </c>
      <c r="ED178" s="229">
        <v>0.24129999999999999</v>
      </c>
      <c r="EE178" s="228">
        <v>-14.56</v>
      </c>
      <c r="EF178" s="229">
        <v>-4.8500000000000001E-2</v>
      </c>
      <c r="EG178" s="230">
        <v>5972143</v>
      </c>
      <c r="EH178" s="230">
        <v>3177499</v>
      </c>
      <c r="EI178" s="229">
        <v>0.87949999999999995</v>
      </c>
      <c r="EJ178" s="229">
        <v>0.14849999999999999</v>
      </c>
      <c r="EK178" s="231">
        <v>3755.8</v>
      </c>
      <c r="EL178" s="231">
        <v>1039.8900000000001</v>
      </c>
      <c r="EM178" s="228">
        <v>801.99</v>
      </c>
      <c r="EN178" s="228">
        <v>81.84</v>
      </c>
      <c r="EO178" s="231">
        <v>5597.68</v>
      </c>
      <c r="EP178" s="231">
        <v>2324.14</v>
      </c>
      <c r="EQ178" s="231">
        <v>3273.54</v>
      </c>
      <c r="ER178" s="229">
        <v>1.4085000000000001</v>
      </c>
      <c r="ES178" s="228">
        <v>749.35</v>
      </c>
      <c r="ET178" s="228">
        <v>448.99</v>
      </c>
      <c r="EU178" s="231">
        <v>1946.4</v>
      </c>
      <c r="EV178" s="231">
        <v>84941460</v>
      </c>
      <c r="EW178" s="231">
        <v>3144.74</v>
      </c>
      <c r="EX178" s="231">
        <v>2634.06</v>
      </c>
      <c r="EY178" s="228">
        <v>510.68</v>
      </c>
      <c r="EZ178" s="229">
        <v>0.19389999999999999</v>
      </c>
      <c r="FA178" s="229">
        <v>1.2555000000000001</v>
      </c>
      <c r="FB178" s="227" t="s">
        <v>555</v>
      </c>
      <c r="FC178">
        <f t="shared" si="3"/>
        <v>0</v>
      </c>
    </row>
    <row r="179" spans="1:159" ht="17.25" thickBot="1" x14ac:dyDescent="0.3">
      <c r="A179" s="226">
        <v>46129</v>
      </c>
      <c r="B179" s="227" t="s">
        <v>227</v>
      </c>
      <c r="C179" s="227" t="s">
        <v>282</v>
      </c>
      <c r="D179" s="228">
        <v>4700</v>
      </c>
      <c r="E179" s="228">
        <v>11</v>
      </c>
      <c r="F179" s="228">
        <v>173.23</v>
      </c>
      <c r="G179" s="228">
        <v>171.53</v>
      </c>
      <c r="H179" s="228">
        <v>1.7</v>
      </c>
      <c r="I179" s="229">
        <v>9.9000000000000008E-3</v>
      </c>
      <c r="J179" s="228">
        <v>173.33</v>
      </c>
      <c r="K179" s="228">
        <v>171.32</v>
      </c>
      <c r="L179" s="228">
        <v>2.0099999999999998</v>
      </c>
      <c r="M179" s="229">
        <v>1.17E-2</v>
      </c>
      <c r="N179" s="228">
        <v>173.23</v>
      </c>
      <c r="O179" s="228">
        <v>171.53</v>
      </c>
      <c r="P179" s="228">
        <v>1.7</v>
      </c>
      <c r="Q179" s="229">
        <v>9.9000000000000008E-3</v>
      </c>
      <c r="R179" s="228">
        <v>173.94</v>
      </c>
      <c r="S179" s="228">
        <v>169.71</v>
      </c>
      <c r="T179" s="228">
        <v>4.2300000000000004</v>
      </c>
      <c r="U179" s="229">
        <v>2.4899999999999999E-2</v>
      </c>
      <c r="V179" s="228">
        <v>175.39</v>
      </c>
      <c r="W179" s="228">
        <v>172</v>
      </c>
      <c r="X179" s="228">
        <v>3.39</v>
      </c>
      <c r="Y179" s="229">
        <v>1.9699999999999999E-2</v>
      </c>
      <c r="Z179" s="228">
        <v>-0.1</v>
      </c>
      <c r="AA179" s="228">
        <v>0.21</v>
      </c>
      <c r="AB179" s="228">
        <v>-0.31</v>
      </c>
      <c r="AC179" s="229">
        <v>-5.9999999999999995E-4</v>
      </c>
      <c r="AD179" s="228">
        <v>-0.1</v>
      </c>
      <c r="AE179" s="228">
        <v>0.21</v>
      </c>
      <c r="AF179" s="228">
        <v>-0.31</v>
      </c>
      <c r="AG179" s="229">
        <v>-5.9999999999999995E-4</v>
      </c>
      <c r="AH179" s="228">
        <v>0.61</v>
      </c>
      <c r="AI179" s="228">
        <v>-1.61</v>
      </c>
      <c r="AJ179" s="228">
        <v>2.2200000000000002</v>
      </c>
      <c r="AK179" s="229">
        <v>3.5000000000000001E-3</v>
      </c>
      <c r="AL179" s="228">
        <v>2.06</v>
      </c>
      <c r="AM179" s="228">
        <v>0.68</v>
      </c>
      <c r="AN179" s="228">
        <v>1.38</v>
      </c>
      <c r="AO179" s="229">
        <v>1.1900000000000001E-2</v>
      </c>
      <c r="AP179" s="228">
        <v>172.61</v>
      </c>
      <c r="AQ179" s="228">
        <v>173.36</v>
      </c>
      <c r="AR179" s="228">
        <v>0</v>
      </c>
      <c r="AS179" s="228">
        <v>40</v>
      </c>
      <c r="AT179" s="228">
        <v>61</v>
      </c>
      <c r="AU179" s="228">
        <v>-21</v>
      </c>
      <c r="AV179" s="229">
        <v>-0.35020000000000001</v>
      </c>
      <c r="AW179" s="228">
        <v>32</v>
      </c>
      <c r="AX179" s="228">
        <v>60</v>
      </c>
      <c r="AY179" s="228">
        <v>-28</v>
      </c>
      <c r="AZ179" s="229">
        <v>-0.46539999999999998</v>
      </c>
      <c r="BA179" s="228">
        <v>8</v>
      </c>
      <c r="BB179" s="228">
        <v>1</v>
      </c>
      <c r="BC179" s="228">
        <v>7</v>
      </c>
      <c r="BD179" s="229">
        <v>6.1538000000000004</v>
      </c>
      <c r="BE179" s="228">
        <v>0</v>
      </c>
      <c r="BF179" s="228">
        <v>0</v>
      </c>
      <c r="BG179" s="228">
        <v>0</v>
      </c>
      <c r="BH179" s="229">
        <v>0</v>
      </c>
      <c r="BI179" s="228">
        <v>10</v>
      </c>
      <c r="BJ179" s="228">
        <v>11</v>
      </c>
      <c r="BK179" s="228">
        <v>-1</v>
      </c>
      <c r="BL179" s="229">
        <v>-0.13139999999999999</v>
      </c>
      <c r="BM179" s="228">
        <v>5</v>
      </c>
      <c r="BN179" s="228">
        <v>3</v>
      </c>
      <c r="BO179" s="228">
        <v>2</v>
      </c>
      <c r="BP179" s="229">
        <v>0.57499999999999996</v>
      </c>
      <c r="BQ179" s="228">
        <v>55</v>
      </c>
      <c r="BR179" s="228">
        <v>76</v>
      </c>
      <c r="BS179" s="228">
        <v>-21</v>
      </c>
      <c r="BT179" s="229">
        <v>-0.27800000000000002</v>
      </c>
      <c r="BU179" s="230">
        <v>26783817</v>
      </c>
      <c r="BV179" s="230">
        <v>32570377</v>
      </c>
      <c r="BW179" s="230">
        <v>-5786560</v>
      </c>
      <c r="BX179" s="229">
        <v>-0.1777</v>
      </c>
      <c r="BY179" s="230">
        <v>3483</v>
      </c>
      <c r="BZ179" s="230">
        <v>3512</v>
      </c>
      <c r="CA179" s="228">
        <v>-29</v>
      </c>
      <c r="CB179" s="229">
        <v>-8.3000000000000001E-3</v>
      </c>
      <c r="CC179" s="230">
        <v>2860</v>
      </c>
      <c r="CD179" s="230">
        <v>2883</v>
      </c>
      <c r="CE179" s="228">
        <v>-23</v>
      </c>
      <c r="CF179" s="229">
        <v>-7.7999999999999996E-3</v>
      </c>
      <c r="CG179" s="228">
        <v>617</v>
      </c>
      <c r="CH179" s="228">
        <v>623</v>
      </c>
      <c r="CI179" s="228">
        <v>-6</v>
      </c>
      <c r="CJ179" s="229">
        <v>-1.0200000000000001E-2</v>
      </c>
      <c r="CK179" s="228">
        <v>6</v>
      </c>
      <c r="CL179" s="228">
        <v>6</v>
      </c>
      <c r="CM179" s="228">
        <v>0</v>
      </c>
      <c r="CN179" s="229">
        <v>-1.35E-2</v>
      </c>
      <c r="CO179" s="228">
        <v>184</v>
      </c>
      <c r="CP179" s="228">
        <v>188</v>
      </c>
      <c r="CQ179" s="228">
        <v>-4</v>
      </c>
      <c r="CR179" s="229">
        <v>-1.95E-2</v>
      </c>
      <c r="CS179" s="228">
        <v>137</v>
      </c>
      <c r="CT179" s="228">
        <v>140</v>
      </c>
      <c r="CU179" s="228">
        <v>-3</v>
      </c>
      <c r="CV179" s="229">
        <v>-1.8100000000000002E-2</v>
      </c>
      <c r="CW179" s="230">
        <v>3804</v>
      </c>
      <c r="CX179" s="230">
        <v>3839</v>
      </c>
      <c r="CY179" s="228">
        <v>-35</v>
      </c>
      <c r="CZ179" s="229">
        <v>-9.1999999999999998E-3</v>
      </c>
      <c r="DA179" s="228">
        <v>37.69</v>
      </c>
      <c r="DB179" s="228">
        <v>38.93</v>
      </c>
      <c r="DC179" s="228">
        <v>-1.24</v>
      </c>
      <c r="DD179" s="228">
        <v>-1.24</v>
      </c>
      <c r="DE179" s="228">
        <v>44.6</v>
      </c>
      <c r="DF179" s="228">
        <v>44.69</v>
      </c>
      <c r="DG179" s="228">
        <v>-6.91</v>
      </c>
      <c r="DH179" s="228">
        <v>-0.09</v>
      </c>
      <c r="DI179" s="228">
        <v>35.229999999999997</v>
      </c>
      <c r="DJ179" s="228">
        <v>37.11</v>
      </c>
      <c r="DK179" s="228">
        <v>-1.88</v>
      </c>
      <c r="DL179" s="228">
        <v>-1.88</v>
      </c>
      <c r="DM179" s="228">
        <v>42.32</v>
      </c>
      <c r="DN179" s="228">
        <v>45.15</v>
      </c>
      <c r="DO179" s="228">
        <v>-2.83</v>
      </c>
      <c r="DP179" s="228">
        <v>-2.83</v>
      </c>
      <c r="DQ179" s="228">
        <v>0.74</v>
      </c>
      <c r="DR179" s="228">
        <v>0.74</v>
      </c>
      <c r="DS179" s="228">
        <v>0</v>
      </c>
      <c r="DT179" s="229">
        <v>0</v>
      </c>
      <c r="DU179" s="228">
        <v>170</v>
      </c>
      <c r="DV179" s="228">
        <v>160</v>
      </c>
      <c r="DW179" s="228">
        <v>0.53</v>
      </c>
      <c r="DX179" s="228">
        <v>0.28999999999999998</v>
      </c>
      <c r="DY179" s="228">
        <v>0.24</v>
      </c>
      <c r="DZ179" s="229">
        <v>0.8276</v>
      </c>
      <c r="EA179" s="229">
        <v>0.1787</v>
      </c>
      <c r="EB179" s="230">
        <v>36307500</v>
      </c>
      <c r="EC179" s="229">
        <v>4.1000000000000003E-3</v>
      </c>
      <c r="ED179" s="229">
        <v>0.1787</v>
      </c>
      <c r="EE179" s="228">
        <v>0.75</v>
      </c>
      <c r="EF179" s="229">
        <v>4.3E-3</v>
      </c>
      <c r="EG179" s="230">
        <v>11913679</v>
      </c>
      <c r="EH179" s="230">
        <v>14417882</v>
      </c>
      <c r="EI179" s="229">
        <v>-0.17369999999999999</v>
      </c>
      <c r="EJ179" s="229">
        <v>0.44479999999999997</v>
      </c>
      <c r="EK179" s="228">
        <v>9.8699999999999992</v>
      </c>
      <c r="EL179" s="228">
        <v>4.5999999999999996</v>
      </c>
      <c r="EM179" s="228">
        <v>39.619999999999997</v>
      </c>
      <c r="EN179" s="228">
        <v>4.37</v>
      </c>
      <c r="EO179" s="228">
        <v>54.09</v>
      </c>
      <c r="EP179" s="228">
        <v>74.34</v>
      </c>
      <c r="EQ179" s="228">
        <v>-20.25</v>
      </c>
      <c r="ER179" s="229">
        <v>-0.27250000000000002</v>
      </c>
      <c r="ES179" s="228">
        <v>176.7</v>
      </c>
      <c r="ET179" s="228">
        <v>121.35</v>
      </c>
      <c r="EU179" s="231">
        <v>3485.26</v>
      </c>
      <c r="EV179" s="231">
        <v>216861410</v>
      </c>
      <c r="EW179" s="231">
        <v>3783.31</v>
      </c>
      <c r="EX179" s="231">
        <v>3774.52</v>
      </c>
      <c r="EY179" s="228">
        <v>8.7899999999999991</v>
      </c>
      <c r="EZ179" s="229">
        <v>2.3E-3</v>
      </c>
      <c r="FA179" s="229">
        <v>1.0125999999999999</v>
      </c>
      <c r="FB179" s="227" t="s">
        <v>693</v>
      </c>
      <c r="FC179">
        <f t="shared" si="3"/>
        <v>0</v>
      </c>
    </row>
    <row r="180" spans="1:159" ht="17.25" thickBot="1" x14ac:dyDescent="0.3">
      <c r="A180" s="226">
        <v>46129</v>
      </c>
      <c r="B180" s="227" t="s">
        <v>175</v>
      </c>
      <c r="C180" s="227" t="s">
        <v>684</v>
      </c>
      <c r="D180" s="228">
        <v>4300</v>
      </c>
      <c r="E180" s="228">
        <v>11</v>
      </c>
      <c r="F180" s="228">
        <v>154.51</v>
      </c>
      <c r="G180" s="228">
        <v>154.91999999999999</v>
      </c>
      <c r="H180" s="228">
        <v>-0.41</v>
      </c>
      <c r="I180" s="229">
        <v>-2.5999999999999999E-3</v>
      </c>
      <c r="J180" s="228">
        <v>154.53</v>
      </c>
      <c r="K180" s="228">
        <v>154.96</v>
      </c>
      <c r="L180" s="228">
        <v>-0.43</v>
      </c>
      <c r="M180" s="229">
        <v>-2.8E-3</v>
      </c>
      <c r="N180" s="228">
        <v>154.51</v>
      </c>
      <c r="O180" s="228">
        <v>154.91999999999999</v>
      </c>
      <c r="P180" s="228">
        <v>-0.41</v>
      </c>
      <c r="Q180" s="229">
        <v>-2.5999999999999999E-3</v>
      </c>
      <c r="R180" s="228">
        <v>155.5</v>
      </c>
      <c r="S180" s="228">
        <v>155.77000000000001</v>
      </c>
      <c r="T180" s="228">
        <v>-0.27</v>
      </c>
      <c r="U180" s="229">
        <v>-1.6999999999999999E-3</v>
      </c>
      <c r="V180" s="228">
        <v>156</v>
      </c>
      <c r="W180" s="228">
        <v>156.03</v>
      </c>
      <c r="X180" s="228">
        <v>-0.03</v>
      </c>
      <c r="Y180" s="229">
        <v>-2.0000000000000001E-4</v>
      </c>
      <c r="Z180" s="228">
        <v>-0.02</v>
      </c>
      <c r="AA180" s="228">
        <v>-0.04</v>
      </c>
      <c r="AB180" s="228">
        <v>0.02</v>
      </c>
      <c r="AC180" s="229">
        <v>-1E-4</v>
      </c>
      <c r="AD180" s="228">
        <v>-0.02</v>
      </c>
      <c r="AE180" s="228">
        <v>-0.04</v>
      </c>
      <c r="AF180" s="228">
        <v>0.02</v>
      </c>
      <c r="AG180" s="229">
        <v>-1E-4</v>
      </c>
      <c r="AH180" s="228">
        <v>0.97</v>
      </c>
      <c r="AI180" s="228">
        <v>0.81</v>
      </c>
      <c r="AJ180" s="228">
        <v>0.16</v>
      </c>
      <c r="AK180" s="229">
        <v>6.3E-3</v>
      </c>
      <c r="AL180" s="228">
        <v>1.47</v>
      </c>
      <c r="AM180" s="228">
        <v>1.07</v>
      </c>
      <c r="AN180" s="228">
        <v>0.4</v>
      </c>
      <c r="AO180" s="229">
        <v>9.4999999999999998E-3</v>
      </c>
      <c r="AP180" s="228">
        <v>154.26</v>
      </c>
      <c r="AQ180" s="228">
        <v>154.93</v>
      </c>
      <c r="AR180" s="228">
        <v>0</v>
      </c>
      <c r="AS180" s="228">
        <v>29</v>
      </c>
      <c r="AT180" s="228">
        <v>19</v>
      </c>
      <c r="AU180" s="228">
        <v>10</v>
      </c>
      <c r="AV180" s="229">
        <v>0.50880000000000003</v>
      </c>
      <c r="AW180" s="228">
        <v>26</v>
      </c>
      <c r="AX180" s="228">
        <v>16</v>
      </c>
      <c r="AY180" s="228">
        <v>10</v>
      </c>
      <c r="AZ180" s="229">
        <v>0.6048</v>
      </c>
      <c r="BA180" s="228">
        <v>2</v>
      </c>
      <c r="BB180" s="228">
        <v>1</v>
      </c>
      <c r="BC180" s="228">
        <v>1</v>
      </c>
      <c r="BD180" s="229">
        <v>0.86670000000000003</v>
      </c>
      <c r="BE180" s="228">
        <v>0</v>
      </c>
      <c r="BF180" s="228">
        <v>1</v>
      </c>
      <c r="BG180" s="228">
        <v>-1</v>
      </c>
      <c r="BH180" s="229">
        <v>-0.81820000000000004</v>
      </c>
      <c r="BI180" s="228">
        <v>3</v>
      </c>
      <c r="BJ180" s="228">
        <v>11</v>
      </c>
      <c r="BK180" s="228">
        <v>-9</v>
      </c>
      <c r="BL180" s="229">
        <v>-0.77510000000000001</v>
      </c>
      <c r="BM180" s="228">
        <v>2</v>
      </c>
      <c r="BN180" s="228">
        <v>10</v>
      </c>
      <c r="BO180" s="228">
        <v>-8</v>
      </c>
      <c r="BP180" s="229">
        <v>-0.75970000000000004</v>
      </c>
      <c r="BQ180" s="228">
        <v>34</v>
      </c>
      <c r="BR180" s="228">
        <v>40</v>
      </c>
      <c r="BS180" s="228">
        <v>-7</v>
      </c>
      <c r="BT180" s="229">
        <v>-0.1694</v>
      </c>
      <c r="BU180" s="230">
        <v>8668918</v>
      </c>
      <c r="BV180" s="230">
        <v>10339789</v>
      </c>
      <c r="BW180" s="230">
        <v>-1670871</v>
      </c>
      <c r="BX180" s="229">
        <v>-0.16159999999999999</v>
      </c>
      <c r="BY180" s="230">
        <v>1520</v>
      </c>
      <c r="BZ180" s="230">
        <v>1544</v>
      </c>
      <c r="CA180" s="228">
        <v>-24</v>
      </c>
      <c r="CB180" s="229">
        <v>-1.54E-2</v>
      </c>
      <c r="CC180" s="230">
        <v>1457</v>
      </c>
      <c r="CD180" s="230">
        <v>1480</v>
      </c>
      <c r="CE180" s="228">
        <v>-23</v>
      </c>
      <c r="CF180" s="229">
        <v>-1.54E-2</v>
      </c>
      <c r="CG180" s="228">
        <v>60</v>
      </c>
      <c r="CH180" s="228">
        <v>61</v>
      </c>
      <c r="CI180" s="228">
        <v>-1</v>
      </c>
      <c r="CJ180" s="229">
        <v>-1.43E-2</v>
      </c>
      <c r="CK180" s="228">
        <v>3</v>
      </c>
      <c r="CL180" s="228">
        <v>4</v>
      </c>
      <c r="CM180" s="228">
        <v>0</v>
      </c>
      <c r="CN180" s="229">
        <v>-3.7699999999999997E-2</v>
      </c>
      <c r="CO180" s="228">
        <v>270</v>
      </c>
      <c r="CP180" s="228">
        <v>271</v>
      </c>
      <c r="CQ180" s="228">
        <v>-1</v>
      </c>
      <c r="CR180" s="229">
        <v>-2.7000000000000001E-3</v>
      </c>
      <c r="CS180" s="228">
        <v>292</v>
      </c>
      <c r="CT180" s="228">
        <v>294</v>
      </c>
      <c r="CU180" s="228">
        <v>-2</v>
      </c>
      <c r="CV180" s="229">
        <v>-7.1999999999999998E-3</v>
      </c>
      <c r="CW180" s="230">
        <v>2083</v>
      </c>
      <c r="CX180" s="230">
        <v>2109</v>
      </c>
      <c r="CY180" s="228">
        <v>-27</v>
      </c>
      <c r="CZ180" s="229">
        <v>-1.26E-2</v>
      </c>
      <c r="DA180" s="228">
        <v>35.32</v>
      </c>
      <c r="DB180" s="228">
        <v>34.07</v>
      </c>
      <c r="DC180" s="228">
        <v>1.25</v>
      </c>
      <c r="DD180" s="228">
        <v>1.25</v>
      </c>
      <c r="DE180" s="228">
        <v>53.42</v>
      </c>
      <c r="DF180" s="228">
        <v>53.55</v>
      </c>
      <c r="DG180" s="228">
        <v>-18.100000000000001</v>
      </c>
      <c r="DH180" s="228">
        <v>-0.13</v>
      </c>
      <c r="DI180" s="228">
        <v>33.26</v>
      </c>
      <c r="DJ180" s="228">
        <v>33.299999999999997</v>
      </c>
      <c r="DK180" s="228">
        <v>-0.04</v>
      </c>
      <c r="DL180" s="228">
        <v>-0.04</v>
      </c>
      <c r="DM180" s="228">
        <v>37.44</v>
      </c>
      <c r="DN180" s="228">
        <v>34.93</v>
      </c>
      <c r="DO180" s="228">
        <v>2.5099999999999998</v>
      </c>
      <c r="DP180" s="228">
        <v>2.5099999999999998</v>
      </c>
      <c r="DQ180" s="228">
        <v>1.08</v>
      </c>
      <c r="DR180" s="228">
        <v>1.0900000000000001</v>
      </c>
      <c r="DS180" s="228">
        <v>-0.01</v>
      </c>
      <c r="DT180" s="229">
        <v>-9.1999999999999998E-3</v>
      </c>
      <c r="DU180" s="228">
        <v>150</v>
      </c>
      <c r="DV180" s="228">
        <v>140</v>
      </c>
      <c r="DW180" s="228">
        <v>0.97</v>
      </c>
      <c r="DX180" s="228">
        <v>0.91</v>
      </c>
      <c r="DY180" s="228">
        <v>0.06</v>
      </c>
      <c r="DZ180" s="229">
        <v>6.59E-2</v>
      </c>
      <c r="EA180" s="229">
        <v>4.1500000000000002E-2</v>
      </c>
      <c r="EB180" s="230">
        <v>4145200</v>
      </c>
      <c r="EC180" s="229">
        <v>6.4000000000000003E-3</v>
      </c>
      <c r="ED180" s="229">
        <v>4.1500000000000002E-2</v>
      </c>
      <c r="EE180" s="228">
        <v>0.67</v>
      </c>
      <c r="EF180" s="229">
        <v>4.3E-3</v>
      </c>
      <c r="EG180" s="230">
        <v>4554925</v>
      </c>
      <c r="EH180" s="230">
        <v>4824842</v>
      </c>
      <c r="EI180" s="229">
        <v>-5.5899999999999998E-2</v>
      </c>
      <c r="EJ180" s="229">
        <v>0.52539999999999998</v>
      </c>
      <c r="EK180" s="228">
        <v>2.63</v>
      </c>
      <c r="EL180" s="228">
        <v>2.25</v>
      </c>
      <c r="EM180" s="228">
        <v>28.53</v>
      </c>
      <c r="EN180" s="228">
        <v>4.67</v>
      </c>
      <c r="EO180" s="228">
        <v>33.42</v>
      </c>
      <c r="EP180" s="228">
        <v>40.51</v>
      </c>
      <c r="EQ180" s="228">
        <v>-7.09</v>
      </c>
      <c r="ER180" s="229">
        <v>-0.17499999999999999</v>
      </c>
      <c r="ES180" s="228">
        <v>272.69</v>
      </c>
      <c r="ET180" s="228">
        <v>266.7</v>
      </c>
      <c r="EU180" s="231">
        <v>1520.35</v>
      </c>
      <c r="EV180" s="231">
        <v>122372064</v>
      </c>
      <c r="EW180" s="231">
        <v>2059.7399999999998</v>
      </c>
      <c r="EX180" s="231">
        <v>2090.2399999999998</v>
      </c>
      <c r="EY180" s="228">
        <v>-30.5</v>
      </c>
      <c r="EZ180" s="229">
        <v>-1.46E-2</v>
      </c>
      <c r="FA180" s="229">
        <v>1.1013999999999999</v>
      </c>
      <c r="FB180" s="227" t="s">
        <v>567</v>
      </c>
      <c r="FC180">
        <f t="shared" si="3"/>
        <v>0</v>
      </c>
    </row>
    <row r="181" spans="1:159" ht="17.25" thickBot="1" x14ac:dyDescent="0.3">
      <c r="A181" s="226">
        <v>46129</v>
      </c>
      <c r="B181" s="227" t="s">
        <v>175</v>
      </c>
      <c r="C181" s="227" t="s">
        <v>536</v>
      </c>
      <c r="D181" s="228">
        <v>800</v>
      </c>
      <c r="E181" s="228">
        <v>11</v>
      </c>
      <c r="F181" s="228">
        <v>696.1</v>
      </c>
      <c r="G181" s="228">
        <v>685.5</v>
      </c>
      <c r="H181" s="228">
        <v>10.6</v>
      </c>
      <c r="I181" s="229">
        <v>1.55E-2</v>
      </c>
      <c r="J181" s="228">
        <v>695.2</v>
      </c>
      <c r="K181" s="228">
        <v>685.6</v>
      </c>
      <c r="L181" s="228">
        <v>9.6</v>
      </c>
      <c r="M181" s="229">
        <v>1.4E-2</v>
      </c>
      <c r="N181" s="228">
        <v>696.1</v>
      </c>
      <c r="O181" s="228">
        <v>685.5</v>
      </c>
      <c r="P181" s="228">
        <v>10.6</v>
      </c>
      <c r="Q181" s="229">
        <v>1.55E-2</v>
      </c>
      <c r="R181" s="228">
        <v>673.85</v>
      </c>
      <c r="S181" s="228">
        <v>663.55</v>
      </c>
      <c r="T181" s="228">
        <v>10.3</v>
      </c>
      <c r="U181" s="229">
        <v>1.55E-2</v>
      </c>
      <c r="V181" s="228">
        <v>660.85</v>
      </c>
      <c r="W181" s="228">
        <v>651.35</v>
      </c>
      <c r="X181" s="228">
        <v>9.5</v>
      </c>
      <c r="Y181" s="229">
        <v>1.46E-2</v>
      </c>
      <c r="Z181" s="228">
        <v>0.9</v>
      </c>
      <c r="AA181" s="228">
        <v>-0.1</v>
      </c>
      <c r="AB181" s="228">
        <v>1</v>
      </c>
      <c r="AC181" s="229">
        <v>1.2999999999999999E-3</v>
      </c>
      <c r="AD181" s="228">
        <v>0.9</v>
      </c>
      <c r="AE181" s="228">
        <v>-0.1</v>
      </c>
      <c r="AF181" s="228">
        <v>1</v>
      </c>
      <c r="AG181" s="229">
        <v>1.2999999999999999E-3</v>
      </c>
      <c r="AH181" s="228">
        <v>-21.35</v>
      </c>
      <c r="AI181" s="228">
        <v>-22.05</v>
      </c>
      <c r="AJ181" s="228">
        <v>0.7</v>
      </c>
      <c r="AK181" s="229">
        <v>-3.0700000000000002E-2</v>
      </c>
      <c r="AL181" s="228">
        <v>-34.35</v>
      </c>
      <c r="AM181" s="228">
        <v>-34.25</v>
      </c>
      <c r="AN181" s="228">
        <v>-0.1</v>
      </c>
      <c r="AO181" s="229">
        <v>-4.9399999999999999E-2</v>
      </c>
      <c r="AP181" s="228">
        <v>693.39</v>
      </c>
      <c r="AQ181" s="228">
        <v>670.16</v>
      </c>
      <c r="AR181" s="228">
        <v>0</v>
      </c>
      <c r="AS181" s="228">
        <v>316</v>
      </c>
      <c r="AT181" s="228">
        <v>293</v>
      </c>
      <c r="AU181" s="228">
        <v>22</v>
      </c>
      <c r="AV181" s="229">
        <v>7.6799999999999993E-2</v>
      </c>
      <c r="AW181" s="228">
        <v>209</v>
      </c>
      <c r="AX181" s="228">
        <v>201</v>
      </c>
      <c r="AY181" s="228">
        <v>8</v>
      </c>
      <c r="AZ181" s="229">
        <v>3.8800000000000001E-2</v>
      </c>
      <c r="BA181" s="228">
        <v>90</v>
      </c>
      <c r="BB181" s="228">
        <v>76</v>
      </c>
      <c r="BC181" s="228">
        <v>14</v>
      </c>
      <c r="BD181" s="229">
        <v>0.18720000000000001</v>
      </c>
      <c r="BE181" s="228">
        <v>17</v>
      </c>
      <c r="BF181" s="228">
        <v>16</v>
      </c>
      <c r="BG181" s="228">
        <v>1</v>
      </c>
      <c r="BH181" s="229">
        <v>3.1300000000000001E-2</v>
      </c>
      <c r="BI181" s="228">
        <v>345</v>
      </c>
      <c r="BJ181" s="228">
        <v>276</v>
      </c>
      <c r="BK181" s="228">
        <v>70</v>
      </c>
      <c r="BL181" s="229">
        <v>0.25240000000000001</v>
      </c>
      <c r="BM181" s="228">
        <v>195</v>
      </c>
      <c r="BN181" s="228">
        <v>195</v>
      </c>
      <c r="BO181" s="228">
        <v>1</v>
      </c>
      <c r="BP181" s="229">
        <v>2.5999999999999999E-3</v>
      </c>
      <c r="BQ181" s="228">
        <v>856</v>
      </c>
      <c r="BR181" s="228">
        <v>763</v>
      </c>
      <c r="BS181" s="228">
        <v>93</v>
      </c>
      <c r="BT181" s="229">
        <v>0.1212</v>
      </c>
      <c r="BU181" s="230">
        <v>785495</v>
      </c>
      <c r="BV181" s="230">
        <v>825669</v>
      </c>
      <c r="BW181" s="230">
        <v>-40174</v>
      </c>
      <c r="BX181" s="229">
        <v>-4.87E-2</v>
      </c>
      <c r="BY181" s="230">
        <v>1926</v>
      </c>
      <c r="BZ181" s="230">
        <v>1861</v>
      </c>
      <c r="CA181" s="228">
        <v>65</v>
      </c>
      <c r="CB181" s="229">
        <v>3.4700000000000002E-2</v>
      </c>
      <c r="CC181" s="230">
        <v>1620</v>
      </c>
      <c r="CD181" s="230">
        <v>1599</v>
      </c>
      <c r="CE181" s="228">
        <v>21</v>
      </c>
      <c r="CF181" s="229">
        <v>1.32E-2</v>
      </c>
      <c r="CG181" s="228">
        <v>248</v>
      </c>
      <c r="CH181" s="228">
        <v>210</v>
      </c>
      <c r="CI181" s="228">
        <v>38</v>
      </c>
      <c r="CJ181" s="229">
        <v>0.17860000000000001</v>
      </c>
      <c r="CK181" s="228">
        <v>57</v>
      </c>
      <c r="CL181" s="228">
        <v>51</v>
      </c>
      <c r="CM181" s="228">
        <v>6</v>
      </c>
      <c r="CN181" s="229">
        <v>0.1164</v>
      </c>
      <c r="CO181" s="228">
        <v>533</v>
      </c>
      <c r="CP181" s="228">
        <v>496</v>
      </c>
      <c r="CQ181" s="228">
        <v>36</v>
      </c>
      <c r="CR181" s="229">
        <v>7.3099999999999998E-2</v>
      </c>
      <c r="CS181" s="228">
        <v>396</v>
      </c>
      <c r="CT181" s="228">
        <v>394</v>
      </c>
      <c r="CU181" s="228">
        <v>2</v>
      </c>
      <c r="CV181" s="229">
        <v>5.4000000000000003E-3</v>
      </c>
      <c r="CW181" s="230">
        <v>2855</v>
      </c>
      <c r="CX181" s="230">
        <v>2752</v>
      </c>
      <c r="CY181" s="228">
        <v>103</v>
      </c>
      <c r="CZ181" s="229">
        <v>3.7400000000000003E-2</v>
      </c>
      <c r="DA181" s="228">
        <v>35.619999999999997</v>
      </c>
      <c r="DB181" s="228">
        <v>37.619999999999997</v>
      </c>
      <c r="DC181" s="228">
        <v>-2</v>
      </c>
      <c r="DD181" s="228">
        <v>-2</v>
      </c>
      <c r="DE181" s="228">
        <v>32.18</v>
      </c>
      <c r="DF181" s="228">
        <v>32.21</v>
      </c>
      <c r="DG181" s="228">
        <v>3.44</v>
      </c>
      <c r="DH181" s="228">
        <v>-0.03</v>
      </c>
      <c r="DI181" s="228">
        <v>34.93</v>
      </c>
      <c r="DJ181" s="228">
        <v>36.590000000000003</v>
      </c>
      <c r="DK181" s="228">
        <v>-1.66</v>
      </c>
      <c r="DL181" s="228">
        <v>-1.66</v>
      </c>
      <c r="DM181" s="228">
        <v>36.83</v>
      </c>
      <c r="DN181" s="228">
        <v>39.07</v>
      </c>
      <c r="DO181" s="228">
        <v>-2.2400000000000002</v>
      </c>
      <c r="DP181" s="228">
        <v>-2.2400000000000002</v>
      </c>
      <c r="DQ181" s="228">
        <v>0.74</v>
      </c>
      <c r="DR181" s="228">
        <v>0.79</v>
      </c>
      <c r="DS181" s="228">
        <v>-0.05</v>
      </c>
      <c r="DT181" s="229">
        <v>-6.3299999999999995E-2</v>
      </c>
      <c r="DU181" s="228">
        <v>800</v>
      </c>
      <c r="DV181" s="228">
        <v>700</v>
      </c>
      <c r="DW181" s="228">
        <v>0.56999999999999995</v>
      </c>
      <c r="DX181" s="228">
        <v>0.71</v>
      </c>
      <c r="DY181" s="228">
        <v>-0.14000000000000001</v>
      </c>
      <c r="DZ181" s="229">
        <v>-0.19719999999999999</v>
      </c>
      <c r="EA181" s="229">
        <v>0.1585</v>
      </c>
      <c r="EB181" s="230">
        <v>3758400</v>
      </c>
      <c r="EC181" s="229">
        <v>-3.2000000000000001E-2</v>
      </c>
      <c r="ED181" s="229">
        <v>0.1585</v>
      </c>
      <c r="EE181" s="228">
        <v>-23.23</v>
      </c>
      <c r="EF181" s="229">
        <v>-3.3500000000000002E-2</v>
      </c>
      <c r="EG181" s="230">
        <v>284169</v>
      </c>
      <c r="EH181" s="230">
        <v>333817</v>
      </c>
      <c r="EI181" s="229">
        <v>-0.1487</v>
      </c>
      <c r="EJ181" s="229">
        <v>0.36180000000000001</v>
      </c>
      <c r="EK181" s="228">
        <v>359.59</v>
      </c>
      <c r="EL181" s="228">
        <v>193.26</v>
      </c>
      <c r="EM181" s="228">
        <v>310.45</v>
      </c>
      <c r="EN181" s="228">
        <v>45.16</v>
      </c>
      <c r="EO181" s="228">
        <v>863.3</v>
      </c>
      <c r="EP181" s="228">
        <v>765.81</v>
      </c>
      <c r="EQ181" s="228">
        <v>97.49</v>
      </c>
      <c r="ER181" s="229">
        <v>0.1273</v>
      </c>
      <c r="ES181" s="228">
        <v>547.42999999999995</v>
      </c>
      <c r="ET181" s="228">
        <v>379.75</v>
      </c>
      <c r="EU181" s="231">
        <v>1914.7</v>
      </c>
      <c r="EV181" s="231">
        <v>44841373</v>
      </c>
      <c r="EW181" s="231">
        <v>2841.89</v>
      </c>
      <c r="EX181" s="231">
        <v>2710.61</v>
      </c>
      <c r="EY181" s="228">
        <v>131.28</v>
      </c>
      <c r="EZ181" s="229">
        <v>4.8399999999999999E-2</v>
      </c>
      <c r="FA181" s="229">
        <v>0.91449999999999998</v>
      </c>
      <c r="FB181" s="227" t="s">
        <v>555</v>
      </c>
      <c r="FC181">
        <f t="shared" si="3"/>
        <v>0</v>
      </c>
    </row>
    <row r="182" spans="1:159" ht="17.25" thickBot="1" x14ac:dyDescent="0.3">
      <c r="A182" s="226">
        <v>46129</v>
      </c>
      <c r="B182" s="227" t="s">
        <v>175</v>
      </c>
      <c r="C182" s="227" t="s">
        <v>462</v>
      </c>
      <c r="D182" s="228">
        <v>375</v>
      </c>
      <c r="E182" s="228">
        <v>11</v>
      </c>
      <c r="F182" s="231">
        <v>1970.4</v>
      </c>
      <c r="G182" s="231">
        <v>1975.2</v>
      </c>
      <c r="H182" s="228">
        <v>-4.8</v>
      </c>
      <c r="I182" s="229">
        <v>-2.3999999999999998E-3</v>
      </c>
      <c r="J182" s="231">
        <v>1970.9</v>
      </c>
      <c r="K182" s="231">
        <v>1974.7</v>
      </c>
      <c r="L182" s="228">
        <v>-3.8</v>
      </c>
      <c r="M182" s="229">
        <v>-1.9E-3</v>
      </c>
      <c r="N182" s="231">
        <v>1970.4</v>
      </c>
      <c r="O182" s="231">
        <v>1975.2</v>
      </c>
      <c r="P182" s="228">
        <v>-4.8</v>
      </c>
      <c r="Q182" s="229">
        <v>-2.3999999999999998E-3</v>
      </c>
      <c r="R182" s="231">
        <v>1982</v>
      </c>
      <c r="S182" s="231">
        <v>1987</v>
      </c>
      <c r="T182" s="228">
        <v>-5</v>
      </c>
      <c r="U182" s="229">
        <v>-2.5000000000000001E-3</v>
      </c>
      <c r="V182" s="231">
        <v>1994.2</v>
      </c>
      <c r="W182" s="231">
        <v>1999.5</v>
      </c>
      <c r="X182" s="228">
        <v>-5.3</v>
      </c>
      <c r="Y182" s="229">
        <v>-2.7000000000000001E-3</v>
      </c>
      <c r="Z182" s="228">
        <v>-0.5</v>
      </c>
      <c r="AA182" s="228">
        <v>0.5</v>
      </c>
      <c r="AB182" s="228">
        <v>-1</v>
      </c>
      <c r="AC182" s="229">
        <v>-2.9999999999999997E-4</v>
      </c>
      <c r="AD182" s="228">
        <v>-0.5</v>
      </c>
      <c r="AE182" s="228">
        <v>0.5</v>
      </c>
      <c r="AF182" s="228">
        <v>-1</v>
      </c>
      <c r="AG182" s="229">
        <v>-2.9999999999999997E-4</v>
      </c>
      <c r="AH182" s="228">
        <v>11.1</v>
      </c>
      <c r="AI182" s="228">
        <v>12.3</v>
      </c>
      <c r="AJ182" s="228">
        <v>-1.2</v>
      </c>
      <c r="AK182" s="229">
        <v>5.5999999999999999E-3</v>
      </c>
      <c r="AL182" s="228">
        <v>23.3</v>
      </c>
      <c r="AM182" s="228">
        <v>24.8</v>
      </c>
      <c r="AN182" s="228">
        <v>-1.5</v>
      </c>
      <c r="AO182" s="229">
        <v>1.18E-2</v>
      </c>
      <c r="AP182" s="231">
        <v>1968.72</v>
      </c>
      <c r="AQ182" s="231">
        <v>1979.98</v>
      </c>
      <c r="AR182" s="228">
        <v>0</v>
      </c>
      <c r="AS182" s="228">
        <v>131</v>
      </c>
      <c r="AT182" s="228">
        <v>321</v>
      </c>
      <c r="AU182" s="228">
        <v>-189</v>
      </c>
      <c r="AV182" s="229">
        <v>-0.59040000000000004</v>
      </c>
      <c r="AW182" s="228">
        <v>126</v>
      </c>
      <c r="AX182" s="228">
        <v>240</v>
      </c>
      <c r="AY182" s="228">
        <v>-114</v>
      </c>
      <c r="AZ182" s="229">
        <v>-0.47460000000000002</v>
      </c>
      <c r="BA182" s="228">
        <v>5</v>
      </c>
      <c r="BB182" s="228">
        <v>7</v>
      </c>
      <c r="BC182" s="228">
        <v>-2</v>
      </c>
      <c r="BD182" s="229">
        <v>-0.27779999999999999</v>
      </c>
      <c r="BE182" s="228">
        <v>1</v>
      </c>
      <c r="BF182" s="228">
        <v>74</v>
      </c>
      <c r="BG182" s="228">
        <v>-74</v>
      </c>
      <c r="BH182" s="229">
        <v>-0.99299999999999999</v>
      </c>
      <c r="BI182" s="228">
        <v>510</v>
      </c>
      <c r="BJ182" s="228">
        <v>444</v>
      </c>
      <c r="BK182" s="228">
        <v>66</v>
      </c>
      <c r="BL182" s="229">
        <v>0.14940000000000001</v>
      </c>
      <c r="BM182" s="228">
        <v>222</v>
      </c>
      <c r="BN182" s="228">
        <v>263</v>
      </c>
      <c r="BO182" s="228">
        <v>-41</v>
      </c>
      <c r="BP182" s="229">
        <v>-0.1545</v>
      </c>
      <c r="BQ182" s="228">
        <v>864</v>
      </c>
      <c r="BR182" s="230">
        <v>1027</v>
      </c>
      <c r="BS182" s="228">
        <v>-164</v>
      </c>
      <c r="BT182" s="229">
        <v>-0.1593</v>
      </c>
      <c r="BU182" s="230">
        <v>539992</v>
      </c>
      <c r="BV182" s="230">
        <v>658785</v>
      </c>
      <c r="BW182" s="230">
        <v>-118793</v>
      </c>
      <c r="BX182" s="229">
        <v>-0.18029999999999999</v>
      </c>
      <c r="BY182" s="230">
        <v>2085</v>
      </c>
      <c r="BZ182" s="230">
        <v>2096</v>
      </c>
      <c r="CA182" s="228">
        <v>-11</v>
      </c>
      <c r="CB182" s="229">
        <v>-5.4000000000000003E-3</v>
      </c>
      <c r="CC182" s="230">
        <v>1949</v>
      </c>
      <c r="CD182" s="230">
        <v>1962</v>
      </c>
      <c r="CE182" s="228">
        <v>-13</v>
      </c>
      <c r="CF182" s="229">
        <v>-6.7000000000000002E-3</v>
      </c>
      <c r="CG182" s="228">
        <v>53</v>
      </c>
      <c r="CH182" s="228">
        <v>51</v>
      </c>
      <c r="CI182" s="228">
        <v>2</v>
      </c>
      <c r="CJ182" s="229">
        <v>3.5900000000000001E-2</v>
      </c>
      <c r="CK182" s="228">
        <v>82</v>
      </c>
      <c r="CL182" s="228">
        <v>82</v>
      </c>
      <c r="CM182" s="228">
        <v>0</v>
      </c>
      <c r="CN182" s="229">
        <v>8.9999999999999998E-4</v>
      </c>
      <c r="CO182" s="228">
        <v>731</v>
      </c>
      <c r="CP182" s="228">
        <v>581</v>
      </c>
      <c r="CQ182" s="228">
        <v>150</v>
      </c>
      <c r="CR182" s="229">
        <v>0.25779999999999997</v>
      </c>
      <c r="CS182" s="228">
        <v>443</v>
      </c>
      <c r="CT182" s="228">
        <v>399</v>
      </c>
      <c r="CU182" s="228">
        <v>44</v>
      </c>
      <c r="CV182" s="229">
        <v>0.1094</v>
      </c>
      <c r="CW182" s="230">
        <v>3258</v>
      </c>
      <c r="CX182" s="230">
        <v>3076</v>
      </c>
      <c r="CY182" s="228">
        <v>182</v>
      </c>
      <c r="CZ182" s="229">
        <v>5.9200000000000003E-2</v>
      </c>
      <c r="DA182" s="228">
        <v>24.35</v>
      </c>
      <c r="DB182" s="228">
        <v>25.94</v>
      </c>
      <c r="DC182" s="228">
        <v>-1.59</v>
      </c>
      <c r="DD182" s="228">
        <v>-1.59</v>
      </c>
      <c r="DE182" s="228">
        <v>25.92</v>
      </c>
      <c r="DF182" s="228">
        <v>25.98</v>
      </c>
      <c r="DG182" s="228">
        <v>-1.57</v>
      </c>
      <c r="DH182" s="228">
        <v>-0.06</v>
      </c>
      <c r="DI182" s="228">
        <v>23.66</v>
      </c>
      <c r="DJ182" s="228">
        <v>25.14</v>
      </c>
      <c r="DK182" s="228">
        <v>-1.48</v>
      </c>
      <c r="DL182" s="228">
        <v>-1.48</v>
      </c>
      <c r="DM182" s="228">
        <v>25.94</v>
      </c>
      <c r="DN182" s="228">
        <v>27.29</v>
      </c>
      <c r="DO182" s="228">
        <v>-1.35</v>
      </c>
      <c r="DP182" s="228">
        <v>-1.35</v>
      </c>
      <c r="DQ182" s="228">
        <v>0.61</v>
      </c>
      <c r="DR182" s="228">
        <v>0.69</v>
      </c>
      <c r="DS182" s="228">
        <v>-0.08</v>
      </c>
      <c r="DT182" s="229">
        <v>-0.1159</v>
      </c>
      <c r="DU182" s="231">
        <v>2000</v>
      </c>
      <c r="DV182" s="231">
        <v>1960</v>
      </c>
      <c r="DW182" s="228">
        <v>0.44</v>
      </c>
      <c r="DX182" s="228">
        <v>0.59</v>
      </c>
      <c r="DY182" s="228">
        <v>-0.15</v>
      </c>
      <c r="DZ182" s="229">
        <v>-0.25419999999999998</v>
      </c>
      <c r="EA182" s="229">
        <v>6.5100000000000005E-2</v>
      </c>
      <c r="EB182" s="230">
        <v>679125</v>
      </c>
      <c r="EC182" s="229">
        <v>5.8999999999999999E-3</v>
      </c>
      <c r="ED182" s="229">
        <v>6.5100000000000005E-2</v>
      </c>
      <c r="EE182" s="228">
        <v>11.26</v>
      </c>
      <c r="EF182" s="229">
        <v>5.7000000000000002E-3</v>
      </c>
      <c r="EG182" s="230">
        <v>337862</v>
      </c>
      <c r="EH182" s="230">
        <v>348423</v>
      </c>
      <c r="EI182" s="229">
        <v>-3.0300000000000001E-2</v>
      </c>
      <c r="EJ182" s="229">
        <v>0.62570000000000003</v>
      </c>
      <c r="EK182" s="228">
        <v>529.19000000000005</v>
      </c>
      <c r="EL182" s="228">
        <v>220.39</v>
      </c>
      <c r="EM182" s="228">
        <v>131.22</v>
      </c>
      <c r="EN182" s="228">
        <v>32.99</v>
      </c>
      <c r="EO182" s="228">
        <v>880.81</v>
      </c>
      <c r="EP182" s="231">
        <v>1031.93</v>
      </c>
      <c r="EQ182" s="228">
        <v>-151.12</v>
      </c>
      <c r="ER182" s="229">
        <v>-0.1464</v>
      </c>
      <c r="ES182" s="228">
        <v>735.28</v>
      </c>
      <c r="ET182" s="228">
        <v>408.88</v>
      </c>
      <c r="EU182" s="231">
        <v>2086.19</v>
      </c>
      <c r="EV182" s="231">
        <v>45527821</v>
      </c>
      <c r="EW182" s="231">
        <v>3230.35</v>
      </c>
      <c r="EX182" s="231">
        <v>3051.11</v>
      </c>
      <c r="EY182" s="228">
        <v>179.24</v>
      </c>
      <c r="EZ182" s="229">
        <v>5.8700000000000002E-2</v>
      </c>
      <c r="FA182" s="229">
        <v>0.36320000000000002</v>
      </c>
      <c r="FB182" s="227" t="s">
        <v>567</v>
      </c>
      <c r="FC182">
        <f t="shared" si="3"/>
        <v>0</v>
      </c>
    </row>
    <row r="183" spans="1:159" ht="17.25" thickBot="1" x14ac:dyDescent="0.3">
      <c r="A183" s="226">
        <v>46129</v>
      </c>
      <c r="B183" s="227" t="s">
        <v>172</v>
      </c>
      <c r="C183" s="227" t="s">
        <v>283</v>
      </c>
      <c r="D183" s="228">
        <v>750</v>
      </c>
      <c r="E183" s="228">
        <v>11</v>
      </c>
      <c r="F183" s="231">
        <v>1082.8</v>
      </c>
      <c r="G183" s="231">
        <v>1070.1500000000001</v>
      </c>
      <c r="H183" s="228">
        <v>12.65</v>
      </c>
      <c r="I183" s="229">
        <v>1.18E-2</v>
      </c>
      <c r="J183" s="231">
        <v>1080.25</v>
      </c>
      <c r="K183" s="231">
        <v>1067.1500000000001</v>
      </c>
      <c r="L183" s="228">
        <v>13.1</v>
      </c>
      <c r="M183" s="229">
        <v>1.23E-2</v>
      </c>
      <c r="N183" s="231">
        <v>1082.8</v>
      </c>
      <c r="O183" s="231">
        <v>1070.1500000000001</v>
      </c>
      <c r="P183" s="228">
        <v>12.65</v>
      </c>
      <c r="Q183" s="229">
        <v>1.18E-2</v>
      </c>
      <c r="R183" s="231">
        <v>1077.0999999999999</v>
      </c>
      <c r="S183" s="231">
        <v>1064.95</v>
      </c>
      <c r="T183" s="228">
        <v>12.15</v>
      </c>
      <c r="U183" s="229">
        <v>1.14E-2</v>
      </c>
      <c r="V183" s="231">
        <v>1078.7</v>
      </c>
      <c r="W183" s="231">
        <v>1065.75</v>
      </c>
      <c r="X183" s="228">
        <v>12.95</v>
      </c>
      <c r="Y183" s="229">
        <v>1.2200000000000001E-2</v>
      </c>
      <c r="Z183" s="228">
        <v>2.5499999999999998</v>
      </c>
      <c r="AA183" s="228">
        <v>3</v>
      </c>
      <c r="AB183" s="228">
        <v>-0.45</v>
      </c>
      <c r="AC183" s="229">
        <v>2.3999999999999998E-3</v>
      </c>
      <c r="AD183" s="228">
        <v>2.5499999999999998</v>
      </c>
      <c r="AE183" s="228">
        <v>3</v>
      </c>
      <c r="AF183" s="228">
        <v>-0.45</v>
      </c>
      <c r="AG183" s="229">
        <v>2.3999999999999998E-3</v>
      </c>
      <c r="AH183" s="228">
        <v>-3.15</v>
      </c>
      <c r="AI183" s="228">
        <v>-2.2000000000000002</v>
      </c>
      <c r="AJ183" s="228">
        <v>-0.95</v>
      </c>
      <c r="AK183" s="229">
        <v>-2.8999999999999998E-3</v>
      </c>
      <c r="AL183" s="228">
        <v>-1.55</v>
      </c>
      <c r="AM183" s="228">
        <v>-1.4</v>
      </c>
      <c r="AN183" s="228">
        <v>-0.15</v>
      </c>
      <c r="AO183" s="229">
        <v>-1.4E-3</v>
      </c>
      <c r="AP183" s="231">
        <v>1076.96</v>
      </c>
      <c r="AQ183" s="231">
        <v>1069.46</v>
      </c>
      <c r="AR183" s="228">
        <v>0</v>
      </c>
      <c r="AS183" s="230">
        <v>1312</v>
      </c>
      <c r="AT183" s="230">
        <v>1201</v>
      </c>
      <c r="AU183" s="228">
        <v>112</v>
      </c>
      <c r="AV183" s="229">
        <v>9.3100000000000002E-2</v>
      </c>
      <c r="AW183" s="230">
        <v>1029</v>
      </c>
      <c r="AX183" s="228">
        <v>973</v>
      </c>
      <c r="AY183" s="228">
        <v>56</v>
      </c>
      <c r="AZ183" s="229">
        <v>5.7599999999999998E-2</v>
      </c>
      <c r="BA183" s="228">
        <v>259</v>
      </c>
      <c r="BB183" s="228">
        <v>198</v>
      </c>
      <c r="BC183" s="228">
        <v>61</v>
      </c>
      <c r="BD183" s="229">
        <v>0.31109999999999999</v>
      </c>
      <c r="BE183" s="228">
        <v>25</v>
      </c>
      <c r="BF183" s="228">
        <v>30</v>
      </c>
      <c r="BG183" s="228">
        <v>-6</v>
      </c>
      <c r="BH183" s="229">
        <v>-0.1903</v>
      </c>
      <c r="BI183" s="230">
        <v>6175</v>
      </c>
      <c r="BJ183" s="230">
        <v>4891</v>
      </c>
      <c r="BK183" s="230">
        <v>1283</v>
      </c>
      <c r="BL183" s="229">
        <v>0.26240000000000002</v>
      </c>
      <c r="BM183" s="230">
        <v>3812</v>
      </c>
      <c r="BN183" s="230">
        <v>3170</v>
      </c>
      <c r="BO183" s="228">
        <v>642</v>
      </c>
      <c r="BP183" s="229">
        <v>0.2024</v>
      </c>
      <c r="BQ183" s="230">
        <v>11298</v>
      </c>
      <c r="BR183" s="230">
        <v>9262</v>
      </c>
      <c r="BS183" s="230">
        <v>2037</v>
      </c>
      <c r="BT183" s="229">
        <v>0.21990000000000001</v>
      </c>
      <c r="BU183" s="230">
        <v>17533119</v>
      </c>
      <c r="BV183" s="230">
        <v>22608328</v>
      </c>
      <c r="BW183" s="230">
        <v>-5075209</v>
      </c>
      <c r="BX183" s="229">
        <v>-0.22450000000000001</v>
      </c>
      <c r="BY183" s="230">
        <v>8726</v>
      </c>
      <c r="BZ183" s="230">
        <v>8575</v>
      </c>
      <c r="CA183" s="228">
        <v>152</v>
      </c>
      <c r="CB183" s="229">
        <v>1.77E-2</v>
      </c>
      <c r="CC183" s="230">
        <v>7773</v>
      </c>
      <c r="CD183" s="230">
        <v>7773</v>
      </c>
      <c r="CE183" s="228">
        <v>0</v>
      </c>
      <c r="CF183" s="229">
        <v>0</v>
      </c>
      <c r="CG183" s="228">
        <v>769</v>
      </c>
      <c r="CH183" s="228">
        <v>621</v>
      </c>
      <c r="CI183" s="228">
        <v>148</v>
      </c>
      <c r="CJ183" s="229">
        <v>0.23769999999999999</v>
      </c>
      <c r="CK183" s="228">
        <v>184</v>
      </c>
      <c r="CL183" s="228">
        <v>180</v>
      </c>
      <c r="CM183" s="228">
        <v>4</v>
      </c>
      <c r="CN183" s="229">
        <v>2.1600000000000001E-2</v>
      </c>
      <c r="CO183" s="230">
        <v>4856</v>
      </c>
      <c r="CP183" s="230">
        <v>4938</v>
      </c>
      <c r="CQ183" s="228">
        <v>-82</v>
      </c>
      <c r="CR183" s="229">
        <v>-1.66E-2</v>
      </c>
      <c r="CS183" s="230">
        <v>3912</v>
      </c>
      <c r="CT183" s="230">
        <v>3622</v>
      </c>
      <c r="CU183" s="228">
        <v>290</v>
      </c>
      <c r="CV183" s="229">
        <v>8.0199999999999994E-2</v>
      </c>
      <c r="CW183" s="230">
        <v>17494</v>
      </c>
      <c r="CX183" s="230">
        <v>17134</v>
      </c>
      <c r="CY183" s="228">
        <v>360</v>
      </c>
      <c r="CZ183" s="229">
        <v>2.1000000000000001E-2</v>
      </c>
      <c r="DA183" s="228">
        <v>27.52</v>
      </c>
      <c r="DB183" s="228">
        <v>29.29</v>
      </c>
      <c r="DC183" s="228">
        <v>-1.77</v>
      </c>
      <c r="DD183" s="228">
        <v>-1.77</v>
      </c>
      <c r="DE183" s="228">
        <v>29.18</v>
      </c>
      <c r="DF183" s="228">
        <v>29.21</v>
      </c>
      <c r="DG183" s="228">
        <v>-1.66</v>
      </c>
      <c r="DH183" s="228">
        <v>-0.03</v>
      </c>
      <c r="DI183" s="228">
        <v>26.09</v>
      </c>
      <c r="DJ183" s="228">
        <v>28.32</v>
      </c>
      <c r="DK183" s="228">
        <v>-2.23</v>
      </c>
      <c r="DL183" s="228">
        <v>-2.23</v>
      </c>
      <c r="DM183" s="228">
        <v>29.85</v>
      </c>
      <c r="DN183" s="228">
        <v>30.79</v>
      </c>
      <c r="DO183" s="228">
        <v>-0.94</v>
      </c>
      <c r="DP183" s="228">
        <v>-0.94</v>
      </c>
      <c r="DQ183" s="228">
        <v>0.81</v>
      </c>
      <c r="DR183" s="228">
        <v>0.73</v>
      </c>
      <c r="DS183" s="228">
        <v>0.08</v>
      </c>
      <c r="DT183" s="229">
        <v>0.1096</v>
      </c>
      <c r="DU183" s="231">
        <v>1100</v>
      </c>
      <c r="DV183" s="231">
        <v>1000</v>
      </c>
      <c r="DW183" s="228">
        <v>0.62</v>
      </c>
      <c r="DX183" s="228">
        <v>0.65</v>
      </c>
      <c r="DY183" s="228">
        <v>-0.03</v>
      </c>
      <c r="DZ183" s="229">
        <v>-4.6199999999999998E-2</v>
      </c>
      <c r="EA183" s="229">
        <v>0.10929999999999999</v>
      </c>
      <c r="EB183" s="230">
        <v>7404750</v>
      </c>
      <c r="EC183" s="229">
        <v>-5.3E-3</v>
      </c>
      <c r="ED183" s="229">
        <v>0.10929999999999999</v>
      </c>
      <c r="EE183" s="228">
        <v>-7.5</v>
      </c>
      <c r="EF183" s="229">
        <v>-7.0000000000000001E-3</v>
      </c>
      <c r="EG183" s="230">
        <v>11113948</v>
      </c>
      <c r="EH183" s="230">
        <v>9113745</v>
      </c>
      <c r="EI183" s="229">
        <v>0.2195</v>
      </c>
      <c r="EJ183" s="229">
        <v>0.63390000000000002</v>
      </c>
      <c r="EK183" s="231">
        <v>6373.47</v>
      </c>
      <c r="EL183" s="231">
        <v>3697.99</v>
      </c>
      <c r="EM183" s="231">
        <v>1303.32</v>
      </c>
      <c r="EN183" s="228">
        <v>171.02</v>
      </c>
      <c r="EO183" s="231">
        <v>11374.77</v>
      </c>
      <c r="EP183" s="231">
        <v>9317.35</v>
      </c>
      <c r="EQ183" s="231">
        <v>2057.42</v>
      </c>
      <c r="ER183" s="229">
        <v>0.2208</v>
      </c>
      <c r="ES183" s="231">
        <v>4983.57</v>
      </c>
      <c r="ET183" s="231">
        <v>3684</v>
      </c>
      <c r="EU183" s="231">
        <v>8721.51</v>
      </c>
      <c r="EV183" s="231">
        <v>580324288</v>
      </c>
      <c r="EW183" s="231">
        <v>17389.09</v>
      </c>
      <c r="EX183" s="231">
        <v>16936.27</v>
      </c>
      <c r="EY183" s="228">
        <v>452.82</v>
      </c>
      <c r="EZ183" s="229">
        <v>2.6700000000000002E-2</v>
      </c>
      <c r="FA183" s="229">
        <v>0.27839999999999998</v>
      </c>
      <c r="FB183" s="227" t="s">
        <v>555</v>
      </c>
      <c r="FC183">
        <f t="shared" si="3"/>
        <v>0</v>
      </c>
    </row>
    <row r="184" spans="1:159" ht="17.25" thickBot="1" x14ac:dyDescent="0.3">
      <c r="A184" s="226">
        <v>46129</v>
      </c>
      <c r="B184" s="227" t="s">
        <v>157</v>
      </c>
      <c r="C184" s="227" t="s">
        <v>284</v>
      </c>
      <c r="D184" s="228">
        <v>25</v>
      </c>
      <c r="E184" s="228">
        <v>11</v>
      </c>
      <c r="F184" s="231">
        <v>25280</v>
      </c>
      <c r="G184" s="231">
        <v>25185</v>
      </c>
      <c r="H184" s="228">
        <v>95</v>
      </c>
      <c r="I184" s="229">
        <v>3.8E-3</v>
      </c>
      <c r="J184" s="231">
        <v>25290</v>
      </c>
      <c r="K184" s="231">
        <v>25110</v>
      </c>
      <c r="L184" s="228">
        <v>180</v>
      </c>
      <c r="M184" s="229">
        <v>7.1999999999999998E-3</v>
      </c>
      <c r="N184" s="231">
        <v>25280</v>
      </c>
      <c r="O184" s="231">
        <v>25185</v>
      </c>
      <c r="P184" s="228">
        <v>95</v>
      </c>
      <c r="Q184" s="229">
        <v>3.8E-3</v>
      </c>
      <c r="R184" s="231">
        <v>25135</v>
      </c>
      <c r="S184" s="231">
        <v>25030</v>
      </c>
      <c r="T184" s="228">
        <v>105</v>
      </c>
      <c r="U184" s="229">
        <v>4.1999999999999997E-3</v>
      </c>
      <c r="V184" s="231">
        <v>25050</v>
      </c>
      <c r="W184" s="231">
        <v>24795</v>
      </c>
      <c r="X184" s="228">
        <v>255</v>
      </c>
      <c r="Y184" s="229">
        <v>1.03E-2</v>
      </c>
      <c r="Z184" s="228">
        <v>-10</v>
      </c>
      <c r="AA184" s="228">
        <v>75</v>
      </c>
      <c r="AB184" s="228">
        <v>-85</v>
      </c>
      <c r="AC184" s="229">
        <v>-4.0000000000000002E-4</v>
      </c>
      <c r="AD184" s="228">
        <v>-10</v>
      </c>
      <c r="AE184" s="228">
        <v>75</v>
      </c>
      <c r="AF184" s="228">
        <v>-85</v>
      </c>
      <c r="AG184" s="229">
        <v>-4.0000000000000002E-4</v>
      </c>
      <c r="AH184" s="228">
        <v>-155</v>
      </c>
      <c r="AI184" s="228">
        <v>-80</v>
      </c>
      <c r="AJ184" s="228">
        <v>-75</v>
      </c>
      <c r="AK184" s="229">
        <v>-6.1000000000000004E-3</v>
      </c>
      <c r="AL184" s="228">
        <v>-240</v>
      </c>
      <c r="AM184" s="228">
        <v>-315</v>
      </c>
      <c r="AN184" s="228">
        <v>75</v>
      </c>
      <c r="AO184" s="229">
        <v>-9.4999999999999998E-3</v>
      </c>
      <c r="AP184" s="231">
        <v>25249.55</v>
      </c>
      <c r="AQ184" s="231">
        <v>25099.75</v>
      </c>
      <c r="AR184" s="228">
        <v>0</v>
      </c>
      <c r="AS184" s="228">
        <v>67</v>
      </c>
      <c r="AT184" s="228">
        <v>79</v>
      </c>
      <c r="AU184" s="228">
        <v>-12</v>
      </c>
      <c r="AV184" s="229">
        <v>-0.14899999999999999</v>
      </c>
      <c r="AW184" s="228">
        <v>56</v>
      </c>
      <c r="AX184" s="228">
        <v>74</v>
      </c>
      <c r="AY184" s="228">
        <v>-18</v>
      </c>
      <c r="AZ184" s="229">
        <v>-0.2457</v>
      </c>
      <c r="BA184" s="228">
        <v>10</v>
      </c>
      <c r="BB184" s="228">
        <v>5</v>
      </c>
      <c r="BC184" s="228">
        <v>5</v>
      </c>
      <c r="BD184" s="229">
        <v>1</v>
      </c>
      <c r="BE184" s="228">
        <v>2</v>
      </c>
      <c r="BF184" s="228">
        <v>0</v>
      </c>
      <c r="BG184" s="228">
        <v>1</v>
      </c>
      <c r="BH184" s="229">
        <v>7</v>
      </c>
      <c r="BI184" s="228">
        <v>80</v>
      </c>
      <c r="BJ184" s="228">
        <v>86</v>
      </c>
      <c r="BK184" s="228">
        <v>-6</v>
      </c>
      <c r="BL184" s="229">
        <v>-7.0999999999999994E-2</v>
      </c>
      <c r="BM184" s="228">
        <v>16</v>
      </c>
      <c r="BN184" s="228">
        <v>31</v>
      </c>
      <c r="BO184" s="228">
        <v>-16</v>
      </c>
      <c r="BP184" s="229">
        <v>-0.498</v>
      </c>
      <c r="BQ184" s="228">
        <v>163</v>
      </c>
      <c r="BR184" s="228">
        <v>197</v>
      </c>
      <c r="BS184" s="228">
        <v>-33</v>
      </c>
      <c r="BT184" s="229">
        <v>-0.1701</v>
      </c>
      <c r="BU184" s="230">
        <v>16544</v>
      </c>
      <c r="BV184" s="230">
        <v>35316</v>
      </c>
      <c r="BW184" s="230">
        <v>-18772</v>
      </c>
      <c r="BX184" s="229">
        <v>-0.53149999999999997</v>
      </c>
      <c r="BY184" s="228">
        <v>958</v>
      </c>
      <c r="BZ184" s="228">
        <v>960</v>
      </c>
      <c r="CA184" s="228">
        <v>-2</v>
      </c>
      <c r="CB184" s="229">
        <v>-2E-3</v>
      </c>
      <c r="CC184" s="228">
        <v>915</v>
      </c>
      <c r="CD184" s="228">
        <v>921</v>
      </c>
      <c r="CE184" s="228">
        <v>-7</v>
      </c>
      <c r="CF184" s="229">
        <v>-7.1000000000000004E-3</v>
      </c>
      <c r="CG184" s="228">
        <v>41</v>
      </c>
      <c r="CH184" s="228">
        <v>37</v>
      </c>
      <c r="CI184" s="228">
        <v>4</v>
      </c>
      <c r="CJ184" s="229">
        <v>0.1207</v>
      </c>
      <c r="CK184" s="228">
        <v>2</v>
      </c>
      <c r="CL184" s="228">
        <v>2</v>
      </c>
      <c r="CM184" s="228">
        <v>0</v>
      </c>
      <c r="CN184" s="229">
        <v>0.12</v>
      </c>
      <c r="CO184" s="228">
        <v>142</v>
      </c>
      <c r="CP184" s="228">
        <v>137</v>
      </c>
      <c r="CQ184" s="228">
        <v>5</v>
      </c>
      <c r="CR184" s="229">
        <v>3.9199999999999999E-2</v>
      </c>
      <c r="CS184" s="228">
        <v>121</v>
      </c>
      <c r="CT184" s="228">
        <v>117</v>
      </c>
      <c r="CU184" s="228">
        <v>4</v>
      </c>
      <c r="CV184" s="229">
        <v>3.3500000000000002E-2</v>
      </c>
      <c r="CW184" s="230">
        <v>1221</v>
      </c>
      <c r="CX184" s="230">
        <v>1213</v>
      </c>
      <c r="CY184" s="228">
        <v>7</v>
      </c>
      <c r="CZ184" s="229">
        <v>6.1000000000000004E-3</v>
      </c>
      <c r="DA184" s="228">
        <v>25.91</v>
      </c>
      <c r="DB184" s="228">
        <v>27.1</v>
      </c>
      <c r="DC184" s="228">
        <v>-1.19</v>
      </c>
      <c r="DD184" s="228">
        <v>-1.19</v>
      </c>
      <c r="DE184" s="228">
        <v>27.8</v>
      </c>
      <c r="DF184" s="228">
        <v>27.87</v>
      </c>
      <c r="DG184" s="228">
        <v>-1.89</v>
      </c>
      <c r="DH184" s="228">
        <v>-7.0000000000000007E-2</v>
      </c>
      <c r="DI184" s="228">
        <v>25.23</v>
      </c>
      <c r="DJ184" s="228">
        <v>26.25</v>
      </c>
      <c r="DK184" s="228">
        <v>-1.02</v>
      </c>
      <c r="DL184" s="228">
        <v>-1.02</v>
      </c>
      <c r="DM184" s="228">
        <v>29.39</v>
      </c>
      <c r="DN184" s="228">
        <v>29.44</v>
      </c>
      <c r="DO184" s="228">
        <v>-0.05</v>
      </c>
      <c r="DP184" s="228">
        <v>-0.05</v>
      </c>
      <c r="DQ184" s="228">
        <v>0.85</v>
      </c>
      <c r="DR184" s="228">
        <v>0.85</v>
      </c>
      <c r="DS184" s="228">
        <v>0</v>
      </c>
      <c r="DT184" s="229">
        <v>0</v>
      </c>
      <c r="DU184" s="231">
        <v>25000</v>
      </c>
      <c r="DV184" s="231">
        <v>24000</v>
      </c>
      <c r="DW184" s="228">
        <v>0.2</v>
      </c>
      <c r="DX184" s="228">
        <v>0.36</v>
      </c>
      <c r="DY184" s="228">
        <v>-0.16</v>
      </c>
      <c r="DZ184" s="229">
        <v>-0.44440000000000002</v>
      </c>
      <c r="EA184" s="229">
        <v>4.4699999999999997E-2</v>
      </c>
      <c r="EB184" s="230">
        <v>15125</v>
      </c>
      <c r="EC184" s="229">
        <v>-5.7000000000000002E-3</v>
      </c>
      <c r="ED184" s="229">
        <v>4.4699999999999997E-2</v>
      </c>
      <c r="EE184" s="228">
        <v>-149.80000000000001</v>
      </c>
      <c r="EF184" s="229">
        <v>-5.8999999999999999E-3</v>
      </c>
      <c r="EG184" s="230">
        <v>10153</v>
      </c>
      <c r="EH184" s="230">
        <v>22624</v>
      </c>
      <c r="EI184" s="229">
        <v>-0.55120000000000002</v>
      </c>
      <c r="EJ184" s="229">
        <v>0.61370000000000002</v>
      </c>
      <c r="EK184" s="228">
        <v>82.62</v>
      </c>
      <c r="EL184" s="228">
        <v>15.1</v>
      </c>
      <c r="EM184" s="228">
        <v>67.34</v>
      </c>
      <c r="EN184" s="228">
        <v>20.260000000000002</v>
      </c>
      <c r="EO184" s="228">
        <v>165.06</v>
      </c>
      <c r="EP184" s="228">
        <v>197.25</v>
      </c>
      <c r="EQ184" s="228">
        <v>-32.18</v>
      </c>
      <c r="ER184" s="229">
        <v>-0.16320000000000001</v>
      </c>
      <c r="ES184" s="228">
        <v>136.91</v>
      </c>
      <c r="ET184" s="228">
        <v>112.15</v>
      </c>
      <c r="EU184" s="228">
        <v>957.35</v>
      </c>
      <c r="EV184" s="231">
        <v>1655049</v>
      </c>
      <c r="EW184" s="231">
        <v>1206.4100000000001</v>
      </c>
      <c r="EX184" s="231">
        <v>1195.29</v>
      </c>
      <c r="EY184" s="228">
        <v>11.12</v>
      </c>
      <c r="EZ184" s="229">
        <v>9.2999999999999992E-3</v>
      </c>
      <c r="FA184" s="229">
        <v>0.2918</v>
      </c>
      <c r="FB184" s="227" t="s">
        <v>693</v>
      </c>
      <c r="FC184">
        <f t="shared" si="3"/>
        <v>0</v>
      </c>
    </row>
    <row r="185" spans="1:159" ht="17.25" thickBot="1" x14ac:dyDescent="0.3">
      <c r="A185" s="226">
        <v>46129</v>
      </c>
      <c r="B185" s="227" t="s">
        <v>175</v>
      </c>
      <c r="C185" s="227" t="s">
        <v>561</v>
      </c>
      <c r="D185" s="228">
        <v>825</v>
      </c>
      <c r="E185" s="228">
        <v>11</v>
      </c>
      <c r="F185" s="231">
        <v>1036.7</v>
      </c>
      <c r="G185" s="231">
        <v>1023.45</v>
      </c>
      <c r="H185" s="228">
        <v>13.25</v>
      </c>
      <c r="I185" s="229">
        <v>1.29E-2</v>
      </c>
      <c r="J185" s="231">
        <v>1036.95</v>
      </c>
      <c r="K185" s="231">
        <v>1022.75</v>
      </c>
      <c r="L185" s="228">
        <v>14.2</v>
      </c>
      <c r="M185" s="229">
        <v>1.3899999999999999E-2</v>
      </c>
      <c r="N185" s="231">
        <v>1036.7</v>
      </c>
      <c r="O185" s="231">
        <v>1023.45</v>
      </c>
      <c r="P185" s="228">
        <v>13.25</v>
      </c>
      <c r="Q185" s="229">
        <v>1.29E-2</v>
      </c>
      <c r="R185" s="231">
        <v>1042.4000000000001</v>
      </c>
      <c r="S185" s="231">
        <v>1029.5999999999999</v>
      </c>
      <c r="T185" s="228">
        <v>12.8</v>
      </c>
      <c r="U185" s="229">
        <v>1.24E-2</v>
      </c>
      <c r="V185" s="231">
        <v>1047.45</v>
      </c>
      <c r="W185" s="231">
        <v>1034.6500000000001</v>
      </c>
      <c r="X185" s="228">
        <v>12.8</v>
      </c>
      <c r="Y185" s="229">
        <v>1.24E-2</v>
      </c>
      <c r="Z185" s="228">
        <v>-0.25</v>
      </c>
      <c r="AA185" s="228">
        <v>0.7</v>
      </c>
      <c r="AB185" s="228">
        <v>-0.95</v>
      </c>
      <c r="AC185" s="229">
        <v>-2.0000000000000001E-4</v>
      </c>
      <c r="AD185" s="228">
        <v>-0.25</v>
      </c>
      <c r="AE185" s="228">
        <v>0.7</v>
      </c>
      <c r="AF185" s="228">
        <v>-0.95</v>
      </c>
      <c r="AG185" s="229">
        <v>-2.0000000000000001E-4</v>
      </c>
      <c r="AH185" s="228">
        <v>5.45</v>
      </c>
      <c r="AI185" s="228">
        <v>6.85</v>
      </c>
      <c r="AJ185" s="228">
        <v>-1.4</v>
      </c>
      <c r="AK185" s="229">
        <v>5.3E-3</v>
      </c>
      <c r="AL185" s="228">
        <v>10.5</v>
      </c>
      <c r="AM185" s="228">
        <v>11.9</v>
      </c>
      <c r="AN185" s="228">
        <v>-1.4</v>
      </c>
      <c r="AO185" s="229">
        <v>1.01E-2</v>
      </c>
      <c r="AP185" s="231">
        <v>1034.75</v>
      </c>
      <c r="AQ185" s="231">
        <v>1039.03</v>
      </c>
      <c r="AR185" s="228">
        <v>0</v>
      </c>
      <c r="AS185" s="228">
        <v>599</v>
      </c>
      <c r="AT185" s="228">
        <v>797</v>
      </c>
      <c r="AU185" s="228">
        <v>-198</v>
      </c>
      <c r="AV185" s="229">
        <v>-0.24790000000000001</v>
      </c>
      <c r="AW185" s="228">
        <v>446</v>
      </c>
      <c r="AX185" s="228">
        <v>652</v>
      </c>
      <c r="AY185" s="228">
        <v>-205</v>
      </c>
      <c r="AZ185" s="229">
        <v>-0.31519999999999998</v>
      </c>
      <c r="BA185" s="228">
        <v>55</v>
      </c>
      <c r="BB185" s="228">
        <v>55</v>
      </c>
      <c r="BC185" s="228">
        <v>1</v>
      </c>
      <c r="BD185" s="229">
        <v>1.0999999999999999E-2</v>
      </c>
      <c r="BE185" s="228">
        <v>98</v>
      </c>
      <c r="BF185" s="228">
        <v>91</v>
      </c>
      <c r="BG185" s="228">
        <v>7</v>
      </c>
      <c r="BH185" s="229">
        <v>8.0199999999999994E-2</v>
      </c>
      <c r="BI185" s="230">
        <v>1377</v>
      </c>
      <c r="BJ185" s="230">
        <v>1322</v>
      </c>
      <c r="BK185" s="228">
        <v>55</v>
      </c>
      <c r="BL185" s="229">
        <v>4.1700000000000001E-2</v>
      </c>
      <c r="BM185" s="228">
        <v>625</v>
      </c>
      <c r="BN185" s="228">
        <v>735</v>
      </c>
      <c r="BO185" s="228">
        <v>-110</v>
      </c>
      <c r="BP185" s="229">
        <v>-0.15010000000000001</v>
      </c>
      <c r="BQ185" s="230">
        <v>2601</v>
      </c>
      <c r="BR185" s="230">
        <v>2854</v>
      </c>
      <c r="BS185" s="228">
        <v>-253</v>
      </c>
      <c r="BT185" s="229">
        <v>-8.8599999999999998E-2</v>
      </c>
      <c r="BU185" s="230">
        <v>4455463</v>
      </c>
      <c r="BV185" s="230">
        <v>5870395</v>
      </c>
      <c r="BW185" s="230">
        <v>-1414932</v>
      </c>
      <c r="BX185" s="229">
        <v>-0.24099999999999999</v>
      </c>
      <c r="BY185" s="230">
        <v>4220</v>
      </c>
      <c r="BZ185" s="230">
        <v>4293</v>
      </c>
      <c r="CA185" s="228">
        <v>-73</v>
      </c>
      <c r="CB185" s="229">
        <v>-1.7100000000000001E-2</v>
      </c>
      <c r="CC185" s="230">
        <v>3722</v>
      </c>
      <c r="CD185" s="230">
        <v>3884</v>
      </c>
      <c r="CE185" s="228">
        <v>-163</v>
      </c>
      <c r="CF185" s="229">
        <v>-4.19E-2</v>
      </c>
      <c r="CG185" s="228">
        <v>284</v>
      </c>
      <c r="CH185" s="228">
        <v>288</v>
      </c>
      <c r="CI185" s="228">
        <v>-4</v>
      </c>
      <c r="CJ185" s="229">
        <v>-1.4800000000000001E-2</v>
      </c>
      <c r="CK185" s="228">
        <v>214</v>
      </c>
      <c r="CL185" s="228">
        <v>121</v>
      </c>
      <c r="CM185" s="228">
        <v>94</v>
      </c>
      <c r="CN185" s="229">
        <v>0.77659999999999996</v>
      </c>
      <c r="CO185" s="230">
        <v>1452</v>
      </c>
      <c r="CP185" s="230">
        <v>1490</v>
      </c>
      <c r="CQ185" s="228">
        <v>-38</v>
      </c>
      <c r="CR185" s="229">
        <v>-2.53E-2</v>
      </c>
      <c r="CS185" s="230">
        <v>1053</v>
      </c>
      <c r="CT185" s="230">
        <v>1060</v>
      </c>
      <c r="CU185" s="228">
        <v>-7</v>
      </c>
      <c r="CV185" s="229">
        <v>-7.0000000000000001E-3</v>
      </c>
      <c r="CW185" s="230">
        <v>6725</v>
      </c>
      <c r="CX185" s="230">
        <v>6843</v>
      </c>
      <c r="CY185" s="228">
        <v>-118</v>
      </c>
      <c r="CZ185" s="229">
        <v>-1.7299999999999999E-2</v>
      </c>
      <c r="DA185" s="228">
        <v>44.04</v>
      </c>
      <c r="DB185" s="228">
        <v>44.68</v>
      </c>
      <c r="DC185" s="228">
        <v>-0.64</v>
      </c>
      <c r="DD185" s="228">
        <v>-0.64</v>
      </c>
      <c r="DE185" s="228">
        <v>45.11</v>
      </c>
      <c r="DF185" s="228">
        <v>45.19</v>
      </c>
      <c r="DG185" s="228">
        <v>-1.07</v>
      </c>
      <c r="DH185" s="228">
        <v>-0.08</v>
      </c>
      <c r="DI185" s="228">
        <v>43.22</v>
      </c>
      <c r="DJ185" s="228">
        <v>44.11</v>
      </c>
      <c r="DK185" s="228">
        <v>-0.89</v>
      </c>
      <c r="DL185" s="228">
        <v>-0.89</v>
      </c>
      <c r="DM185" s="228">
        <v>45.85</v>
      </c>
      <c r="DN185" s="228">
        <v>45.7</v>
      </c>
      <c r="DO185" s="228">
        <v>0.15</v>
      </c>
      <c r="DP185" s="228">
        <v>0.15</v>
      </c>
      <c r="DQ185" s="228">
        <v>0.73</v>
      </c>
      <c r="DR185" s="228">
        <v>0.71</v>
      </c>
      <c r="DS185" s="228">
        <v>0.02</v>
      </c>
      <c r="DT185" s="229">
        <v>2.8199999999999999E-2</v>
      </c>
      <c r="DU185" s="231">
        <v>1100</v>
      </c>
      <c r="DV185" s="231">
        <v>1000</v>
      </c>
      <c r="DW185" s="228">
        <v>0.45</v>
      </c>
      <c r="DX185" s="228">
        <v>0.56000000000000005</v>
      </c>
      <c r="DY185" s="228">
        <v>-0.11</v>
      </c>
      <c r="DZ185" s="229">
        <v>-0.19639999999999999</v>
      </c>
      <c r="EA185" s="229">
        <v>0.11799999999999999</v>
      </c>
      <c r="EB185" s="230">
        <v>3941850</v>
      </c>
      <c r="EC185" s="229">
        <v>5.4999999999999997E-3</v>
      </c>
      <c r="ED185" s="229">
        <v>0.11799999999999999</v>
      </c>
      <c r="EE185" s="228">
        <v>4.28</v>
      </c>
      <c r="EF185" s="229">
        <v>4.1000000000000003E-3</v>
      </c>
      <c r="EG185" s="230">
        <v>2239567</v>
      </c>
      <c r="EH185" s="230">
        <v>3123419</v>
      </c>
      <c r="EI185" s="229">
        <v>-0.28299999999999997</v>
      </c>
      <c r="EJ185" s="229">
        <v>0.50270000000000004</v>
      </c>
      <c r="EK185" s="231">
        <v>1438.54</v>
      </c>
      <c r="EL185" s="228">
        <v>610.99</v>
      </c>
      <c r="EM185" s="228">
        <v>600.07000000000005</v>
      </c>
      <c r="EN185" s="228">
        <v>93.26</v>
      </c>
      <c r="EO185" s="231">
        <v>2649.6</v>
      </c>
      <c r="EP185" s="231">
        <v>2875.72</v>
      </c>
      <c r="EQ185" s="228">
        <v>-226.13</v>
      </c>
      <c r="ER185" s="229">
        <v>-7.8600000000000003E-2</v>
      </c>
      <c r="ES185" s="231">
        <v>1443.41</v>
      </c>
      <c r="ET185" s="228">
        <v>963.03</v>
      </c>
      <c r="EU185" s="231">
        <v>4223.38</v>
      </c>
      <c r="EV185" s="231">
        <v>210567108</v>
      </c>
      <c r="EW185" s="231">
        <v>6629.82</v>
      </c>
      <c r="EX185" s="231">
        <v>6688.56</v>
      </c>
      <c r="EY185" s="228">
        <v>-58.74</v>
      </c>
      <c r="EZ185" s="229">
        <v>-8.8000000000000005E-3</v>
      </c>
      <c r="FA185" s="229">
        <v>0.30809999999999998</v>
      </c>
      <c r="FB185" s="227" t="s">
        <v>693</v>
      </c>
      <c r="FC185">
        <f t="shared" si="3"/>
        <v>0</v>
      </c>
    </row>
    <row r="186" spans="1:159" ht="17.25" thickBot="1" x14ac:dyDescent="0.3">
      <c r="A186" s="226">
        <v>46129</v>
      </c>
      <c r="B186" s="227" t="s">
        <v>184</v>
      </c>
      <c r="C186" s="227" t="s">
        <v>285</v>
      </c>
      <c r="D186" s="228">
        <v>175</v>
      </c>
      <c r="E186" s="228">
        <v>11</v>
      </c>
      <c r="F186" s="231">
        <v>3708.6</v>
      </c>
      <c r="G186" s="231">
        <v>3563.6</v>
      </c>
      <c r="H186" s="228">
        <v>145</v>
      </c>
      <c r="I186" s="229">
        <v>4.07E-2</v>
      </c>
      <c r="J186" s="231">
        <v>3707.9</v>
      </c>
      <c r="K186" s="231">
        <v>3563.8</v>
      </c>
      <c r="L186" s="228">
        <v>144.1</v>
      </c>
      <c r="M186" s="229">
        <v>4.0399999999999998E-2</v>
      </c>
      <c r="N186" s="231">
        <v>3708.6</v>
      </c>
      <c r="O186" s="231">
        <v>3563.6</v>
      </c>
      <c r="P186" s="228">
        <v>145</v>
      </c>
      <c r="Q186" s="229">
        <v>4.07E-2</v>
      </c>
      <c r="R186" s="231">
        <v>3692.7</v>
      </c>
      <c r="S186" s="231">
        <v>3548.4</v>
      </c>
      <c r="T186" s="228">
        <v>144.30000000000001</v>
      </c>
      <c r="U186" s="229">
        <v>4.07E-2</v>
      </c>
      <c r="V186" s="231">
        <v>3685.2</v>
      </c>
      <c r="W186" s="231">
        <v>3552</v>
      </c>
      <c r="X186" s="228">
        <v>133.19999999999999</v>
      </c>
      <c r="Y186" s="229">
        <v>3.7499999999999999E-2</v>
      </c>
      <c r="Z186" s="228">
        <v>0.7</v>
      </c>
      <c r="AA186" s="228">
        <v>-0.2</v>
      </c>
      <c r="AB186" s="228">
        <v>0.9</v>
      </c>
      <c r="AC186" s="229">
        <v>2.0000000000000001E-4</v>
      </c>
      <c r="AD186" s="228">
        <v>0.7</v>
      </c>
      <c r="AE186" s="228">
        <v>-0.2</v>
      </c>
      <c r="AF186" s="228">
        <v>0.9</v>
      </c>
      <c r="AG186" s="229">
        <v>2.0000000000000001E-4</v>
      </c>
      <c r="AH186" s="228">
        <v>-15.2</v>
      </c>
      <c r="AI186" s="228">
        <v>-15.4</v>
      </c>
      <c r="AJ186" s="228">
        <v>0.2</v>
      </c>
      <c r="AK186" s="229">
        <v>-4.1000000000000003E-3</v>
      </c>
      <c r="AL186" s="228">
        <v>-22.7</v>
      </c>
      <c r="AM186" s="228">
        <v>-11.8</v>
      </c>
      <c r="AN186" s="228">
        <v>-10.9</v>
      </c>
      <c r="AO186" s="229">
        <v>-6.1000000000000004E-3</v>
      </c>
      <c r="AP186" s="231">
        <v>3660.59</v>
      </c>
      <c r="AQ186" s="231">
        <v>3644.06</v>
      </c>
      <c r="AR186" s="228">
        <v>0</v>
      </c>
      <c r="AS186" s="228">
        <v>425</v>
      </c>
      <c r="AT186" s="228">
        <v>429</v>
      </c>
      <c r="AU186" s="228">
        <v>-5</v>
      </c>
      <c r="AV186" s="229">
        <v>-1.12E-2</v>
      </c>
      <c r="AW186" s="228">
        <v>356</v>
      </c>
      <c r="AX186" s="228">
        <v>358</v>
      </c>
      <c r="AY186" s="228">
        <v>-2</v>
      </c>
      <c r="AZ186" s="229">
        <v>-5.3E-3</v>
      </c>
      <c r="BA186" s="228">
        <v>64</v>
      </c>
      <c r="BB186" s="228">
        <v>66</v>
      </c>
      <c r="BC186" s="228">
        <v>-2</v>
      </c>
      <c r="BD186" s="229">
        <v>-3.0700000000000002E-2</v>
      </c>
      <c r="BE186" s="228">
        <v>5</v>
      </c>
      <c r="BF186" s="228">
        <v>6</v>
      </c>
      <c r="BG186" s="228">
        <v>-1</v>
      </c>
      <c r="BH186" s="229">
        <v>-0.16089999999999999</v>
      </c>
      <c r="BI186" s="230">
        <v>3346</v>
      </c>
      <c r="BJ186" s="230">
        <v>1995</v>
      </c>
      <c r="BK186" s="230">
        <v>1351</v>
      </c>
      <c r="BL186" s="229">
        <v>0.67759999999999998</v>
      </c>
      <c r="BM186" s="230">
        <v>1556</v>
      </c>
      <c r="BN186" s="228">
        <v>977</v>
      </c>
      <c r="BO186" s="228">
        <v>578</v>
      </c>
      <c r="BP186" s="229">
        <v>0.59160000000000001</v>
      </c>
      <c r="BQ186" s="230">
        <v>5326</v>
      </c>
      <c r="BR186" s="230">
        <v>3401</v>
      </c>
      <c r="BS186" s="230">
        <v>1925</v>
      </c>
      <c r="BT186" s="229">
        <v>0.56589999999999996</v>
      </c>
      <c r="BU186" s="230">
        <v>1105747</v>
      </c>
      <c r="BV186" s="230">
        <v>1063439</v>
      </c>
      <c r="BW186" s="230">
        <v>42308</v>
      </c>
      <c r="BX186" s="229">
        <v>3.9800000000000002E-2</v>
      </c>
      <c r="BY186" s="230">
        <v>1282</v>
      </c>
      <c r="BZ186" s="230">
        <v>1286</v>
      </c>
      <c r="CA186" s="228">
        <v>-4</v>
      </c>
      <c r="CB186" s="229">
        <v>-3.2000000000000002E-3</v>
      </c>
      <c r="CC186" s="230">
        <v>1184</v>
      </c>
      <c r="CD186" s="230">
        <v>1199</v>
      </c>
      <c r="CE186" s="228">
        <v>-15</v>
      </c>
      <c r="CF186" s="229">
        <v>-1.26E-2</v>
      </c>
      <c r="CG186" s="228">
        <v>91</v>
      </c>
      <c r="CH186" s="228">
        <v>80</v>
      </c>
      <c r="CI186" s="228">
        <v>11</v>
      </c>
      <c r="CJ186" s="229">
        <v>0.14130000000000001</v>
      </c>
      <c r="CK186" s="228">
        <v>7</v>
      </c>
      <c r="CL186" s="228">
        <v>7</v>
      </c>
      <c r="CM186" s="228">
        <v>0</v>
      </c>
      <c r="CN186" s="229">
        <v>-4.6699999999999998E-2</v>
      </c>
      <c r="CO186" s="228">
        <v>518</v>
      </c>
      <c r="CP186" s="228">
        <v>541</v>
      </c>
      <c r="CQ186" s="228">
        <v>-23</v>
      </c>
      <c r="CR186" s="229">
        <v>-4.2500000000000003E-2</v>
      </c>
      <c r="CS186" s="228">
        <v>494</v>
      </c>
      <c r="CT186" s="228">
        <v>414</v>
      </c>
      <c r="CU186" s="228">
        <v>80</v>
      </c>
      <c r="CV186" s="229">
        <v>0.19289999999999999</v>
      </c>
      <c r="CW186" s="230">
        <v>2294</v>
      </c>
      <c r="CX186" s="230">
        <v>2241</v>
      </c>
      <c r="CY186" s="228">
        <v>53</v>
      </c>
      <c r="CZ186" s="229">
        <v>2.35E-2</v>
      </c>
      <c r="DA186" s="228">
        <v>39.270000000000003</v>
      </c>
      <c r="DB186" s="228">
        <v>39.26</v>
      </c>
      <c r="DC186" s="228">
        <v>0.01</v>
      </c>
      <c r="DD186" s="228">
        <v>0.01</v>
      </c>
      <c r="DE186" s="228">
        <v>41.19</v>
      </c>
      <c r="DF186" s="228">
        <v>40.94</v>
      </c>
      <c r="DG186" s="228">
        <v>-1.92</v>
      </c>
      <c r="DH186" s="228">
        <v>0.25</v>
      </c>
      <c r="DI186" s="228">
        <v>37.94</v>
      </c>
      <c r="DJ186" s="228">
        <v>38.96</v>
      </c>
      <c r="DK186" s="228">
        <v>-1.02</v>
      </c>
      <c r="DL186" s="228">
        <v>-1.02</v>
      </c>
      <c r="DM186" s="228">
        <v>42.14</v>
      </c>
      <c r="DN186" s="228">
        <v>39.86</v>
      </c>
      <c r="DO186" s="228">
        <v>2.2799999999999998</v>
      </c>
      <c r="DP186" s="228">
        <v>2.2799999999999998</v>
      </c>
      <c r="DQ186" s="228">
        <v>0.95</v>
      </c>
      <c r="DR186" s="228">
        <v>0.77</v>
      </c>
      <c r="DS186" s="228">
        <v>0.18</v>
      </c>
      <c r="DT186" s="229">
        <v>0.23380000000000001</v>
      </c>
      <c r="DU186" s="231">
        <v>3900</v>
      </c>
      <c r="DV186" s="231">
        <v>3500</v>
      </c>
      <c r="DW186" s="228">
        <v>0.46</v>
      </c>
      <c r="DX186" s="228">
        <v>0.49</v>
      </c>
      <c r="DY186" s="228">
        <v>-0.03</v>
      </c>
      <c r="DZ186" s="229">
        <v>-6.1199999999999997E-2</v>
      </c>
      <c r="EA186" s="229">
        <v>7.6300000000000007E-2</v>
      </c>
      <c r="EB186" s="230">
        <v>234150</v>
      </c>
      <c r="EC186" s="229">
        <v>-4.3E-3</v>
      </c>
      <c r="ED186" s="229">
        <v>7.6300000000000007E-2</v>
      </c>
      <c r="EE186" s="228">
        <v>-16.53</v>
      </c>
      <c r="EF186" s="229">
        <v>-4.4999999999999997E-3</v>
      </c>
      <c r="EG186" s="230">
        <v>375812</v>
      </c>
      <c r="EH186" s="230">
        <v>386096</v>
      </c>
      <c r="EI186" s="229">
        <v>-2.6599999999999999E-2</v>
      </c>
      <c r="EJ186" s="229">
        <v>0.33989999999999998</v>
      </c>
      <c r="EK186" s="231">
        <v>3441.37</v>
      </c>
      <c r="EL186" s="231">
        <v>1415.69</v>
      </c>
      <c r="EM186" s="228">
        <v>418.83</v>
      </c>
      <c r="EN186" s="228">
        <v>65.8</v>
      </c>
      <c r="EO186" s="231">
        <v>5275.89</v>
      </c>
      <c r="EP186" s="231">
        <v>3333.84</v>
      </c>
      <c r="EQ186" s="231">
        <v>1942.05</v>
      </c>
      <c r="ER186" s="229">
        <v>0.58250000000000002</v>
      </c>
      <c r="ES186" s="228">
        <v>509.09</v>
      </c>
      <c r="ET186" s="228">
        <v>443.29</v>
      </c>
      <c r="EU186" s="231">
        <v>1281.55</v>
      </c>
      <c r="EV186" s="231">
        <v>10374894</v>
      </c>
      <c r="EW186" s="231">
        <v>2233.9299999999998</v>
      </c>
      <c r="EX186" s="231">
        <v>2123.17</v>
      </c>
      <c r="EY186" s="228">
        <v>110.76</v>
      </c>
      <c r="EZ186" s="229">
        <v>5.2200000000000003E-2</v>
      </c>
      <c r="FA186" s="229">
        <v>0.59609999999999996</v>
      </c>
      <c r="FB186" s="227" t="s">
        <v>693</v>
      </c>
      <c r="FC186">
        <f t="shared" si="3"/>
        <v>0</v>
      </c>
    </row>
    <row r="187" spans="1:159" ht="17.25" thickBot="1" x14ac:dyDescent="0.3">
      <c r="A187" s="226">
        <v>46129</v>
      </c>
      <c r="B187" s="227" t="s">
        <v>498</v>
      </c>
      <c r="C187" s="227" t="s">
        <v>645</v>
      </c>
      <c r="D187" s="228">
        <v>50</v>
      </c>
      <c r="E187" s="228">
        <v>11</v>
      </c>
      <c r="F187" s="231">
        <v>15140</v>
      </c>
      <c r="G187" s="231">
        <v>15048</v>
      </c>
      <c r="H187" s="228">
        <v>92</v>
      </c>
      <c r="I187" s="229">
        <v>6.1000000000000004E-3</v>
      </c>
      <c r="J187" s="231">
        <v>15089</v>
      </c>
      <c r="K187" s="231">
        <v>14990</v>
      </c>
      <c r="L187" s="228">
        <v>99</v>
      </c>
      <c r="M187" s="229">
        <v>6.6E-3</v>
      </c>
      <c r="N187" s="231">
        <v>15140</v>
      </c>
      <c r="O187" s="231">
        <v>15048</v>
      </c>
      <c r="P187" s="228">
        <v>92</v>
      </c>
      <c r="Q187" s="229">
        <v>6.1000000000000004E-3</v>
      </c>
      <c r="R187" s="231">
        <v>15208</v>
      </c>
      <c r="S187" s="231">
        <v>15066</v>
      </c>
      <c r="T187" s="228">
        <v>142</v>
      </c>
      <c r="U187" s="229">
        <v>9.4000000000000004E-3</v>
      </c>
      <c r="V187" s="231">
        <v>15286</v>
      </c>
      <c r="W187" s="231">
        <v>15125</v>
      </c>
      <c r="X187" s="228">
        <v>161</v>
      </c>
      <c r="Y187" s="229">
        <v>1.06E-2</v>
      </c>
      <c r="Z187" s="228">
        <v>51</v>
      </c>
      <c r="AA187" s="228">
        <v>58</v>
      </c>
      <c r="AB187" s="228">
        <v>-7</v>
      </c>
      <c r="AC187" s="229">
        <v>3.3999999999999998E-3</v>
      </c>
      <c r="AD187" s="228">
        <v>51</v>
      </c>
      <c r="AE187" s="228">
        <v>58</v>
      </c>
      <c r="AF187" s="228">
        <v>-7</v>
      </c>
      <c r="AG187" s="229">
        <v>3.3999999999999998E-3</v>
      </c>
      <c r="AH187" s="228">
        <v>119</v>
      </c>
      <c r="AI187" s="228">
        <v>76</v>
      </c>
      <c r="AJ187" s="228">
        <v>43</v>
      </c>
      <c r="AK187" s="229">
        <v>7.9000000000000008E-3</v>
      </c>
      <c r="AL187" s="228">
        <v>197</v>
      </c>
      <c r="AM187" s="228">
        <v>135</v>
      </c>
      <c r="AN187" s="228">
        <v>62</v>
      </c>
      <c r="AO187" s="229">
        <v>1.3100000000000001E-2</v>
      </c>
      <c r="AP187" s="231">
        <v>15113.01</v>
      </c>
      <c r="AQ187" s="231">
        <v>15169.22</v>
      </c>
      <c r="AR187" s="228">
        <v>0</v>
      </c>
      <c r="AS187" s="228">
        <v>189</v>
      </c>
      <c r="AT187" s="228">
        <v>213</v>
      </c>
      <c r="AU187" s="228">
        <v>-24</v>
      </c>
      <c r="AV187" s="229">
        <v>-0.112</v>
      </c>
      <c r="AW187" s="228">
        <v>132</v>
      </c>
      <c r="AX187" s="228">
        <v>166</v>
      </c>
      <c r="AY187" s="228">
        <v>-34</v>
      </c>
      <c r="AZ187" s="229">
        <v>-0.20219999999999999</v>
      </c>
      <c r="BA187" s="228">
        <v>36</v>
      </c>
      <c r="BB187" s="228">
        <v>40</v>
      </c>
      <c r="BC187" s="228">
        <v>-5</v>
      </c>
      <c r="BD187" s="229">
        <v>-0.1142</v>
      </c>
      <c r="BE187" s="228">
        <v>21</v>
      </c>
      <c r="BF187" s="228">
        <v>7</v>
      </c>
      <c r="BG187" s="228">
        <v>14</v>
      </c>
      <c r="BH187" s="229">
        <v>2.1476999999999999</v>
      </c>
      <c r="BI187" s="228">
        <v>474</v>
      </c>
      <c r="BJ187" s="228">
        <v>747</v>
      </c>
      <c r="BK187" s="228">
        <v>-273</v>
      </c>
      <c r="BL187" s="229">
        <v>-0.36509999999999998</v>
      </c>
      <c r="BM187" s="230">
        <v>1285</v>
      </c>
      <c r="BN187" s="228">
        <v>416</v>
      </c>
      <c r="BO187" s="228">
        <v>869</v>
      </c>
      <c r="BP187" s="229">
        <v>2.0884</v>
      </c>
      <c r="BQ187" s="230">
        <v>1948</v>
      </c>
      <c r="BR187" s="230">
        <v>1376</v>
      </c>
      <c r="BS187" s="228">
        <v>572</v>
      </c>
      <c r="BT187" s="229">
        <v>0.4158</v>
      </c>
      <c r="BU187" s="230">
        <v>135419</v>
      </c>
      <c r="BV187" s="230">
        <v>167345</v>
      </c>
      <c r="BW187" s="230">
        <v>-31926</v>
      </c>
      <c r="BX187" s="229">
        <v>-0.1908</v>
      </c>
      <c r="BY187" s="230">
        <v>1187</v>
      </c>
      <c r="BZ187" s="230">
        <v>1173</v>
      </c>
      <c r="CA187" s="228">
        <v>14</v>
      </c>
      <c r="CB187" s="229">
        <v>1.2E-2</v>
      </c>
      <c r="CC187" s="228">
        <v>997</v>
      </c>
      <c r="CD187" s="230">
        <v>1005</v>
      </c>
      <c r="CE187" s="228">
        <v>-8</v>
      </c>
      <c r="CF187" s="229">
        <v>-7.4999999999999997E-3</v>
      </c>
      <c r="CG187" s="228">
        <v>144</v>
      </c>
      <c r="CH187" s="228">
        <v>138</v>
      </c>
      <c r="CI187" s="228">
        <v>6</v>
      </c>
      <c r="CJ187" s="229">
        <v>4.5100000000000001E-2</v>
      </c>
      <c r="CK187" s="228">
        <v>46</v>
      </c>
      <c r="CL187" s="228">
        <v>31</v>
      </c>
      <c r="CM187" s="228">
        <v>15</v>
      </c>
      <c r="CN187" s="229">
        <v>0.49759999999999999</v>
      </c>
      <c r="CO187" s="228">
        <v>457</v>
      </c>
      <c r="CP187" s="228">
        <v>443</v>
      </c>
      <c r="CQ187" s="228">
        <v>14</v>
      </c>
      <c r="CR187" s="229">
        <v>3.1399999999999997E-2</v>
      </c>
      <c r="CS187" s="228">
        <v>350</v>
      </c>
      <c r="CT187" s="228">
        <v>330</v>
      </c>
      <c r="CU187" s="228">
        <v>20</v>
      </c>
      <c r="CV187" s="229">
        <v>5.9700000000000003E-2</v>
      </c>
      <c r="CW187" s="230">
        <v>1994</v>
      </c>
      <c r="CX187" s="230">
        <v>1946</v>
      </c>
      <c r="CY187" s="228">
        <v>48</v>
      </c>
      <c r="CZ187" s="229">
        <v>2.4500000000000001E-2</v>
      </c>
      <c r="DA187" s="228">
        <v>48.79</v>
      </c>
      <c r="DB187" s="228">
        <v>39.229999999999997</v>
      </c>
      <c r="DC187" s="228">
        <v>9.56</v>
      </c>
      <c r="DD187" s="228">
        <v>9.56</v>
      </c>
      <c r="DE187" s="228">
        <v>41.58</v>
      </c>
      <c r="DF187" s="228">
        <v>41.67</v>
      </c>
      <c r="DG187" s="228">
        <v>7.21</v>
      </c>
      <c r="DH187" s="228">
        <v>-0.09</v>
      </c>
      <c r="DI187" s="228">
        <v>33.82</v>
      </c>
      <c r="DJ187" s="228">
        <v>36.14</v>
      </c>
      <c r="DK187" s="228">
        <v>-2.3199999999999998</v>
      </c>
      <c r="DL187" s="228">
        <v>-2.3199999999999998</v>
      </c>
      <c r="DM187" s="228">
        <v>54.32</v>
      </c>
      <c r="DN187" s="228">
        <v>44.78</v>
      </c>
      <c r="DO187" s="228">
        <v>9.5399999999999991</v>
      </c>
      <c r="DP187" s="228">
        <v>9.5399999999999991</v>
      </c>
      <c r="DQ187" s="228">
        <v>0.76</v>
      </c>
      <c r="DR187" s="228">
        <v>0.74</v>
      </c>
      <c r="DS187" s="228">
        <v>0.02</v>
      </c>
      <c r="DT187" s="229">
        <v>2.7E-2</v>
      </c>
      <c r="DU187" s="231">
        <v>16000</v>
      </c>
      <c r="DV187" s="231">
        <v>13000</v>
      </c>
      <c r="DW187" s="228">
        <v>2.71</v>
      </c>
      <c r="DX187" s="228">
        <v>0.56000000000000005</v>
      </c>
      <c r="DY187" s="228">
        <v>2.15</v>
      </c>
      <c r="DZ187" s="229">
        <v>3.8393000000000002</v>
      </c>
      <c r="EA187" s="229">
        <v>0.1603</v>
      </c>
      <c r="EB187" s="230">
        <v>111400</v>
      </c>
      <c r="EC187" s="229">
        <v>4.4999999999999997E-3</v>
      </c>
      <c r="ED187" s="229">
        <v>0.1603</v>
      </c>
      <c r="EE187" s="228">
        <v>56.21</v>
      </c>
      <c r="EF187" s="229">
        <v>3.7000000000000002E-3</v>
      </c>
      <c r="EG187" s="230">
        <v>57310</v>
      </c>
      <c r="EH187" s="230">
        <v>66258</v>
      </c>
      <c r="EI187" s="229">
        <v>-0.13500000000000001</v>
      </c>
      <c r="EJ187" s="229">
        <v>0.42320000000000002</v>
      </c>
      <c r="EK187" s="228">
        <v>495.06</v>
      </c>
      <c r="EL187" s="231">
        <v>1064.02</v>
      </c>
      <c r="EM187" s="228">
        <v>189.12</v>
      </c>
      <c r="EN187" s="228">
        <v>28.69</v>
      </c>
      <c r="EO187" s="231">
        <v>1748.2</v>
      </c>
      <c r="EP187" s="231">
        <v>1362.74</v>
      </c>
      <c r="EQ187" s="228">
        <v>385.46</v>
      </c>
      <c r="ER187" s="229">
        <v>0.28289999999999998</v>
      </c>
      <c r="ES187" s="228">
        <v>446.03</v>
      </c>
      <c r="ET187" s="228">
        <v>305.14</v>
      </c>
      <c r="EU187" s="231">
        <v>1188.52</v>
      </c>
      <c r="EV187" s="231">
        <v>3644817</v>
      </c>
      <c r="EW187" s="231">
        <v>1939.7</v>
      </c>
      <c r="EX187" s="231">
        <v>1885.97</v>
      </c>
      <c r="EY187" s="228">
        <v>53.73</v>
      </c>
      <c r="EZ187" s="229">
        <v>2.8500000000000001E-2</v>
      </c>
      <c r="FA187" s="229">
        <v>0.3614</v>
      </c>
      <c r="FB187" s="227" t="s">
        <v>555</v>
      </c>
      <c r="FC187">
        <f t="shared" si="3"/>
        <v>0</v>
      </c>
    </row>
    <row r="188" spans="1:159" ht="17.25" thickBot="1" x14ac:dyDescent="0.3">
      <c r="A188" s="226">
        <v>46129</v>
      </c>
      <c r="B188" s="227" t="s">
        <v>162</v>
      </c>
      <c r="C188" s="227" t="s">
        <v>613</v>
      </c>
      <c r="D188" s="228">
        <v>1225</v>
      </c>
      <c r="E188" s="228">
        <v>11</v>
      </c>
      <c r="F188" s="228">
        <v>594.95000000000005</v>
      </c>
      <c r="G188" s="228">
        <v>583.1</v>
      </c>
      <c r="H188" s="228">
        <v>11.85</v>
      </c>
      <c r="I188" s="229">
        <v>2.0299999999999999E-2</v>
      </c>
      <c r="J188" s="228">
        <v>593.85</v>
      </c>
      <c r="K188" s="228">
        <v>580.85</v>
      </c>
      <c r="L188" s="228">
        <v>13</v>
      </c>
      <c r="M188" s="229">
        <v>2.24E-2</v>
      </c>
      <c r="N188" s="228">
        <v>594.95000000000005</v>
      </c>
      <c r="O188" s="228">
        <v>583.1</v>
      </c>
      <c r="P188" s="228">
        <v>11.85</v>
      </c>
      <c r="Q188" s="229">
        <v>2.0299999999999999E-2</v>
      </c>
      <c r="R188" s="228">
        <v>597.54999999999995</v>
      </c>
      <c r="S188" s="228">
        <v>584.35</v>
      </c>
      <c r="T188" s="228">
        <v>13.2</v>
      </c>
      <c r="U188" s="229">
        <v>2.2599999999999999E-2</v>
      </c>
      <c r="V188" s="228">
        <v>599.75</v>
      </c>
      <c r="W188" s="228">
        <v>584.85</v>
      </c>
      <c r="X188" s="228">
        <v>14.9</v>
      </c>
      <c r="Y188" s="229">
        <v>2.5499999999999998E-2</v>
      </c>
      <c r="Z188" s="228">
        <v>1.1000000000000001</v>
      </c>
      <c r="AA188" s="228">
        <v>2.25</v>
      </c>
      <c r="AB188" s="228">
        <v>-1.1499999999999999</v>
      </c>
      <c r="AC188" s="229">
        <v>1.9E-3</v>
      </c>
      <c r="AD188" s="228">
        <v>1.1000000000000001</v>
      </c>
      <c r="AE188" s="228">
        <v>2.25</v>
      </c>
      <c r="AF188" s="228">
        <v>-1.1499999999999999</v>
      </c>
      <c r="AG188" s="229">
        <v>1.9E-3</v>
      </c>
      <c r="AH188" s="228">
        <v>3.7</v>
      </c>
      <c r="AI188" s="228">
        <v>3.5</v>
      </c>
      <c r="AJ188" s="228">
        <v>0.2</v>
      </c>
      <c r="AK188" s="229">
        <v>6.1999999999999998E-3</v>
      </c>
      <c r="AL188" s="228">
        <v>5.9</v>
      </c>
      <c r="AM188" s="228">
        <v>4</v>
      </c>
      <c r="AN188" s="228">
        <v>1.9</v>
      </c>
      <c r="AO188" s="229">
        <v>9.9000000000000008E-3</v>
      </c>
      <c r="AP188" s="228">
        <v>591.25</v>
      </c>
      <c r="AQ188" s="228">
        <v>593.79</v>
      </c>
      <c r="AR188" s="228">
        <v>0</v>
      </c>
      <c r="AS188" s="228">
        <v>238</v>
      </c>
      <c r="AT188" s="228">
        <v>189</v>
      </c>
      <c r="AU188" s="228">
        <v>49</v>
      </c>
      <c r="AV188" s="229">
        <v>0.2581</v>
      </c>
      <c r="AW188" s="228">
        <v>209</v>
      </c>
      <c r="AX188" s="228">
        <v>174</v>
      </c>
      <c r="AY188" s="228">
        <v>35</v>
      </c>
      <c r="AZ188" s="229">
        <v>0.2041</v>
      </c>
      <c r="BA188" s="228">
        <v>26</v>
      </c>
      <c r="BB188" s="228">
        <v>13</v>
      </c>
      <c r="BC188" s="228">
        <v>13</v>
      </c>
      <c r="BD188" s="229">
        <v>1.0631999999999999</v>
      </c>
      <c r="BE188" s="228">
        <v>2</v>
      </c>
      <c r="BF188" s="228">
        <v>2</v>
      </c>
      <c r="BG188" s="228">
        <v>0</v>
      </c>
      <c r="BH188" s="229">
        <v>-9.3799999999999994E-2</v>
      </c>
      <c r="BI188" s="228">
        <v>613</v>
      </c>
      <c r="BJ188" s="228">
        <v>240</v>
      </c>
      <c r="BK188" s="228">
        <v>373</v>
      </c>
      <c r="BL188" s="229">
        <v>1.5547</v>
      </c>
      <c r="BM188" s="228">
        <v>217</v>
      </c>
      <c r="BN188" s="228">
        <v>130</v>
      </c>
      <c r="BO188" s="228">
        <v>87</v>
      </c>
      <c r="BP188" s="229">
        <v>0.66479999999999995</v>
      </c>
      <c r="BQ188" s="230">
        <v>1067</v>
      </c>
      <c r="BR188" s="228">
        <v>559</v>
      </c>
      <c r="BS188" s="228">
        <v>508</v>
      </c>
      <c r="BT188" s="229">
        <v>0.90910000000000002</v>
      </c>
      <c r="BU188" s="230">
        <v>3694058</v>
      </c>
      <c r="BV188" s="230">
        <v>2505232</v>
      </c>
      <c r="BW188" s="230">
        <v>1188826</v>
      </c>
      <c r="BX188" s="229">
        <v>0.47449999999999998</v>
      </c>
      <c r="BY188" s="228">
        <v>849</v>
      </c>
      <c r="BZ188" s="228">
        <v>848</v>
      </c>
      <c r="CA188" s="228">
        <v>1</v>
      </c>
      <c r="CB188" s="229">
        <v>1.2999999999999999E-3</v>
      </c>
      <c r="CC188" s="228">
        <v>822</v>
      </c>
      <c r="CD188" s="228">
        <v>829</v>
      </c>
      <c r="CE188" s="228">
        <v>-7</v>
      </c>
      <c r="CF188" s="229">
        <v>-7.9000000000000008E-3</v>
      </c>
      <c r="CG188" s="228">
        <v>24</v>
      </c>
      <c r="CH188" s="228">
        <v>17</v>
      </c>
      <c r="CI188" s="228">
        <v>7</v>
      </c>
      <c r="CJ188" s="229">
        <v>0.38629999999999998</v>
      </c>
      <c r="CK188" s="228">
        <v>3</v>
      </c>
      <c r="CL188" s="228">
        <v>2</v>
      </c>
      <c r="CM188" s="228">
        <v>1</v>
      </c>
      <c r="CN188" s="229">
        <v>0.45450000000000002</v>
      </c>
      <c r="CO188" s="228">
        <v>269</v>
      </c>
      <c r="CP188" s="228">
        <v>262</v>
      </c>
      <c r="CQ188" s="228">
        <v>7</v>
      </c>
      <c r="CR188" s="229">
        <v>2.7799999999999998E-2</v>
      </c>
      <c r="CS188" s="228">
        <v>211</v>
      </c>
      <c r="CT188" s="228">
        <v>210</v>
      </c>
      <c r="CU188" s="228">
        <v>1</v>
      </c>
      <c r="CV188" s="229">
        <v>4.1999999999999997E-3</v>
      </c>
      <c r="CW188" s="230">
        <v>1330</v>
      </c>
      <c r="CX188" s="230">
        <v>1321</v>
      </c>
      <c r="CY188" s="228">
        <v>9</v>
      </c>
      <c r="CZ188" s="229">
        <v>7.0000000000000001E-3</v>
      </c>
      <c r="DA188" s="228">
        <v>38.270000000000003</v>
      </c>
      <c r="DB188" s="228">
        <v>38.82</v>
      </c>
      <c r="DC188" s="228">
        <v>-0.55000000000000004</v>
      </c>
      <c r="DD188" s="228">
        <v>-0.55000000000000004</v>
      </c>
      <c r="DE188" s="228">
        <v>41.42</v>
      </c>
      <c r="DF188" s="228">
        <v>41.44</v>
      </c>
      <c r="DG188" s="228">
        <v>-3.15</v>
      </c>
      <c r="DH188" s="228">
        <v>-0.02</v>
      </c>
      <c r="DI188" s="228">
        <v>37.78</v>
      </c>
      <c r="DJ188" s="228">
        <v>37.93</v>
      </c>
      <c r="DK188" s="228">
        <v>-0.15</v>
      </c>
      <c r="DL188" s="228">
        <v>-0.15</v>
      </c>
      <c r="DM188" s="228">
        <v>39.67</v>
      </c>
      <c r="DN188" s="228">
        <v>40.46</v>
      </c>
      <c r="DO188" s="228">
        <v>-0.79</v>
      </c>
      <c r="DP188" s="228">
        <v>-0.79</v>
      </c>
      <c r="DQ188" s="228">
        <v>0.79</v>
      </c>
      <c r="DR188" s="228">
        <v>0.8</v>
      </c>
      <c r="DS188" s="228">
        <v>-0.01</v>
      </c>
      <c r="DT188" s="229">
        <v>-1.2500000000000001E-2</v>
      </c>
      <c r="DU188" s="228">
        <v>600</v>
      </c>
      <c r="DV188" s="228">
        <v>550</v>
      </c>
      <c r="DW188" s="228">
        <v>0.35</v>
      </c>
      <c r="DX188" s="228">
        <v>0.54</v>
      </c>
      <c r="DY188" s="228">
        <v>-0.19</v>
      </c>
      <c r="DZ188" s="229">
        <v>-0.35189999999999999</v>
      </c>
      <c r="EA188" s="229">
        <v>3.1800000000000002E-2</v>
      </c>
      <c r="EB188" s="230">
        <v>325850</v>
      </c>
      <c r="EC188" s="229">
        <v>4.4000000000000003E-3</v>
      </c>
      <c r="ED188" s="229">
        <v>3.1800000000000002E-2</v>
      </c>
      <c r="EE188" s="228">
        <v>2.54</v>
      </c>
      <c r="EF188" s="229">
        <v>4.3E-3</v>
      </c>
      <c r="EG188" s="230">
        <v>2150134</v>
      </c>
      <c r="EH188" s="230">
        <v>1353409</v>
      </c>
      <c r="EI188" s="229">
        <v>0.5887</v>
      </c>
      <c r="EJ188" s="229">
        <v>0.58209999999999995</v>
      </c>
      <c r="EK188" s="228">
        <v>634.95000000000005</v>
      </c>
      <c r="EL188" s="228">
        <v>210.32</v>
      </c>
      <c r="EM188" s="228">
        <v>236.32</v>
      </c>
      <c r="EN188" s="228">
        <v>50.52</v>
      </c>
      <c r="EO188" s="231">
        <v>1081.5899999999999</v>
      </c>
      <c r="EP188" s="228">
        <v>557.39</v>
      </c>
      <c r="EQ188" s="228">
        <v>524.20000000000005</v>
      </c>
      <c r="ER188" s="229">
        <v>0.9405</v>
      </c>
      <c r="ES188" s="228">
        <v>260.7</v>
      </c>
      <c r="ET188" s="228">
        <v>189.92</v>
      </c>
      <c r="EU188" s="228">
        <v>849.42</v>
      </c>
      <c r="EV188" s="231">
        <v>61283708</v>
      </c>
      <c r="EW188" s="231">
        <v>1300.04</v>
      </c>
      <c r="EX188" s="231">
        <v>1271.8399999999999</v>
      </c>
      <c r="EY188" s="228">
        <v>28.2</v>
      </c>
      <c r="EZ188" s="229">
        <v>2.2200000000000001E-2</v>
      </c>
      <c r="FA188" s="229">
        <v>0.36470000000000002</v>
      </c>
      <c r="FB188" s="227" t="s">
        <v>555</v>
      </c>
      <c r="FC188">
        <f t="shared" si="3"/>
        <v>0</v>
      </c>
    </row>
    <row r="189" spans="1:159" ht="17.25" thickBot="1" x14ac:dyDescent="0.3">
      <c r="A189" s="226">
        <v>46129</v>
      </c>
      <c r="B189" s="227" t="s">
        <v>197</v>
      </c>
      <c r="C189" s="227" t="s">
        <v>286</v>
      </c>
      <c r="D189" s="228">
        <v>200</v>
      </c>
      <c r="E189" s="228">
        <v>11</v>
      </c>
      <c r="F189" s="231">
        <v>2495.3000000000002</v>
      </c>
      <c r="G189" s="231">
        <v>2507.9</v>
      </c>
      <c r="H189" s="228">
        <v>-12.6</v>
      </c>
      <c r="I189" s="229">
        <v>-5.0000000000000001E-3</v>
      </c>
      <c r="J189" s="231">
        <v>2494.5</v>
      </c>
      <c r="K189" s="231">
        <v>2504</v>
      </c>
      <c r="L189" s="228">
        <v>-9.5</v>
      </c>
      <c r="M189" s="229">
        <v>-3.8E-3</v>
      </c>
      <c r="N189" s="231">
        <v>2495.3000000000002</v>
      </c>
      <c r="O189" s="231">
        <v>2507.9</v>
      </c>
      <c r="P189" s="228">
        <v>-12.6</v>
      </c>
      <c r="Q189" s="229">
        <v>-5.0000000000000001E-3</v>
      </c>
      <c r="R189" s="231">
        <v>2503.1999999999998</v>
      </c>
      <c r="S189" s="231">
        <v>2515.4</v>
      </c>
      <c r="T189" s="228">
        <v>-12.2</v>
      </c>
      <c r="U189" s="229">
        <v>-4.8999999999999998E-3</v>
      </c>
      <c r="V189" s="231">
        <v>2518.6999999999998</v>
      </c>
      <c r="W189" s="231">
        <v>2532</v>
      </c>
      <c r="X189" s="228">
        <v>-13.3</v>
      </c>
      <c r="Y189" s="229">
        <v>-5.3E-3</v>
      </c>
      <c r="Z189" s="228">
        <v>0.8</v>
      </c>
      <c r="AA189" s="228">
        <v>3.9</v>
      </c>
      <c r="AB189" s="228">
        <v>-3.1</v>
      </c>
      <c r="AC189" s="229">
        <v>2.9999999999999997E-4</v>
      </c>
      <c r="AD189" s="228">
        <v>0.8</v>
      </c>
      <c r="AE189" s="228">
        <v>3.9</v>
      </c>
      <c r="AF189" s="228">
        <v>-3.1</v>
      </c>
      <c r="AG189" s="229">
        <v>2.9999999999999997E-4</v>
      </c>
      <c r="AH189" s="228">
        <v>8.6999999999999993</v>
      </c>
      <c r="AI189" s="228">
        <v>11.4</v>
      </c>
      <c r="AJ189" s="228">
        <v>-2.7</v>
      </c>
      <c r="AK189" s="229">
        <v>3.5000000000000001E-3</v>
      </c>
      <c r="AL189" s="228">
        <v>24.2</v>
      </c>
      <c r="AM189" s="228">
        <v>28</v>
      </c>
      <c r="AN189" s="228">
        <v>-3.8</v>
      </c>
      <c r="AO189" s="229">
        <v>9.7000000000000003E-3</v>
      </c>
      <c r="AP189" s="231">
        <v>2506.6</v>
      </c>
      <c r="AQ189" s="231">
        <v>2514.56</v>
      </c>
      <c r="AR189" s="228">
        <v>0</v>
      </c>
      <c r="AS189" s="228">
        <v>177</v>
      </c>
      <c r="AT189" s="228">
        <v>133</v>
      </c>
      <c r="AU189" s="228">
        <v>44</v>
      </c>
      <c r="AV189" s="229">
        <v>0.33310000000000001</v>
      </c>
      <c r="AW189" s="228">
        <v>155</v>
      </c>
      <c r="AX189" s="228">
        <v>116</v>
      </c>
      <c r="AY189" s="228">
        <v>39</v>
      </c>
      <c r="AZ189" s="229">
        <v>0.33119999999999999</v>
      </c>
      <c r="BA189" s="228">
        <v>21</v>
      </c>
      <c r="BB189" s="228">
        <v>16</v>
      </c>
      <c r="BC189" s="228">
        <v>5</v>
      </c>
      <c r="BD189" s="229">
        <v>0.34289999999999998</v>
      </c>
      <c r="BE189" s="228">
        <v>2</v>
      </c>
      <c r="BF189" s="228">
        <v>1</v>
      </c>
      <c r="BG189" s="228">
        <v>0</v>
      </c>
      <c r="BH189" s="229">
        <v>0.39129999999999998</v>
      </c>
      <c r="BI189" s="228">
        <v>650</v>
      </c>
      <c r="BJ189" s="228">
        <v>466</v>
      </c>
      <c r="BK189" s="228">
        <v>184</v>
      </c>
      <c r="BL189" s="229">
        <v>0.39439999999999997</v>
      </c>
      <c r="BM189" s="228">
        <v>225</v>
      </c>
      <c r="BN189" s="228">
        <v>150</v>
      </c>
      <c r="BO189" s="228">
        <v>75</v>
      </c>
      <c r="BP189" s="229">
        <v>0.498</v>
      </c>
      <c r="BQ189" s="230">
        <v>1053</v>
      </c>
      <c r="BR189" s="228">
        <v>750</v>
      </c>
      <c r="BS189" s="228">
        <v>303</v>
      </c>
      <c r="BT189" s="229">
        <v>0.40429999999999999</v>
      </c>
      <c r="BU189" s="230">
        <v>289743</v>
      </c>
      <c r="BV189" s="230">
        <v>245765</v>
      </c>
      <c r="BW189" s="230">
        <v>43978</v>
      </c>
      <c r="BX189" s="229">
        <v>0.1789</v>
      </c>
      <c r="BY189" s="230">
        <v>1056</v>
      </c>
      <c r="BZ189" s="230">
        <v>1044</v>
      </c>
      <c r="CA189" s="228">
        <v>12</v>
      </c>
      <c r="CB189" s="229">
        <v>1.12E-2</v>
      </c>
      <c r="CC189" s="230">
        <v>1008</v>
      </c>
      <c r="CD189" s="230">
        <v>1010</v>
      </c>
      <c r="CE189" s="228">
        <v>-2</v>
      </c>
      <c r="CF189" s="229">
        <v>-2.2000000000000001E-3</v>
      </c>
      <c r="CG189" s="228">
        <v>42</v>
      </c>
      <c r="CH189" s="228">
        <v>29</v>
      </c>
      <c r="CI189" s="228">
        <v>13</v>
      </c>
      <c r="CJ189" s="229">
        <v>0.43519999999999998</v>
      </c>
      <c r="CK189" s="228">
        <v>5</v>
      </c>
      <c r="CL189" s="228">
        <v>4</v>
      </c>
      <c r="CM189" s="228">
        <v>1</v>
      </c>
      <c r="CN189" s="229">
        <v>0.26740000000000003</v>
      </c>
      <c r="CO189" s="228">
        <v>513</v>
      </c>
      <c r="CP189" s="228">
        <v>415</v>
      </c>
      <c r="CQ189" s="228">
        <v>98</v>
      </c>
      <c r="CR189" s="229">
        <v>0.2356</v>
      </c>
      <c r="CS189" s="228">
        <v>300</v>
      </c>
      <c r="CT189" s="228">
        <v>284</v>
      </c>
      <c r="CU189" s="228">
        <v>17</v>
      </c>
      <c r="CV189" s="229">
        <v>5.8200000000000002E-2</v>
      </c>
      <c r="CW189" s="230">
        <v>1869</v>
      </c>
      <c r="CX189" s="230">
        <v>1743</v>
      </c>
      <c r="CY189" s="228">
        <v>126</v>
      </c>
      <c r="CZ189" s="229">
        <v>7.2300000000000003E-2</v>
      </c>
      <c r="DA189" s="228">
        <v>33.340000000000003</v>
      </c>
      <c r="DB189" s="228">
        <v>33.58</v>
      </c>
      <c r="DC189" s="228">
        <v>-0.24</v>
      </c>
      <c r="DD189" s="228">
        <v>-0.24</v>
      </c>
      <c r="DE189" s="228">
        <v>36.61</v>
      </c>
      <c r="DF189" s="228">
        <v>36.700000000000003</v>
      </c>
      <c r="DG189" s="228">
        <v>-3.27</v>
      </c>
      <c r="DH189" s="228">
        <v>-0.09</v>
      </c>
      <c r="DI189" s="228">
        <v>33.06</v>
      </c>
      <c r="DJ189" s="228">
        <v>32.979999999999997</v>
      </c>
      <c r="DK189" s="228">
        <v>0.08</v>
      </c>
      <c r="DL189" s="228">
        <v>0.08</v>
      </c>
      <c r="DM189" s="228">
        <v>34.159999999999997</v>
      </c>
      <c r="DN189" s="228">
        <v>35.44</v>
      </c>
      <c r="DO189" s="228">
        <v>-1.28</v>
      </c>
      <c r="DP189" s="228">
        <v>-1.28</v>
      </c>
      <c r="DQ189" s="228">
        <v>0.59</v>
      </c>
      <c r="DR189" s="228">
        <v>0.68</v>
      </c>
      <c r="DS189" s="228">
        <v>-0.09</v>
      </c>
      <c r="DT189" s="229">
        <v>-0.13239999999999999</v>
      </c>
      <c r="DU189" s="231">
        <v>2500</v>
      </c>
      <c r="DV189" s="231">
        <v>2400</v>
      </c>
      <c r="DW189" s="228">
        <v>0.35</v>
      </c>
      <c r="DX189" s="228">
        <v>0.32</v>
      </c>
      <c r="DY189" s="228">
        <v>0.03</v>
      </c>
      <c r="DZ189" s="229">
        <v>9.3700000000000006E-2</v>
      </c>
      <c r="EA189" s="229">
        <v>4.4900000000000002E-2</v>
      </c>
      <c r="EB189" s="230">
        <v>134400</v>
      </c>
      <c r="EC189" s="229">
        <v>3.2000000000000002E-3</v>
      </c>
      <c r="ED189" s="229">
        <v>4.4900000000000002E-2</v>
      </c>
      <c r="EE189" s="228">
        <v>7.96</v>
      </c>
      <c r="EF189" s="229">
        <v>3.2000000000000002E-3</v>
      </c>
      <c r="EG189" s="230">
        <v>125436</v>
      </c>
      <c r="EH189" s="230">
        <v>96105</v>
      </c>
      <c r="EI189" s="229">
        <v>0.30520000000000003</v>
      </c>
      <c r="EJ189" s="229">
        <v>0.43290000000000001</v>
      </c>
      <c r="EK189" s="228">
        <v>676.27</v>
      </c>
      <c r="EL189" s="228">
        <v>224.55</v>
      </c>
      <c r="EM189" s="228">
        <v>178.25</v>
      </c>
      <c r="EN189" s="228">
        <v>32.659999999999997</v>
      </c>
      <c r="EO189" s="231">
        <v>1079.07</v>
      </c>
      <c r="EP189" s="228">
        <v>769.23</v>
      </c>
      <c r="EQ189" s="228">
        <v>309.83999999999997</v>
      </c>
      <c r="ER189" s="229">
        <v>0.40279999999999999</v>
      </c>
      <c r="ES189" s="228">
        <v>529.79</v>
      </c>
      <c r="ET189" s="228">
        <v>292.81</v>
      </c>
      <c r="EU189" s="231">
        <v>1055.75</v>
      </c>
      <c r="EV189" s="231">
        <v>19721628</v>
      </c>
      <c r="EW189" s="231">
        <v>1878.34</v>
      </c>
      <c r="EX189" s="231">
        <v>1754.77</v>
      </c>
      <c r="EY189" s="228">
        <v>123.57</v>
      </c>
      <c r="EZ189" s="229">
        <v>7.0400000000000004E-2</v>
      </c>
      <c r="FA189" s="229">
        <v>0.37969999999999998</v>
      </c>
      <c r="FB189" s="227" t="s">
        <v>566</v>
      </c>
      <c r="FC189">
        <f t="shared" si="3"/>
        <v>0</v>
      </c>
    </row>
    <row r="190" spans="1:159" ht="17.25" thickBot="1" x14ac:dyDescent="0.3">
      <c r="A190" s="226">
        <v>46129</v>
      </c>
      <c r="B190" s="227" t="s">
        <v>170</v>
      </c>
      <c r="C190" s="227" t="s">
        <v>288</v>
      </c>
      <c r="D190" s="228">
        <v>350</v>
      </c>
      <c r="E190" s="228">
        <v>11</v>
      </c>
      <c r="F190" s="231">
        <v>1674.9</v>
      </c>
      <c r="G190" s="231">
        <v>1692.9</v>
      </c>
      <c r="H190" s="228">
        <v>-18</v>
      </c>
      <c r="I190" s="229">
        <v>-1.06E-2</v>
      </c>
      <c r="J190" s="231">
        <v>1675.5</v>
      </c>
      <c r="K190" s="231">
        <v>1693.1</v>
      </c>
      <c r="L190" s="228">
        <v>-17.600000000000001</v>
      </c>
      <c r="M190" s="229">
        <v>-1.04E-2</v>
      </c>
      <c r="N190" s="231">
        <v>1674.9</v>
      </c>
      <c r="O190" s="231">
        <v>1692.9</v>
      </c>
      <c r="P190" s="228">
        <v>-18</v>
      </c>
      <c r="Q190" s="229">
        <v>-1.06E-2</v>
      </c>
      <c r="R190" s="231">
        <v>1684.2</v>
      </c>
      <c r="S190" s="231">
        <v>1701.9</v>
      </c>
      <c r="T190" s="228">
        <v>-17.7</v>
      </c>
      <c r="U190" s="229">
        <v>-1.04E-2</v>
      </c>
      <c r="V190" s="231">
        <v>1696.3</v>
      </c>
      <c r="W190" s="231">
        <v>1714</v>
      </c>
      <c r="X190" s="228">
        <v>-17.7</v>
      </c>
      <c r="Y190" s="229">
        <v>-1.03E-2</v>
      </c>
      <c r="Z190" s="228">
        <v>-0.6</v>
      </c>
      <c r="AA190" s="228">
        <v>-0.2</v>
      </c>
      <c r="AB190" s="228">
        <v>-0.4</v>
      </c>
      <c r="AC190" s="229">
        <v>-4.0000000000000002E-4</v>
      </c>
      <c r="AD190" s="228">
        <v>-0.6</v>
      </c>
      <c r="AE190" s="228">
        <v>-0.2</v>
      </c>
      <c r="AF190" s="228">
        <v>-0.4</v>
      </c>
      <c r="AG190" s="229">
        <v>-4.0000000000000002E-4</v>
      </c>
      <c r="AH190" s="228">
        <v>8.6999999999999993</v>
      </c>
      <c r="AI190" s="228">
        <v>8.8000000000000007</v>
      </c>
      <c r="AJ190" s="228">
        <v>-0.1</v>
      </c>
      <c r="AK190" s="229">
        <v>5.1999999999999998E-3</v>
      </c>
      <c r="AL190" s="228">
        <v>20.8</v>
      </c>
      <c r="AM190" s="228">
        <v>20.9</v>
      </c>
      <c r="AN190" s="228">
        <v>-0.1</v>
      </c>
      <c r="AO190" s="229">
        <v>1.24E-2</v>
      </c>
      <c r="AP190" s="231">
        <v>1678.15</v>
      </c>
      <c r="AQ190" s="231">
        <v>1688.02</v>
      </c>
      <c r="AR190" s="228">
        <v>0</v>
      </c>
      <c r="AS190" s="228">
        <v>460</v>
      </c>
      <c r="AT190" s="228">
        <v>739</v>
      </c>
      <c r="AU190" s="228">
        <v>-279</v>
      </c>
      <c r="AV190" s="229">
        <v>-0.377</v>
      </c>
      <c r="AW190" s="228">
        <v>356</v>
      </c>
      <c r="AX190" s="228">
        <v>615</v>
      </c>
      <c r="AY190" s="228">
        <v>-258</v>
      </c>
      <c r="AZ190" s="229">
        <v>-0.4204</v>
      </c>
      <c r="BA190" s="228">
        <v>34</v>
      </c>
      <c r="BB190" s="228">
        <v>33</v>
      </c>
      <c r="BC190" s="228">
        <v>0</v>
      </c>
      <c r="BD190" s="229">
        <v>1.24E-2</v>
      </c>
      <c r="BE190" s="228">
        <v>70</v>
      </c>
      <c r="BF190" s="228">
        <v>91</v>
      </c>
      <c r="BG190" s="228">
        <v>-20</v>
      </c>
      <c r="BH190" s="229">
        <v>-0.2253</v>
      </c>
      <c r="BI190" s="230">
        <v>1641</v>
      </c>
      <c r="BJ190" s="230">
        <v>2606</v>
      </c>
      <c r="BK190" s="228">
        <v>-964</v>
      </c>
      <c r="BL190" s="229">
        <v>-0.37</v>
      </c>
      <c r="BM190" s="230">
        <v>1211</v>
      </c>
      <c r="BN190" s="230">
        <v>2106</v>
      </c>
      <c r="BO190" s="228">
        <v>-895</v>
      </c>
      <c r="BP190" s="229">
        <v>-0.42499999999999999</v>
      </c>
      <c r="BQ190" s="230">
        <v>3312</v>
      </c>
      <c r="BR190" s="230">
        <v>5450</v>
      </c>
      <c r="BS190" s="230">
        <v>-2137</v>
      </c>
      <c r="BT190" s="229">
        <v>-0.39219999999999999</v>
      </c>
      <c r="BU190" s="230">
        <v>3328143</v>
      </c>
      <c r="BV190" s="230">
        <v>4780044</v>
      </c>
      <c r="BW190" s="230">
        <v>-1451901</v>
      </c>
      <c r="BX190" s="229">
        <v>-0.30370000000000003</v>
      </c>
      <c r="BY190" s="230">
        <v>3132</v>
      </c>
      <c r="BZ190" s="230">
        <v>3078</v>
      </c>
      <c r="CA190" s="228">
        <v>54</v>
      </c>
      <c r="CB190" s="229">
        <v>1.77E-2</v>
      </c>
      <c r="CC190" s="230">
        <v>2496</v>
      </c>
      <c r="CD190" s="230">
        <v>2524</v>
      </c>
      <c r="CE190" s="228">
        <v>-28</v>
      </c>
      <c r="CF190" s="229">
        <v>-1.12E-2</v>
      </c>
      <c r="CG190" s="228">
        <v>419</v>
      </c>
      <c r="CH190" s="228">
        <v>405</v>
      </c>
      <c r="CI190" s="228">
        <v>14</v>
      </c>
      <c r="CJ190" s="229">
        <v>3.5299999999999998E-2</v>
      </c>
      <c r="CK190" s="228">
        <v>217</v>
      </c>
      <c r="CL190" s="228">
        <v>148</v>
      </c>
      <c r="CM190" s="228">
        <v>68</v>
      </c>
      <c r="CN190" s="229">
        <v>0.46129999999999999</v>
      </c>
      <c r="CO190" s="230">
        <v>1374</v>
      </c>
      <c r="CP190" s="230">
        <v>1173</v>
      </c>
      <c r="CQ190" s="228">
        <v>200</v>
      </c>
      <c r="CR190" s="229">
        <v>0.17080000000000001</v>
      </c>
      <c r="CS190" s="228">
        <v>978</v>
      </c>
      <c r="CT190" s="228">
        <v>972</v>
      </c>
      <c r="CU190" s="228">
        <v>6</v>
      </c>
      <c r="CV190" s="229">
        <v>6.6E-3</v>
      </c>
      <c r="CW190" s="230">
        <v>5484</v>
      </c>
      <c r="CX190" s="230">
        <v>5223</v>
      </c>
      <c r="CY190" s="228">
        <v>261</v>
      </c>
      <c r="CZ190" s="229">
        <v>0.05</v>
      </c>
      <c r="DA190" s="228">
        <v>25.71</v>
      </c>
      <c r="DB190" s="228">
        <v>25.68</v>
      </c>
      <c r="DC190" s="228">
        <v>0.03</v>
      </c>
      <c r="DD190" s="228">
        <v>0.03</v>
      </c>
      <c r="DE190" s="228">
        <v>23.75</v>
      </c>
      <c r="DF190" s="228">
        <v>23.76</v>
      </c>
      <c r="DG190" s="228">
        <v>1.96</v>
      </c>
      <c r="DH190" s="228">
        <v>-0.01</v>
      </c>
      <c r="DI190" s="228">
        <v>24.87</v>
      </c>
      <c r="DJ190" s="228">
        <v>24.16</v>
      </c>
      <c r="DK190" s="228">
        <v>0.71</v>
      </c>
      <c r="DL190" s="228">
        <v>0.71</v>
      </c>
      <c r="DM190" s="228">
        <v>26.86</v>
      </c>
      <c r="DN190" s="228">
        <v>27.55</v>
      </c>
      <c r="DO190" s="228">
        <v>-0.69</v>
      </c>
      <c r="DP190" s="228">
        <v>-0.69</v>
      </c>
      <c r="DQ190" s="228">
        <v>0.71</v>
      </c>
      <c r="DR190" s="228">
        <v>0.83</v>
      </c>
      <c r="DS190" s="228">
        <v>-0.12</v>
      </c>
      <c r="DT190" s="229">
        <v>-0.14460000000000001</v>
      </c>
      <c r="DU190" s="231">
        <v>1800</v>
      </c>
      <c r="DV190" s="231">
        <v>1600</v>
      </c>
      <c r="DW190" s="228">
        <v>0.74</v>
      </c>
      <c r="DX190" s="228">
        <v>0.81</v>
      </c>
      <c r="DY190" s="228">
        <v>-7.0000000000000007E-2</v>
      </c>
      <c r="DZ190" s="229">
        <v>-8.6400000000000005E-2</v>
      </c>
      <c r="EA190" s="229">
        <v>0.2031</v>
      </c>
      <c r="EB190" s="230">
        <v>3303300</v>
      </c>
      <c r="EC190" s="229">
        <v>5.5999999999999999E-3</v>
      </c>
      <c r="ED190" s="229">
        <v>0.2031</v>
      </c>
      <c r="EE190" s="228">
        <v>9.8699999999999992</v>
      </c>
      <c r="EF190" s="229">
        <v>5.8999999999999999E-3</v>
      </c>
      <c r="EG190" s="230">
        <v>2209790</v>
      </c>
      <c r="EH190" s="230">
        <v>2877956</v>
      </c>
      <c r="EI190" s="229">
        <v>-0.23219999999999999</v>
      </c>
      <c r="EJ190" s="229">
        <v>0.66400000000000003</v>
      </c>
      <c r="EK190" s="231">
        <v>1695.83</v>
      </c>
      <c r="EL190" s="231">
        <v>1210.21</v>
      </c>
      <c r="EM190" s="228">
        <v>461.98</v>
      </c>
      <c r="EN190" s="228">
        <v>117.04</v>
      </c>
      <c r="EO190" s="231">
        <v>3368.03</v>
      </c>
      <c r="EP190" s="231">
        <v>5547.35</v>
      </c>
      <c r="EQ190" s="231">
        <v>-2179.3200000000002</v>
      </c>
      <c r="ER190" s="229">
        <v>-0.39290000000000003</v>
      </c>
      <c r="ES190" s="231">
        <v>1436.77</v>
      </c>
      <c r="ET190" s="228">
        <v>960.95</v>
      </c>
      <c r="EU190" s="231">
        <v>3137.24</v>
      </c>
      <c r="EV190" s="231">
        <v>121755902</v>
      </c>
      <c r="EW190" s="231">
        <v>5534.97</v>
      </c>
      <c r="EX190" s="231">
        <v>5301.58</v>
      </c>
      <c r="EY190" s="228">
        <v>233.39</v>
      </c>
      <c r="EZ190" s="229">
        <v>4.3999999999999997E-2</v>
      </c>
      <c r="FA190" s="229">
        <v>0.26889999999999997</v>
      </c>
      <c r="FB190" s="227" t="s">
        <v>566</v>
      </c>
      <c r="FC190">
        <f t="shared" si="3"/>
        <v>0</v>
      </c>
    </row>
    <row r="191" spans="1:159" ht="17.25" thickBot="1" x14ac:dyDescent="0.3">
      <c r="A191" s="226">
        <v>46129</v>
      </c>
      <c r="B191" s="227" t="s">
        <v>184</v>
      </c>
      <c r="C191" s="227" t="s">
        <v>573</v>
      </c>
      <c r="D191" s="228">
        <v>175</v>
      </c>
      <c r="E191" s="228">
        <v>11</v>
      </c>
      <c r="F191" s="231">
        <v>3720.7</v>
      </c>
      <c r="G191" s="231">
        <v>3673.3</v>
      </c>
      <c r="H191" s="228">
        <v>47.4</v>
      </c>
      <c r="I191" s="229">
        <v>1.29E-2</v>
      </c>
      <c r="J191" s="231">
        <v>3709</v>
      </c>
      <c r="K191" s="231">
        <v>3663.8</v>
      </c>
      <c r="L191" s="228">
        <v>45.2</v>
      </c>
      <c r="M191" s="229">
        <v>1.23E-2</v>
      </c>
      <c r="N191" s="231">
        <v>3720.7</v>
      </c>
      <c r="O191" s="231">
        <v>3673.3</v>
      </c>
      <c r="P191" s="228">
        <v>47.4</v>
      </c>
      <c r="Q191" s="229">
        <v>1.29E-2</v>
      </c>
      <c r="R191" s="231">
        <v>3720.7</v>
      </c>
      <c r="S191" s="231">
        <v>3675.8</v>
      </c>
      <c r="T191" s="228">
        <v>44.9</v>
      </c>
      <c r="U191" s="229">
        <v>1.2200000000000001E-2</v>
      </c>
      <c r="V191" s="231">
        <v>3715.5</v>
      </c>
      <c r="W191" s="231">
        <v>3663.4</v>
      </c>
      <c r="X191" s="228">
        <v>52.1</v>
      </c>
      <c r="Y191" s="229">
        <v>1.4200000000000001E-2</v>
      </c>
      <c r="Z191" s="228">
        <v>11.7</v>
      </c>
      <c r="AA191" s="228">
        <v>9.5</v>
      </c>
      <c r="AB191" s="228">
        <v>2.2000000000000002</v>
      </c>
      <c r="AC191" s="229">
        <v>3.2000000000000002E-3</v>
      </c>
      <c r="AD191" s="228">
        <v>11.7</v>
      </c>
      <c r="AE191" s="228">
        <v>9.5</v>
      </c>
      <c r="AF191" s="228">
        <v>2.2000000000000002</v>
      </c>
      <c r="AG191" s="229">
        <v>3.2000000000000002E-3</v>
      </c>
      <c r="AH191" s="228">
        <v>11.7</v>
      </c>
      <c r="AI191" s="228">
        <v>12</v>
      </c>
      <c r="AJ191" s="228">
        <v>-0.3</v>
      </c>
      <c r="AK191" s="229">
        <v>3.2000000000000002E-3</v>
      </c>
      <c r="AL191" s="228">
        <v>6.5</v>
      </c>
      <c r="AM191" s="228">
        <v>-0.4</v>
      </c>
      <c r="AN191" s="228">
        <v>6.9</v>
      </c>
      <c r="AO191" s="229">
        <v>1.8E-3</v>
      </c>
      <c r="AP191" s="231">
        <v>3713.56</v>
      </c>
      <c r="AQ191" s="231">
        <v>3720.13</v>
      </c>
      <c r="AR191" s="228">
        <v>0</v>
      </c>
      <c r="AS191" s="228">
        <v>282</v>
      </c>
      <c r="AT191" s="228">
        <v>225</v>
      </c>
      <c r="AU191" s="228">
        <v>57</v>
      </c>
      <c r="AV191" s="229">
        <v>0.25459999999999999</v>
      </c>
      <c r="AW191" s="228">
        <v>261</v>
      </c>
      <c r="AX191" s="228">
        <v>194</v>
      </c>
      <c r="AY191" s="228">
        <v>67</v>
      </c>
      <c r="AZ191" s="229">
        <v>0.34560000000000002</v>
      </c>
      <c r="BA191" s="228">
        <v>20</v>
      </c>
      <c r="BB191" s="228">
        <v>29</v>
      </c>
      <c r="BC191" s="228">
        <v>-9</v>
      </c>
      <c r="BD191" s="229">
        <v>-0.32369999999999999</v>
      </c>
      <c r="BE191" s="228">
        <v>1</v>
      </c>
      <c r="BF191" s="228">
        <v>2</v>
      </c>
      <c r="BG191" s="228">
        <v>0</v>
      </c>
      <c r="BH191" s="229">
        <v>-0.17860000000000001</v>
      </c>
      <c r="BI191" s="228">
        <v>409</v>
      </c>
      <c r="BJ191" s="228">
        <v>470</v>
      </c>
      <c r="BK191" s="228">
        <v>-61</v>
      </c>
      <c r="BL191" s="229">
        <v>-0.13020000000000001</v>
      </c>
      <c r="BM191" s="228">
        <v>171</v>
      </c>
      <c r="BN191" s="228">
        <v>403</v>
      </c>
      <c r="BO191" s="228">
        <v>-232</v>
      </c>
      <c r="BP191" s="229">
        <v>-0.57499999999999996</v>
      </c>
      <c r="BQ191" s="228">
        <v>862</v>
      </c>
      <c r="BR191" s="230">
        <v>1098</v>
      </c>
      <c r="BS191" s="228">
        <v>-236</v>
      </c>
      <c r="BT191" s="229">
        <v>-0.2145</v>
      </c>
      <c r="BU191" s="230">
        <v>1191794</v>
      </c>
      <c r="BV191" s="230">
        <v>618483</v>
      </c>
      <c r="BW191" s="230">
        <v>573311</v>
      </c>
      <c r="BX191" s="229">
        <v>0.92700000000000005</v>
      </c>
      <c r="BY191" s="228">
        <v>804</v>
      </c>
      <c r="BZ191" s="228">
        <v>792</v>
      </c>
      <c r="CA191" s="228">
        <v>13</v>
      </c>
      <c r="CB191" s="229">
        <v>1.5900000000000001E-2</v>
      </c>
      <c r="CC191" s="228">
        <v>778</v>
      </c>
      <c r="CD191" s="228">
        <v>768</v>
      </c>
      <c r="CE191" s="228">
        <v>10</v>
      </c>
      <c r="CF191" s="229">
        <v>1.29E-2</v>
      </c>
      <c r="CG191" s="228">
        <v>24</v>
      </c>
      <c r="CH191" s="228">
        <v>22</v>
      </c>
      <c r="CI191" s="228">
        <v>2</v>
      </c>
      <c r="CJ191" s="229">
        <v>0.1138</v>
      </c>
      <c r="CK191" s="228">
        <v>2</v>
      </c>
      <c r="CL191" s="228">
        <v>2</v>
      </c>
      <c r="CM191" s="228">
        <v>0</v>
      </c>
      <c r="CN191" s="229">
        <v>9.3799999999999994E-2</v>
      </c>
      <c r="CO191" s="228">
        <v>292</v>
      </c>
      <c r="CP191" s="228">
        <v>297</v>
      </c>
      <c r="CQ191" s="228">
        <v>-5</v>
      </c>
      <c r="CR191" s="229">
        <v>-1.6199999999999999E-2</v>
      </c>
      <c r="CS191" s="228">
        <v>153</v>
      </c>
      <c r="CT191" s="228">
        <v>146</v>
      </c>
      <c r="CU191" s="228">
        <v>7</v>
      </c>
      <c r="CV191" s="229">
        <v>4.7800000000000002E-2</v>
      </c>
      <c r="CW191" s="230">
        <v>1249</v>
      </c>
      <c r="CX191" s="230">
        <v>1235</v>
      </c>
      <c r="CY191" s="228">
        <v>15</v>
      </c>
      <c r="CZ191" s="229">
        <v>1.1900000000000001E-2</v>
      </c>
      <c r="DA191" s="228">
        <v>40.44</v>
      </c>
      <c r="DB191" s="228">
        <v>42.56</v>
      </c>
      <c r="DC191" s="228">
        <v>-2.12</v>
      </c>
      <c r="DD191" s="228">
        <v>-2.12</v>
      </c>
      <c r="DE191" s="228">
        <v>38.36</v>
      </c>
      <c r="DF191" s="228">
        <v>38.42</v>
      </c>
      <c r="DG191" s="228">
        <v>2.08</v>
      </c>
      <c r="DH191" s="228">
        <v>-0.06</v>
      </c>
      <c r="DI191" s="228">
        <v>39.25</v>
      </c>
      <c r="DJ191" s="228">
        <v>40.86</v>
      </c>
      <c r="DK191" s="228">
        <v>-1.61</v>
      </c>
      <c r="DL191" s="228">
        <v>-1.61</v>
      </c>
      <c r="DM191" s="228">
        <v>43.27</v>
      </c>
      <c r="DN191" s="228">
        <v>44.53</v>
      </c>
      <c r="DO191" s="228">
        <v>-1.26</v>
      </c>
      <c r="DP191" s="228">
        <v>-1.26</v>
      </c>
      <c r="DQ191" s="228">
        <v>0.52</v>
      </c>
      <c r="DR191" s="228">
        <v>0.49</v>
      </c>
      <c r="DS191" s="228">
        <v>0.03</v>
      </c>
      <c r="DT191" s="229">
        <v>6.1199999999999997E-2</v>
      </c>
      <c r="DU191" s="231">
        <v>4100</v>
      </c>
      <c r="DV191" s="231">
        <v>3500</v>
      </c>
      <c r="DW191" s="228">
        <v>0.42</v>
      </c>
      <c r="DX191" s="228">
        <v>0.86</v>
      </c>
      <c r="DY191" s="228">
        <v>-0.44</v>
      </c>
      <c r="DZ191" s="229">
        <v>-0.51160000000000005</v>
      </c>
      <c r="EA191" s="229">
        <v>3.2899999999999999E-2</v>
      </c>
      <c r="EB191" s="230">
        <v>64050</v>
      </c>
      <c r="EC191" s="229">
        <v>0</v>
      </c>
      <c r="ED191" s="229">
        <v>3.2899999999999999E-2</v>
      </c>
      <c r="EE191" s="228">
        <v>6.57</v>
      </c>
      <c r="EF191" s="229">
        <v>1.8E-3</v>
      </c>
      <c r="EG191" s="230">
        <v>662757</v>
      </c>
      <c r="EH191" s="230">
        <v>274363</v>
      </c>
      <c r="EI191" s="229">
        <v>1.4156</v>
      </c>
      <c r="EJ191" s="229">
        <v>0.55610000000000004</v>
      </c>
      <c r="EK191" s="228">
        <v>433.05</v>
      </c>
      <c r="EL191" s="228">
        <v>166.72</v>
      </c>
      <c r="EM191" s="228">
        <v>281.82</v>
      </c>
      <c r="EN191" s="228">
        <v>20.47</v>
      </c>
      <c r="EO191" s="228">
        <v>881.58</v>
      </c>
      <c r="EP191" s="231">
        <v>1113.28</v>
      </c>
      <c r="EQ191" s="228">
        <v>-231.7</v>
      </c>
      <c r="ER191" s="229">
        <v>-0.20810000000000001</v>
      </c>
      <c r="ES191" s="228">
        <v>316.25</v>
      </c>
      <c r="ET191" s="228">
        <v>147.69999999999999</v>
      </c>
      <c r="EU191" s="228">
        <v>804.33</v>
      </c>
      <c r="EV191" s="231">
        <v>9724371</v>
      </c>
      <c r="EW191" s="231">
        <v>1268.27</v>
      </c>
      <c r="EX191" s="231">
        <v>1242.67</v>
      </c>
      <c r="EY191" s="228">
        <v>25.6</v>
      </c>
      <c r="EZ191" s="229">
        <v>2.06E-2</v>
      </c>
      <c r="FA191" s="229">
        <v>0.3453</v>
      </c>
      <c r="FB191" s="227" t="s">
        <v>555</v>
      </c>
      <c r="FC191">
        <f t="shared" si="3"/>
        <v>0</v>
      </c>
    </row>
    <row r="192" spans="1:159" ht="17.25" thickBot="1" x14ac:dyDescent="0.3">
      <c r="A192" s="226">
        <v>46129</v>
      </c>
      <c r="B192" s="227" t="s">
        <v>161</v>
      </c>
      <c r="C192" s="227" t="s">
        <v>682</v>
      </c>
      <c r="D192" s="228">
        <v>9025</v>
      </c>
      <c r="E192" s="228">
        <v>11</v>
      </c>
      <c r="F192" s="228">
        <v>52.96</v>
      </c>
      <c r="G192" s="228">
        <v>50.3</v>
      </c>
      <c r="H192" s="228">
        <v>2.66</v>
      </c>
      <c r="I192" s="229">
        <v>5.2900000000000003E-2</v>
      </c>
      <c r="J192" s="228">
        <v>52.93</v>
      </c>
      <c r="K192" s="228">
        <v>50.25</v>
      </c>
      <c r="L192" s="228">
        <v>2.68</v>
      </c>
      <c r="M192" s="229">
        <v>5.33E-2</v>
      </c>
      <c r="N192" s="228">
        <v>52.96</v>
      </c>
      <c r="O192" s="228">
        <v>50.3</v>
      </c>
      <c r="P192" s="228">
        <v>2.66</v>
      </c>
      <c r="Q192" s="229">
        <v>5.2900000000000003E-2</v>
      </c>
      <c r="R192" s="228">
        <v>53.34</v>
      </c>
      <c r="S192" s="228">
        <v>50.69</v>
      </c>
      <c r="T192" s="228">
        <v>2.65</v>
      </c>
      <c r="U192" s="229">
        <v>5.2299999999999999E-2</v>
      </c>
      <c r="V192" s="228">
        <v>53.77</v>
      </c>
      <c r="W192" s="228">
        <v>50.87</v>
      </c>
      <c r="X192" s="228">
        <v>2.9</v>
      </c>
      <c r="Y192" s="229">
        <v>5.7000000000000002E-2</v>
      </c>
      <c r="Z192" s="228">
        <v>0.03</v>
      </c>
      <c r="AA192" s="228">
        <v>0.05</v>
      </c>
      <c r="AB192" s="228">
        <v>-0.02</v>
      </c>
      <c r="AC192" s="229">
        <v>5.9999999999999995E-4</v>
      </c>
      <c r="AD192" s="228">
        <v>0.03</v>
      </c>
      <c r="AE192" s="228">
        <v>0.05</v>
      </c>
      <c r="AF192" s="228">
        <v>-0.02</v>
      </c>
      <c r="AG192" s="229">
        <v>5.9999999999999995E-4</v>
      </c>
      <c r="AH192" s="228">
        <v>0.41</v>
      </c>
      <c r="AI192" s="228">
        <v>0.44</v>
      </c>
      <c r="AJ192" s="228">
        <v>-0.03</v>
      </c>
      <c r="AK192" s="229">
        <v>7.7000000000000002E-3</v>
      </c>
      <c r="AL192" s="228">
        <v>0.84</v>
      </c>
      <c r="AM192" s="228">
        <v>0.62</v>
      </c>
      <c r="AN192" s="228">
        <v>0.22</v>
      </c>
      <c r="AO192" s="229">
        <v>1.5900000000000001E-2</v>
      </c>
      <c r="AP192" s="228">
        <v>52.33</v>
      </c>
      <c r="AQ192" s="228">
        <v>52.55</v>
      </c>
      <c r="AR192" s="228">
        <v>0</v>
      </c>
      <c r="AS192" s="230">
        <v>1082</v>
      </c>
      <c r="AT192" s="228">
        <v>584</v>
      </c>
      <c r="AU192" s="228">
        <v>497</v>
      </c>
      <c r="AV192" s="229">
        <v>0.85109999999999997</v>
      </c>
      <c r="AW192" s="228">
        <v>882</v>
      </c>
      <c r="AX192" s="228">
        <v>452</v>
      </c>
      <c r="AY192" s="228">
        <v>430</v>
      </c>
      <c r="AZ192" s="229">
        <v>0.95109999999999995</v>
      </c>
      <c r="BA192" s="228">
        <v>174</v>
      </c>
      <c r="BB192" s="228">
        <v>73</v>
      </c>
      <c r="BC192" s="228">
        <v>101</v>
      </c>
      <c r="BD192" s="229">
        <v>1.3856999999999999</v>
      </c>
      <c r="BE192" s="228">
        <v>26</v>
      </c>
      <c r="BF192" s="228">
        <v>59</v>
      </c>
      <c r="BG192" s="228">
        <v>-34</v>
      </c>
      <c r="BH192" s="229">
        <v>-0.5635</v>
      </c>
      <c r="BI192" s="230">
        <v>3302</v>
      </c>
      <c r="BJ192" s="230">
        <v>1612</v>
      </c>
      <c r="BK192" s="230">
        <v>1690</v>
      </c>
      <c r="BL192" s="229">
        <v>1.0485</v>
      </c>
      <c r="BM192" s="230">
        <v>1550</v>
      </c>
      <c r="BN192" s="228">
        <v>964</v>
      </c>
      <c r="BO192" s="228">
        <v>587</v>
      </c>
      <c r="BP192" s="229">
        <v>0.60880000000000001</v>
      </c>
      <c r="BQ192" s="230">
        <v>5934</v>
      </c>
      <c r="BR192" s="230">
        <v>3160</v>
      </c>
      <c r="BS192" s="230">
        <v>2774</v>
      </c>
      <c r="BT192" s="229">
        <v>0.87790000000000001</v>
      </c>
      <c r="BU192" s="230">
        <v>359683061</v>
      </c>
      <c r="BV192" s="230">
        <v>173731308</v>
      </c>
      <c r="BW192" s="230">
        <v>185951753</v>
      </c>
      <c r="BX192" s="229">
        <v>1.0703</v>
      </c>
      <c r="BY192" s="230">
        <v>1906</v>
      </c>
      <c r="BZ192" s="230">
        <v>1851</v>
      </c>
      <c r="CA192" s="228">
        <v>54</v>
      </c>
      <c r="CB192" s="229">
        <v>2.92E-2</v>
      </c>
      <c r="CC192" s="230">
        <v>1640</v>
      </c>
      <c r="CD192" s="230">
        <v>1647</v>
      </c>
      <c r="CE192" s="228">
        <v>-7</v>
      </c>
      <c r="CF192" s="229">
        <v>-4.1999999999999997E-3</v>
      </c>
      <c r="CG192" s="228">
        <v>185</v>
      </c>
      <c r="CH192" s="228">
        <v>133</v>
      </c>
      <c r="CI192" s="228">
        <v>52</v>
      </c>
      <c r="CJ192" s="229">
        <v>0.39250000000000002</v>
      </c>
      <c r="CK192" s="228">
        <v>81</v>
      </c>
      <c r="CL192" s="228">
        <v>72</v>
      </c>
      <c r="CM192" s="228">
        <v>9</v>
      </c>
      <c r="CN192" s="229">
        <v>0.12330000000000001</v>
      </c>
      <c r="CO192" s="228">
        <v>939</v>
      </c>
      <c r="CP192" s="228">
        <v>902</v>
      </c>
      <c r="CQ192" s="228">
        <v>38</v>
      </c>
      <c r="CR192" s="229">
        <v>4.1700000000000001E-2</v>
      </c>
      <c r="CS192" s="228">
        <v>913</v>
      </c>
      <c r="CT192" s="228">
        <v>819</v>
      </c>
      <c r="CU192" s="228">
        <v>95</v>
      </c>
      <c r="CV192" s="229">
        <v>0.1158</v>
      </c>
      <c r="CW192" s="230">
        <v>3758</v>
      </c>
      <c r="CX192" s="230">
        <v>3572</v>
      </c>
      <c r="CY192" s="228">
        <v>187</v>
      </c>
      <c r="CZ192" s="229">
        <v>5.2200000000000003E-2</v>
      </c>
      <c r="DA192" s="228">
        <v>44.96</v>
      </c>
      <c r="DB192" s="228">
        <v>41.84</v>
      </c>
      <c r="DC192" s="228">
        <v>3.12</v>
      </c>
      <c r="DD192" s="228">
        <v>3.12</v>
      </c>
      <c r="DE192" s="228">
        <v>47.49</v>
      </c>
      <c r="DF192" s="228">
        <v>47.1</v>
      </c>
      <c r="DG192" s="228">
        <v>-2.5299999999999998</v>
      </c>
      <c r="DH192" s="228">
        <v>0.39</v>
      </c>
      <c r="DI192" s="228">
        <v>44.04</v>
      </c>
      <c r="DJ192" s="228">
        <v>41.14</v>
      </c>
      <c r="DK192" s="228">
        <v>2.9</v>
      </c>
      <c r="DL192" s="228">
        <v>2.9</v>
      </c>
      <c r="DM192" s="228">
        <v>46.91</v>
      </c>
      <c r="DN192" s="228">
        <v>43</v>
      </c>
      <c r="DO192" s="228">
        <v>3.91</v>
      </c>
      <c r="DP192" s="228">
        <v>3.91</v>
      </c>
      <c r="DQ192" s="228">
        <v>0.97</v>
      </c>
      <c r="DR192" s="228">
        <v>0.91</v>
      </c>
      <c r="DS192" s="228">
        <v>0.06</v>
      </c>
      <c r="DT192" s="229">
        <v>6.59E-2</v>
      </c>
      <c r="DU192" s="228">
        <v>45</v>
      </c>
      <c r="DV192" s="228">
        <v>46</v>
      </c>
      <c r="DW192" s="228">
        <v>0.47</v>
      </c>
      <c r="DX192" s="228">
        <v>0.6</v>
      </c>
      <c r="DY192" s="228">
        <v>-0.13</v>
      </c>
      <c r="DZ192" s="229">
        <v>-0.2167</v>
      </c>
      <c r="EA192" s="229">
        <v>0.1394</v>
      </c>
      <c r="EB192" s="230">
        <v>38645050</v>
      </c>
      <c r="EC192" s="229">
        <v>7.1999999999999998E-3</v>
      </c>
      <c r="ED192" s="229">
        <v>0.1394</v>
      </c>
      <c r="EE192" s="228">
        <v>0.22</v>
      </c>
      <c r="EF192" s="229">
        <v>4.1999999999999997E-3</v>
      </c>
      <c r="EG192" s="230">
        <v>152863510</v>
      </c>
      <c r="EH192" s="230">
        <v>59813059</v>
      </c>
      <c r="EI192" s="229">
        <v>1.5557000000000001</v>
      </c>
      <c r="EJ192" s="229">
        <v>0.42499999999999999</v>
      </c>
      <c r="EK192" s="231">
        <v>3410.01</v>
      </c>
      <c r="EL192" s="231">
        <v>1436</v>
      </c>
      <c r="EM192" s="231">
        <v>1069.71</v>
      </c>
      <c r="EN192" s="228">
        <v>101.66</v>
      </c>
      <c r="EO192" s="231">
        <v>5915.71</v>
      </c>
      <c r="EP192" s="231">
        <v>2996.35</v>
      </c>
      <c r="EQ192" s="231">
        <v>2919.36</v>
      </c>
      <c r="ER192" s="229">
        <v>0.97430000000000005</v>
      </c>
      <c r="ES192" s="228">
        <v>877.89</v>
      </c>
      <c r="ET192" s="228">
        <v>785.77</v>
      </c>
      <c r="EU192" s="231">
        <v>1908.16</v>
      </c>
      <c r="EV192" s="231">
        <v>1815546735</v>
      </c>
      <c r="EW192" s="231">
        <v>3571.82</v>
      </c>
      <c r="EX192" s="231">
        <v>3275.82</v>
      </c>
      <c r="EY192" s="228">
        <v>296</v>
      </c>
      <c r="EZ192" s="229">
        <v>9.0399999999999994E-2</v>
      </c>
      <c r="FA192" s="229">
        <v>0.39090000000000003</v>
      </c>
      <c r="FB192" s="227" t="s">
        <v>555</v>
      </c>
      <c r="FC192">
        <f t="shared" si="3"/>
        <v>0</v>
      </c>
    </row>
    <row r="193" spans="1:159" ht="17.25" thickBot="1" x14ac:dyDescent="0.3">
      <c r="A193" s="226">
        <v>46129</v>
      </c>
      <c r="B193" s="227" t="s">
        <v>614</v>
      </c>
      <c r="C193" s="227" t="s">
        <v>691</v>
      </c>
      <c r="D193" s="228">
        <v>1300</v>
      </c>
      <c r="E193" s="228">
        <v>11</v>
      </c>
      <c r="F193" s="228">
        <v>277.45</v>
      </c>
      <c r="G193" s="228">
        <v>281</v>
      </c>
      <c r="H193" s="228">
        <v>-3.55</v>
      </c>
      <c r="I193" s="229">
        <v>-1.26E-2</v>
      </c>
      <c r="J193" s="228">
        <v>277.45</v>
      </c>
      <c r="K193" s="228">
        <v>280.39999999999998</v>
      </c>
      <c r="L193" s="228">
        <v>-2.95</v>
      </c>
      <c r="M193" s="229">
        <v>-1.0500000000000001E-2</v>
      </c>
      <c r="N193" s="228">
        <v>277.45</v>
      </c>
      <c r="O193" s="228">
        <v>281</v>
      </c>
      <c r="P193" s="228">
        <v>-3.55</v>
      </c>
      <c r="Q193" s="229">
        <v>-1.26E-2</v>
      </c>
      <c r="R193" s="228">
        <v>275.45</v>
      </c>
      <c r="S193" s="228">
        <v>279.2</v>
      </c>
      <c r="T193" s="228">
        <v>-3.75</v>
      </c>
      <c r="U193" s="229">
        <v>-1.34E-2</v>
      </c>
      <c r="V193" s="228">
        <v>275.2</v>
      </c>
      <c r="W193" s="228">
        <v>278.75</v>
      </c>
      <c r="X193" s="228">
        <v>-3.55</v>
      </c>
      <c r="Y193" s="229">
        <v>-1.2699999999999999E-2</v>
      </c>
      <c r="Z193" s="228">
        <v>0</v>
      </c>
      <c r="AA193" s="228">
        <v>0.6</v>
      </c>
      <c r="AB193" s="228">
        <v>-0.6</v>
      </c>
      <c r="AC193" s="229">
        <v>0</v>
      </c>
      <c r="AD193" s="228">
        <v>0</v>
      </c>
      <c r="AE193" s="228">
        <v>0.6</v>
      </c>
      <c r="AF193" s="228">
        <v>-0.6</v>
      </c>
      <c r="AG193" s="229">
        <v>0</v>
      </c>
      <c r="AH193" s="228">
        <v>-2</v>
      </c>
      <c r="AI193" s="228">
        <v>-1.2</v>
      </c>
      <c r="AJ193" s="228">
        <v>-0.8</v>
      </c>
      <c r="AK193" s="229">
        <v>-7.1999999999999998E-3</v>
      </c>
      <c r="AL193" s="228">
        <v>-2.25</v>
      </c>
      <c r="AM193" s="228">
        <v>-1.65</v>
      </c>
      <c r="AN193" s="228">
        <v>-0.6</v>
      </c>
      <c r="AO193" s="229">
        <v>-8.0999999999999996E-3</v>
      </c>
      <c r="AP193" s="228">
        <v>277.95999999999998</v>
      </c>
      <c r="AQ193" s="228">
        <v>276.52999999999997</v>
      </c>
      <c r="AR193" s="228">
        <v>0</v>
      </c>
      <c r="AS193" s="228">
        <v>229</v>
      </c>
      <c r="AT193" s="228">
        <v>197</v>
      </c>
      <c r="AU193" s="228">
        <v>32</v>
      </c>
      <c r="AV193" s="229">
        <v>0.1615</v>
      </c>
      <c r="AW193" s="228">
        <v>188</v>
      </c>
      <c r="AX193" s="228">
        <v>171</v>
      </c>
      <c r="AY193" s="228">
        <v>18</v>
      </c>
      <c r="AZ193" s="229">
        <v>0.1051</v>
      </c>
      <c r="BA193" s="228">
        <v>35</v>
      </c>
      <c r="BB193" s="228">
        <v>24</v>
      </c>
      <c r="BC193" s="228">
        <v>11</v>
      </c>
      <c r="BD193" s="229">
        <v>0.4551</v>
      </c>
      <c r="BE193" s="228">
        <v>5</v>
      </c>
      <c r="BF193" s="228">
        <v>2</v>
      </c>
      <c r="BG193" s="228">
        <v>3</v>
      </c>
      <c r="BH193" s="229">
        <v>1.2857000000000001</v>
      </c>
      <c r="BI193" s="228">
        <v>504</v>
      </c>
      <c r="BJ193" s="228">
        <v>529</v>
      </c>
      <c r="BK193" s="228">
        <v>-25</v>
      </c>
      <c r="BL193" s="229">
        <v>-4.7600000000000003E-2</v>
      </c>
      <c r="BM193" s="228">
        <v>158</v>
      </c>
      <c r="BN193" s="228">
        <v>185</v>
      </c>
      <c r="BO193" s="228">
        <v>-27</v>
      </c>
      <c r="BP193" s="229">
        <v>-0.1454</v>
      </c>
      <c r="BQ193" s="228">
        <v>891</v>
      </c>
      <c r="BR193" s="228">
        <v>911</v>
      </c>
      <c r="BS193" s="228">
        <v>-20</v>
      </c>
      <c r="BT193" s="229">
        <v>-2.2200000000000001E-2</v>
      </c>
      <c r="BU193" s="230">
        <v>7586920</v>
      </c>
      <c r="BV193" s="230">
        <v>7853184</v>
      </c>
      <c r="BW193" s="230">
        <v>-266264</v>
      </c>
      <c r="BX193" s="229">
        <v>-3.39E-2</v>
      </c>
      <c r="BY193" s="230">
        <v>1428</v>
      </c>
      <c r="BZ193" s="230">
        <v>1414</v>
      </c>
      <c r="CA193" s="228">
        <v>14</v>
      </c>
      <c r="CB193" s="229">
        <v>1.0200000000000001E-2</v>
      </c>
      <c r="CC193" s="230">
        <v>1376</v>
      </c>
      <c r="CD193" s="230">
        <v>1374</v>
      </c>
      <c r="CE193" s="228">
        <v>2</v>
      </c>
      <c r="CF193" s="229">
        <v>1.2999999999999999E-3</v>
      </c>
      <c r="CG193" s="228">
        <v>44</v>
      </c>
      <c r="CH193" s="228">
        <v>35</v>
      </c>
      <c r="CI193" s="228">
        <v>8</v>
      </c>
      <c r="CJ193" s="229">
        <v>0.24179999999999999</v>
      </c>
      <c r="CK193" s="228">
        <v>9</v>
      </c>
      <c r="CL193" s="228">
        <v>5</v>
      </c>
      <c r="CM193" s="228">
        <v>4</v>
      </c>
      <c r="CN193" s="229">
        <v>0.90629999999999999</v>
      </c>
      <c r="CO193" s="228">
        <v>329</v>
      </c>
      <c r="CP193" s="228">
        <v>273</v>
      </c>
      <c r="CQ193" s="228">
        <v>56</v>
      </c>
      <c r="CR193" s="229">
        <v>0.2044</v>
      </c>
      <c r="CS193" s="228">
        <v>183</v>
      </c>
      <c r="CT193" s="228">
        <v>163</v>
      </c>
      <c r="CU193" s="228">
        <v>19</v>
      </c>
      <c r="CV193" s="229">
        <v>0.1163</v>
      </c>
      <c r="CW193" s="230">
        <v>1940</v>
      </c>
      <c r="CX193" s="230">
        <v>1850</v>
      </c>
      <c r="CY193" s="228">
        <v>89</v>
      </c>
      <c r="CZ193" s="229">
        <v>4.82E-2</v>
      </c>
      <c r="DA193" s="228">
        <v>45.52</v>
      </c>
      <c r="DB193" s="228">
        <v>48.35</v>
      </c>
      <c r="DC193" s="228">
        <v>-2.83</v>
      </c>
      <c r="DD193" s="228">
        <v>-2.83</v>
      </c>
      <c r="DE193" s="228">
        <v>45.48</v>
      </c>
      <c r="DF193" s="228">
        <v>45.58</v>
      </c>
      <c r="DG193" s="228">
        <v>0.04</v>
      </c>
      <c r="DH193" s="228">
        <v>-0.1</v>
      </c>
      <c r="DI193" s="228">
        <v>45.43</v>
      </c>
      <c r="DJ193" s="228">
        <v>48.17</v>
      </c>
      <c r="DK193" s="228">
        <v>-2.74</v>
      </c>
      <c r="DL193" s="228">
        <v>-2.74</v>
      </c>
      <c r="DM193" s="228">
        <v>45.81</v>
      </c>
      <c r="DN193" s="228">
        <v>48.85</v>
      </c>
      <c r="DO193" s="228">
        <v>-3.04</v>
      </c>
      <c r="DP193" s="228">
        <v>-3.04</v>
      </c>
      <c r="DQ193" s="228">
        <v>0.56000000000000005</v>
      </c>
      <c r="DR193" s="228">
        <v>0.6</v>
      </c>
      <c r="DS193" s="228">
        <v>-0.04</v>
      </c>
      <c r="DT193" s="229">
        <v>-6.6699999999999995E-2</v>
      </c>
      <c r="DU193" s="228">
        <v>280</v>
      </c>
      <c r="DV193" s="228">
        <v>270</v>
      </c>
      <c r="DW193" s="228">
        <v>0.31</v>
      </c>
      <c r="DX193" s="228">
        <v>0.35</v>
      </c>
      <c r="DY193" s="228">
        <v>-0.04</v>
      </c>
      <c r="DZ193" s="229">
        <v>-0.1143</v>
      </c>
      <c r="EA193" s="229">
        <v>3.6600000000000001E-2</v>
      </c>
      <c r="EB193" s="230">
        <v>1430000</v>
      </c>
      <c r="EC193" s="229">
        <v>-7.1999999999999998E-3</v>
      </c>
      <c r="ED193" s="229">
        <v>3.6600000000000001E-2</v>
      </c>
      <c r="EE193" s="228">
        <v>-1.43</v>
      </c>
      <c r="EF193" s="229">
        <v>-5.1000000000000004E-3</v>
      </c>
      <c r="EG193" s="230">
        <v>2703481</v>
      </c>
      <c r="EH193" s="230">
        <v>2117074</v>
      </c>
      <c r="EI193" s="229">
        <v>0.27700000000000002</v>
      </c>
      <c r="EJ193" s="229">
        <v>0.35630000000000001</v>
      </c>
      <c r="EK193" s="228">
        <v>530.53</v>
      </c>
      <c r="EL193" s="228">
        <v>158.43</v>
      </c>
      <c r="EM193" s="228">
        <v>228.95</v>
      </c>
      <c r="EN193" s="228">
        <v>54.82</v>
      </c>
      <c r="EO193" s="228">
        <v>917.92</v>
      </c>
      <c r="EP193" s="228">
        <v>942.6</v>
      </c>
      <c r="EQ193" s="228">
        <v>-24.68</v>
      </c>
      <c r="ER193" s="229">
        <v>-2.6200000000000001E-2</v>
      </c>
      <c r="ES193" s="228">
        <v>342.34</v>
      </c>
      <c r="ET193" s="228">
        <v>179.45</v>
      </c>
      <c r="EU193" s="231">
        <v>1428.04</v>
      </c>
      <c r="EV193" s="231">
        <v>389472858</v>
      </c>
      <c r="EW193" s="231">
        <v>1949.83</v>
      </c>
      <c r="EX193" s="231">
        <v>1877.38</v>
      </c>
      <c r="EY193" s="228">
        <v>72.45</v>
      </c>
      <c r="EZ193" s="229">
        <v>3.8600000000000002E-2</v>
      </c>
      <c r="FA193" s="229">
        <v>0.17949999999999999</v>
      </c>
      <c r="FB193" s="227" t="s">
        <v>566</v>
      </c>
      <c r="FC193">
        <f t="shared" si="3"/>
        <v>0</v>
      </c>
    </row>
    <row r="194" spans="1:159" ht="17.25" thickBot="1" x14ac:dyDescent="0.3">
      <c r="A194" s="226">
        <v>46129</v>
      </c>
      <c r="B194" s="227" t="s">
        <v>168</v>
      </c>
      <c r="C194" s="227" t="s">
        <v>291</v>
      </c>
      <c r="D194" s="228">
        <v>550</v>
      </c>
      <c r="E194" s="228">
        <v>11</v>
      </c>
      <c r="F194" s="231">
        <v>1113.9000000000001</v>
      </c>
      <c r="G194" s="231">
        <v>1102.7</v>
      </c>
      <c r="H194" s="228">
        <v>11.2</v>
      </c>
      <c r="I194" s="229">
        <v>1.0200000000000001E-2</v>
      </c>
      <c r="J194" s="231">
        <v>1113.2</v>
      </c>
      <c r="K194" s="231">
        <v>1102.5999999999999</v>
      </c>
      <c r="L194" s="228">
        <v>10.6</v>
      </c>
      <c r="M194" s="229">
        <v>9.5999999999999992E-3</v>
      </c>
      <c r="N194" s="231">
        <v>1113.9000000000001</v>
      </c>
      <c r="O194" s="231">
        <v>1102.7</v>
      </c>
      <c r="P194" s="228">
        <v>11.2</v>
      </c>
      <c r="Q194" s="229">
        <v>1.0200000000000001E-2</v>
      </c>
      <c r="R194" s="231">
        <v>1117.2</v>
      </c>
      <c r="S194" s="231">
        <v>1104.7</v>
      </c>
      <c r="T194" s="228">
        <v>12.5</v>
      </c>
      <c r="U194" s="229">
        <v>1.1299999999999999E-2</v>
      </c>
      <c r="V194" s="231">
        <v>1120.5</v>
      </c>
      <c r="W194" s="231">
        <v>1104</v>
      </c>
      <c r="X194" s="228">
        <v>16.5</v>
      </c>
      <c r="Y194" s="229">
        <v>1.49E-2</v>
      </c>
      <c r="Z194" s="228">
        <v>0.7</v>
      </c>
      <c r="AA194" s="228">
        <v>0.1</v>
      </c>
      <c r="AB194" s="228">
        <v>0.6</v>
      </c>
      <c r="AC194" s="229">
        <v>5.9999999999999995E-4</v>
      </c>
      <c r="AD194" s="228">
        <v>0.7</v>
      </c>
      <c r="AE194" s="228">
        <v>0.1</v>
      </c>
      <c r="AF194" s="228">
        <v>0.6</v>
      </c>
      <c r="AG194" s="229">
        <v>5.9999999999999995E-4</v>
      </c>
      <c r="AH194" s="228">
        <v>4</v>
      </c>
      <c r="AI194" s="228">
        <v>2.1</v>
      </c>
      <c r="AJ194" s="228">
        <v>1.9</v>
      </c>
      <c r="AK194" s="229">
        <v>3.5999999999999999E-3</v>
      </c>
      <c r="AL194" s="228">
        <v>7.3</v>
      </c>
      <c r="AM194" s="228">
        <v>1.4</v>
      </c>
      <c r="AN194" s="228">
        <v>5.9</v>
      </c>
      <c r="AO194" s="229">
        <v>6.6E-3</v>
      </c>
      <c r="AP194" s="231">
        <v>1114.6400000000001</v>
      </c>
      <c r="AQ194" s="231">
        <v>1116.22</v>
      </c>
      <c r="AR194" s="228">
        <v>0</v>
      </c>
      <c r="AS194" s="228">
        <v>188</v>
      </c>
      <c r="AT194" s="228">
        <v>167</v>
      </c>
      <c r="AU194" s="228">
        <v>21</v>
      </c>
      <c r="AV194" s="229">
        <v>0.12609999999999999</v>
      </c>
      <c r="AW194" s="228">
        <v>172</v>
      </c>
      <c r="AX194" s="228">
        <v>155</v>
      </c>
      <c r="AY194" s="228">
        <v>17</v>
      </c>
      <c r="AZ194" s="229">
        <v>0.1116</v>
      </c>
      <c r="BA194" s="228">
        <v>15</v>
      </c>
      <c r="BB194" s="228">
        <v>12</v>
      </c>
      <c r="BC194" s="228">
        <v>3</v>
      </c>
      <c r="BD194" s="229">
        <v>0.23350000000000001</v>
      </c>
      <c r="BE194" s="228">
        <v>1</v>
      </c>
      <c r="BF194" s="228">
        <v>0</v>
      </c>
      <c r="BG194" s="228">
        <v>1</v>
      </c>
      <c r="BH194" s="229">
        <v>5.3333000000000004</v>
      </c>
      <c r="BI194" s="228">
        <v>685</v>
      </c>
      <c r="BJ194" s="228">
        <v>209</v>
      </c>
      <c r="BK194" s="228">
        <v>477</v>
      </c>
      <c r="BL194" s="229">
        <v>2.2829000000000002</v>
      </c>
      <c r="BM194" s="228">
        <v>164</v>
      </c>
      <c r="BN194" s="228">
        <v>112</v>
      </c>
      <c r="BO194" s="228">
        <v>52</v>
      </c>
      <c r="BP194" s="229">
        <v>0.4632</v>
      </c>
      <c r="BQ194" s="230">
        <v>1038</v>
      </c>
      <c r="BR194" s="228">
        <v>488</v>
      </c>
      <c r="BS194" s="228">
        <v>550</v>
      </c>
      <c r="BT194" s="229">
        <v>1.1257999999999999</v>
      </c>
      <c r="BU194" s="230">
        <v>1310394</v>
      </c>
      <c r="BV194" s="230">
        <v>1452506</v>
      </c>
      <c r="BW194" s="230">
        <v>-142112</v>
      </c>
      <c r="BX194" s="229">
        <v>-9.7799999999999998E-2</v>
      </c>
      <c r="BY194" s="230">
        <v>1476</v>
      </c>
      <c r="BZ194" s="230">
        <v>1471</v>
      </c>
      <c r="CA194" s="228">
        <v>6</v>
      </c>
      <c r="CB194" s="229">
        <v>3.8E-3</v>
      </c>
      <c r="CC194" s="230">
        <v>1378</v>
      </c>
      <c r="CD194" s="230">
        <v>1373</v>
      </c>
      <c r="CE194" s="228">
        <v>5</v>
      </c>
      <c r="CF194" s="229">
        <v>3.5999999999999999E-3</v>
      </c>
      <c r="CG194" s="228">
        <v>90</v>
      </c>
      <c r="CH194" s="228">
        <v>89</v>
      </c>
      <c r="CI194" s="228">
        <v>1</v>
      </c>
      <c r="CJ194" s="229">
        <v>7.6E-3</v>
      </c>
      <c r="CK194" s="228">
        <v>8</v>
      </c>
      <c r="CL194" s="228">
        <v>8</v>
      </c>
      <c r="CM194" s="228">
        <v>0</v>
      </c>
      <c r="CN194" s="229">
        <v>7.4000000000000003E-3</v>
      </c>
      <c r="CO194" s="228">
        <v>273</v>
      </c>
      <c r="CP194" s="228">
        <v>220</v>
      </c>
      <c r="CQ194" s="228">
        <v>53</v>
      </c>
      <c r="CR194" s="229">
        <v>0.2432</v>
      </c>
      <c r="CS194" s="228">
        <v>274</v>
      </c>
      <c r="CT194" s="228">
        <v>254</v>
      </c>
      <c r="CU194" s="228">
        <v>19</v>
      </c>
      <c r="CV194" s="229">
        <v>7.5600000000000001E-2</v>
      </c>
      <c r="CW194" s="230">
        <v>2023</v>
      </c>
      <c r="CX194" s="230">
        <v>1945</v>
      </c>
      <c r="CY194" s="228">
        <v>78</v>
      </c>
      <c r="CZ194" s="229">
        <v>4.0300000000000002E-2</v>
      </c>
      <c r="DA194" s="228">
        <v>28.47</v>
      </c>
      <c r="DB194" s="228">
        <v>29.62</v>
      </c>
      <c r="DC194" s="228">
        <v>-1.1499999999999999</v>
      </c>
      <c r="DD194" s="228">
        <v>-1.1499999999999999</v>
      </c>
      <c r="DE194" s="228">
        <v>27.36</v>
      </c>
      <c r="DF194" s="228">
        <v>27.39</v>
      </c>
      <c r="DG194" s="228">
        <v>1.1100000000000001</v>
      </c>
      <c r="DH194" s="228">
        <v>-0.03</v>
      </c>
      <c r="DI194" s="228">
        <v>27.94</v>
      </c>
      <c r="DJ194" s="228">
        <v>28.36</v>
      </c>
      <c r="DK194" s="228">
        <v>-0.42</v>
      </c>
      <c r="DL194" s="228">
        <v>-0.42</v>
      </c>
      <c r="DM194" s="228">
        <v>30.68</v>
      </c>
      <c r="DN194" s="228">
        <v>31.95</v>
      </c>
      <c r="DO194" s="228">
        <v>-1.27</v>
      </c>
      <c r="DP194" s="228">
        <v>-1.27</v>
      </c>
      <c r="DQ194" s="228">
        <v>1</v>
      </c>
      <c r="DR194" s="228">
        <v>1.1599999999999999</v>
      </c>
      <c r="DS194" s="228">
        <v>-0.16</v>
      </c>
      <c r="DT194" s="229">
        <v>-0.13789999999999999</v>
      </c>
      <c r="DU194" s="231">
        <v>1150</v>
      </c>
      <c r="DV194" s="228">
        <v>930</v>
      </c>
      <c r="DW194" s="228">
        <v>0.24</v>
      </c>
      <c r="DX194" s="228">
        <v>0.54</v>
      </c>
      <c r="DY194" s="228">
        <v>-0.3</v>
      </c>
      <c r="DZ194" s="229">
        <v>-0.55559999999999998</v>
      </c>
      <c r="EA194" s="229">
        <v>6.6400000000000001E-2</v>
      </c>
      <c r="EB194" s="230">
        <v>873400</v>
      </c>
      <c r="EC194" s="229">
        <v>3.0000000000000001E-3</v>
      </c>
      <c r="ED194" s="229">
        <v>6.6400000000000001E-2</v>
      </c>
      <c r="EE194" s="228">
        <v>1.58</v>
      </c>
      <c r="EF194" s="229">
        <v>1.4E-3</v>
      </c>
      <c r="EG194" s="230">
        <v>565447</v>
      </c>
      <c r="EH194" s="230">
        <v>798273</v>
      </c>
      <c r="EI194" s="229">
        <v>-0.29170000000000001</v>
      </c>
      <c r="EJ194" s="229">
        <v>0.43149999999999999</v>
      </c>
      <c r="EK194" s="228">
        <v>709.21</v>
      </c>
      <c r="EL194" s="228">
        <v>162.4</v>
      </c>
      <c r="EM194" s="228">
        <v>188.36</v>
      </c>
      <c r="EN194" s="228">
        <v>21.46</v>
      </c>
      <c r="EO194" s="231">
        <v>1059.97</v>
      </c>
      <c r="EP194" s="228">
        <v>487.36</v>
      </c>
      <c r="EQ194" s="228">
        <v>572.62</v>
      </c>
      <c r="ER194" s="229">
        <v>1.1749000000000001</v>
      </c>
      <c r="ES194" s="228">
        <v>277.70999999999998</v>
      </c>
      <c r="ET194" s="228">
        <v>248.61</v>
      </c>
      <c r="EU194" s="231">
        <v>1476.48</v>
      </c>
      <c r="EV194" s="231">
        <v>65472757</v>
      </c>
      <c r="EW194" s="231">
        <v>2002.8</v>
      </c>
      <c r="EX194" s="231">
        <v>1907.68</v>
      </c>
      <c r="EY194" s="228">
        <v>95.12</v>
      </c>
      <c r="EZ194" s="229">
        <v>4.99E-2</v>
      </c>
      <c r="FA194" s="229">
        <v>0.27739999999999998</v>
      </c>
      <c r="FB194" s="227" t="s">
        <v>555</v>
      </c>
      <c r="FC194">
        <f t="shared" si="3"/>
        <v>0</v>
      </c>
    </row>
    <row r="195" spans="1:159" ht="17.25" thickBot="1" x14ac:dyDescent="0.3">
      <c r="A195" s="226">
        <v>46129</v>
      </c>
      <c r="B195" s="227" t="s">
        <v>221</v>
      </c>
      <c r="C195" s="227" t="s">
        <v>603</v>
      </c>
      <c r="D195" s="228">
        <v>100</v>
      </c>
      <c r="E195" s="228">
        <v>11</v>
      </c>
      <c r="F195" s="231">
        <v>4602</v>
      </c>
      <c r="G195" s="231">
        <v>4603.8</v>
      </c>
      <c r="H195" s="228">
        <v>-1.8</v>
      </c>
      <c r="I195" s="229">
        <v>-4.0000000000000002E-4</v>
      </c>
      <c r="J195" s="231">
        <v>4592.5</v>
      </c>
      <c r="K195" s="231">
        <v>4593.6000000000004</v>
      </c>
      <c r="L195" s="228">
        <v>-1.1000000000000001</v>
      </c>
      <c r="M195" s="229">
        <v>-2.0000000000000001E-4</v>
      </c>
      <c r="N195" s="231">
        <v>4602</v>
      </c>
      <c r="O195" s="231">
        <v>4603.8</v>
      </c>
      <c r="P195" s="228">
        <v>-1.8</v>
      </c>
      <c r="Q195" s="229">
        <v>-4.0000000000000002E-4</v>
      </c>
      <c r="R195" s="231">
        <v>4581.1000000000004</v>
      </c>
      <c r="S195" s="231">
        <v>4580.6000000000004</v>
      </c>
      <c r="T195" s="228">
        <v>0.5</v>
      </c>
      <c r="U195" s="229">
        <v>1E-4</v>
      </c>
      <c r="V195" s="231">
        <v>4525.3</v>
      </c>
      <c r="W195" s="231">
        <v>4520</v>
      </c>
      <c r="X195" s="228">
        <v>5.3</v>
      </c>
      <c r="Y195" s="229">
        <v>1.1999999999999999E-3</v>
      </c>
      <c r="Z195" s="228">
        <v>9.5</v>
      </c>
      <c r="AA195" s="228">
        <v>10.199999999999999</v>
      </c>
      <c r="AB195" s="228">
        <v>-0.7</v>
      </c>
      <c r="AC195" s="229">
        <v>2.0999999999999999E-3</v>
      </c>
      <c r="AD195" s="228">
        <v>9.5</v>
      </c>
      <c r="AE195" s="228">
        <v>10.199999999999999</v>
      </c>
      <c r="AF195" s="228">
        <v>-0.7</v>
      </c>
      <c r="AG195" s="229">
        <v>2.0999999999999999E-3</v>
      </c>
      <c r="AH195" s="228">
        <v>-11.4</v>
      </c>
      <c r="AI195" s="228">
        <v>-13</v>
      </c>
      <c r="AJ195" s="228">
        <v>1.6</v>
      </c>
      <c r="AK195" s="229">
        <v>-2.5000000000000001E-3</v>
      </c>
      <c r="AL195" s="228">
        <v>-67.2</v>
      </c>
      <c r="AM195" s="228">
        <v>-73.599999999999994</v>
      </c>
      <c r="AN195" s="228">
        <v>6.4</v>
      </c>
      <c r="AO195" s="229">
        <v>-1.46E-2</v>
      </c>
      <c r="AP195" s="231">
        <v>4654.25</v>
      </c>
      <c r="AQ195" s="231">
        <v>4626.3500000000004</v>
      </c>
      <c r="AR195" s="228">
        <v>0</v>
      </c>
      <c r="AS195" s="228">
        <v>238</v>
      </c>
      <c r="AT195" s="228">
        <v>290</v>
      </c>
      <c r="AU195" s="228">
        <v>-52</v>
      </c>
      <c r="AV195" s="229">
        <v>-0.1782</v>
      </c>
      <c r="AW195" s="228">
        <v>203</v>
      </c>
      <c r="AX195" s="228">
        <v>240</v>
      </c>
      <c r="AY195" s="228">
        <v>-37</v>
      </c>
      <c r="AZ195" s="229">
        <v>-0.15429999999999999</v>
      </c>
      <c r="BA195" s="228">
        <v>31</v>
      </c>
      <c r="BB195" s="228">
        <v>49</v>
      </c>
      <c r="BC195" s="228">
        <v>-18</v>
      </c>
      <c r="BD195" s="229">
        <v>-0.35870000000000002</v>
      </c>
      <c r="BE195" s="228">
        <v>4</v>
      </c>
      <c r="BF195" s="228">
        <v>1</v>
      </c>
      <c r="BG195" s="228">
        <v>3</v>
      </c>
      <c r="BH195" s="229">
        <v>3.2</v>
      </c>
      <c r="BI195" s="230">
        <v>1067</v>
      </c>
      <c r="BJ195" s="228">
        <v>765</v>
      </c>
      <c r="BK195" s="228">
        <v>301</v>
      </c>
      <c r="BL195" s="229">
        <v>0.39360000000000001</v>
      </c>
      <c r="BM195" s="228">
        <v>448</v>
      </c>
      <c r="BN195" s="228">
        <v>356</v>
      </c>
      <c r="BO195" s="228">
        <v>92</v>
      </c>
      <c r="BP195" s="229">
        <v>0.25929999999999997</v>
      </c>
      <c r="BQ195" s="230">
        <v>1752</v>
      </c>
      <c r="BR195" s="230">
        <v>1411</v>
      </c>
      <c r="BS195" s="228">
        <v>342</v>
      </c>
      <c r="BT195" s="229">
        <v>0.24229999999999999</v>
      </c>
      <c r="BU195" s="230">
        <v>396748</v>
      </c>
      <c r="BV195" s="230">
        <v>324627</v>
      </c>
      <c r="BW195" s="230">
        <v>72121</v>
      </c>
      <c r="BX195" s="229">
        <v>0.22220000000000001</v>
      </c>
      <c r="BY195" s="228">
        <v>830</v>
      </c>
      <c r="BZ195" s="228">
        <v>822</v>
      </c>
      <c r="CA195" s="228">
        <v>8</v>
      </c>
      <c r="CB195" s="229">
        <v>9.4999999999999998E-3</v>
      </c>
      <c r="CC195" s="228">
        <v>666</v>
      </c>
      <c r="CD195" s="228">
        <v>670</v>
      </c>
      <c r="CE195" s="228">
        <v>-4</v>
      </c>
      <c r="CF195" s="229">
        <v>-5.8999999999999999E-3</v>
      </c>
      <c r="CG195" s="228">
        <v>151</v>
      </c>
      <c r="CH195" s="228">
        <v>141</v>
      </c>
      <c r="CI195" s="228">
        <v>10</v>
      </c>
      <c r="CJ195" s="229">
        <v>7.0300000000000001E-2</v>
      </c>
      <c r="CK195" s="228">
        <v>13</v>
      </c>
      <c r="CL195" s="228">
        <v>11</v>
      </c>
      <c r="CM195" s="228">
        <v>2</v>
      </c>
      <c r="CN195" s="229">
        <v>0.16600000000000001</v>
      </c>
      <c r="CO195" s="228">
        <v>421</v>
      </c>
      <c r="CP195" s="228">
        <v>347</v>
      </c>
      <c r="CQ195" s="228">
        <v>74</v>
      </c>
      <c r="CR195" s="229">
        <v>0.21440000000000001</v>
      </c>
      <c r="CS195" s="228">
        <v>231</v>
      </c>
      <c r="CT195" s="228">
        <v>230</v>
      </c>
      <c r="CU195" s="228">
        <v>2</v>
      </c>
      <c r="CV195" s="229">
        <v>8.6E-3</v>
      </c>
      <c r="CW195" s="230">
        <v>1483</v>
      </c>
      <c r="CX195" s="230">
        <v>1398</v>
      </c>
      <c r="CY195" s="228">
        <v>84</v>
      </c>
      <c r="CZ195" s="229">
        <v>6.0199999999999997E-2</v>
      </c>
      <c r="DA195" s="228">
        <v>42.78</v>
      </c>
      <c r="DB195" s="228">
        <v>41.65</v>
      </c>
      <c r="DC195" s="228">
        <v>1.1299999999999999</v>
      </c>
      <c r="DD195" s="228">
        <v>1.1299999999999999</v>
      </c>
      <c r="DE195" s="228">
        <v>38.83</v>
      </c>
      <c r="DF195" s="228">
        <v>38.93</v>
      </c>
      <c r="DG195" s="228">
        <v>3.95</v>
      </c>
      <c r="DH195" s="228">
        <v>-0.1</v>
      </c>
      <c r="DI195" s="228">
        <v>42.56</v>
      </c>
      <c r="DJ195" s="228">
        <v>40.83</v>
      </c>
      <c r="DK195" s="228">
        <v>1.73</v>
      </c>
      <c r="DL195" s="228">
        <v>1.73</v>
      </c>
      <c r="DM195" s="228">
        <v>43.29</v>
      </c>
      <c r="DN195" s="228">
        <v>43.4</v>
      </c>
      <c r="DO195" s="228">
        <v>-0.11</v>
      </c>
      <c r="DP195" s="228">
        <v>-0.11</v>
      </c>
      <c r="DQ195" s="228">
        <v>0.55000000000000004</v>
      </c>
      <c r="DR195" s="228">
        <v>0.66</v>
      </c>
      <c r="DS195" s="228">
        <v>-0.11</v>
      </c>
      <c r="DT195" s="229">
        <v>-0.16669999999999999</v>
      </c>
      <c r="DU195" s="231">
        <v>5000</v>
      </c>
      <c r="DV195" s="231">
        <v>4000</v>
      </c>
      <c r="DW195" s="228">
        <v>0.42</v>
      </c>
      <c r="DX195" s="228">
        <v>0.46</v>
      </c>
      <c r="DY195" s="228">
        <v>-0.04</v>
      </c>
      <c r="DZ195" s="229">
        <v>-8.6999999999999994E-2</v>
      </c>
      <c r="EA195" s="229">
        <v>0.1976</v>
      </c>
      <c r="EB195" s="230">
        <v>330700</v>
      </c>
      <c r="EC195" s="229">
        <v>-4.4999999999999997E-3</v>
      </c>
      <c r="ED195" s="229">
        <v>0.1976</v>
      </c>
      <c r="EE195" s="228">
        <v>-27.9</v>
      </c>
      <c r="EF195" s="229">
        <v>-6.0000000000000001E-3</v>
      </c>
      <c r="EG195" s="230">
        <v>135221</v>
      </c>
      <c r="EH195" s="230">
        <v>91395</v>
      </c>
      <c r="EI195" s="229">
        <v>0.47949999999999998</v>
      </c>
      <c r="EJ195" s="229">
        <v>0.34079999999999999</v>
      </c>
      <c r="EK195" s="231">
        <v>1139.58</v>
      </c>
      <c r="EL195" s="228">
        <v>439.2</v>
      </c>
      <c r="EM195" s="228">
        <v>240.54</v>
      </c>
      <c r="EN195" s="228">
        <v>42.35</v>
      </c>
      <c r="EO195" s="231">
        <v>1819.32</v>
      </c>
      <c r="EP195" s="231">
        <v>1436.81</v>
      </c>
      <c r="EQ195" s="228">
        <v>382.52</v>
      </c>
      <c r="ER195" s="229">
        <v>0.26619999999999999</v>
      </c>
      <c r="ES195" s="228">
        <v>433.31</v>
      </c>
      <c r="ET195" s="228">
        <v>218.41</v>
      </c>
      <c r="EU195" s="228">
        <v>828.97</v>
      </c>
      <c r="EV195" s="231">
        <v>5241946</v>
      </c>
      <c r="EW195" s="231">
        <v>1480.69</v>
      </c>
      <c r="EX195" s="231">
        <v>1387.73</v>
      </c>
      <c r="EY195" s="228">
        <v>92.96</v>
      </c>
      <c r="EZ195" s="229">
        <v>6.7000000000000004E-2</v>
      </c>
      <c r="FA195" s="229">
        <v>0.61460000000000004</v>
      </c>
      <c r="FB195" s="227" t="s">
        <v>566</v>
      </c>
      <c r="FC195">
        <f t="shared" ref="FC195:FC258" si="4">BY266-CC266</f>
        <v>0</v>
      </c>
    </row>
    <row r="196" spans="1:159" ht="17.25" thickBot="1" x14ac:dyDescent="0.3">
      <c r="A196" s="226">
        <v>46129</v>
      </c>
      <c r="B196" s="227" t="s">
        <v>161</v>
      </c>
      <c r="C196" s="227" t="s">
        <v>293</v>
      </c>
      <c r="D196" s="228">
        <v>1450</v>
      </c>
      <c r="E196" s="228">
        <v>11</v>
      </c>
      <c r="F196" s="228">
        <v>427.95</v>
      </c>
      <c r="G196" s="228">
        <v>427.55</v>
      </c>
      <c r="H196" s="228">
        <v>0.4</v>
      </c>
      <c r="I196" s="229">
        <v>8.9999999999999998E-4</v>
      </c>
      <c r="J196" s="228">
        <v>427.6</v>
      </c>
      <c r="K196" s="228">
        <v>426.6</v>
      </c>
      <c r="L196" s="228">
        <v>1</v>
      </c>
      <c r="M196" s="229">
        <v>2.3E-3</v>
      </c>
      <c r="N196" s="228">
        <v>427.95</v>
      </c>
      <c r="O196" s="228">
        <v>427.55</v>
      </c>
      <c r="P196" s="228">
        <v>0.4</v>
      </c>
      <c r="Q196" s="229">
        <v>8.9999999999999998E-4</v>
      </c>
      <c r="R196" s="228">
        <v>430.45</v>
      </c>
      <c r="S196" s="228">
        <v>430.45</v>
      </c>
      <c r="T196" s="228">
        <v>0</v>
      </c>
      <c r="U196" s="229">
        <v>0</v>
      </c>
      <c r="V196" s="228">
        <v>430.95</v>
      </c>
      <c r="W196" s="228">
        <v>430.6</v>
      </c>
      <c r="X196" s="228">
        <v>0.35</v>
      </c>
      <c r="Y196" s="229">
        <v>8.0000000000000004E-4</v>
      </c>
      <c r="Z196" s="228">
        <v>0.35</v>
      </c>
      <c r="AA196" s="228">
        <v>0.95</v>
      </c>
      <c r="AB196" s="228">
        <v>-0.6</v>
      </c>
      <c r="AC196" s="229">
        <v>8.0000000000000004E-4</v>
      </c>
      <c r="AD196" s="228">
        <v>0.35</v>
      </c>
      <c r="AE196" s="228">
        <v>0.95</v>
      </c>
      <c r="AF196" s="228">
        <v>-0.6</v>
      </c>
      <c r="AG196" s="229">
        <v>8.0000000000000004E-4</v>
      </c>
      <c r="AH196" s="228">
        <v>2.85</v>
      </c>
      <c r="AI196" s="228">
        <v>3.85</v>
      </c>
      <c r="AJ196" s="228">
        <v>-1</v>
      </c>
      <c r="AK196" s="229">
        <v>6.7000000000000002E-3</v>
      </c>
      <c r="AL196" s="228">
        <v>3.35</v>
      </c>
      <c r="AM196" s="228">
        <v>4</v>
      </c>
      <c r="AN196" s="228">
        <v>-0.65</v>
      </c>
      <c r="AO196" s="229">
        <v>7.7999999999999996E-3</v>
      </c>
      <c r="AP196" s="228">
        <v>428.03</v>
      </c>
      <c r="AQ196" s="228">
        <v>431.18</v>
      </c>
      <c r="AR196" s="228">
        <v>0</v>
      </c>
      <c r="AS196" s="228">
        <v>453</v>
      </c>
      <c r="AT196" s="228">
        <v>778</v>
      </c>
      <c r="AU196" s="228">
        <v>-325</v>
      </c>
      <c r="AV196" s="229">
        <v>-0.41810000000000003</v>
      </c>
      <c r="AW196" s="228">
        <v>354</v>
      </c>
      <c r="AX196" s="228">
        <v>663</v>
      </c>
      <c r="AY196" s="228">
        <v>-309</v>
      </c>
      <c r="AZ196" s="229">
        <v>-0.46660000000000001</v>
      </c>
      <c r="BA196" s="228">
        <v>92</v>
      </c>
      <c r="BB196" s="228">
        <v>105</v>
      </c>
      <c r="BC196" s="228">
        <v>-13</v>
      </c>
      <c r="BD196" s="229">
        <v>-0.1215</v>
      </c>
      <c r="BE196" s="228">
        <v>7</v>
      </c>
      <c r="BF196" s="228">
        <v>10</v>
      </c>
      <c r="BG196" s="228">
        <v>-3</v>
      </c>
      <c r="BH196" s="229">
        <v>-0.32050000000000001</v>
      </c>
      <c r="BI196" s="230">
        <v>2122</v>
      </c>
      <c r="BJ196" s="230">
        <v>4127</v>
      </c>
      <c r="BK196" s="230">
        <v>-2005</v>
      </c>
      <c r="BL196" s="229">
        <v>-0.48580000000000001</v>
      </c>
      <c r="BM196" s="230">
        <v>1583</v>
      </c>
      <c r="BN196" s="230">
        <v>1645</v>
      </c>
      <c r="BO196" s="228">
        <v>-63</v>
      </c>
      <c r="BP196" s="229">
        <v>-3.7999999999999999E-2</v>
      </c>
      <c r="BQ196" s="230">
        <v>4157</v>
      </c>
      <c r="BR196" s="230">
        <v>6550</v>
      </c>
      <c r="BS196" s="230">
        <v>-2392</v>
      </c>
      <c r="BT196" s="229">
        <v>-0.36530000000000001</v>
      </c>
      <c r="BU196" s="230">
        <v>8238954</v>
      </c>
      <c r="BV196" s="230">
        <v>14599412</v>
      </c>
      <c r="BW196" s="230">
        <v>-6360458</v>
      </c>
      <c r="BX196" s="229">
        <v>-0.43569999999999998</v>
      </c>
      <c r="BY196" s="230">
        <v>2444</v>
      </c>
      <c r="BZ196" s="230">
        <v>2462</v>
      </c>
      <c r="CA196" s="228">
        <v>-18</v>
      </c>
      <c r="CB196" s="229">
        <v>-7.4000000000000003E-3</v>
      </c>
      <c r="CC196" s="230">
        <v>2189</v>
      </c>
      <c r="CD196" s="230">
        <v>2257</v>
      </c>
      <c r="CE196" s="228">
        <v>-68</v>
      </c>
      <c r="CF196" s="229">
        <v>-3.0300000000000001E-2</v>
      </c>
      <c r="CG196" s="228">
        <v>237</v>
      </c>
      <c r="CH196" s="228">
        <v>188</v>
      </c>
      <c r="CI196" s="228">
        <v>49</v>
      </c>
      <c r="CJ196" s="229">
        <v>0.25879999999999997</v>
      </c>
      <c r="CK196" s="228">
        <v>19</v>
      </c>
      <c r="CL196" s="228">
        <v>17</v>
      </c>
      <c r="CM196" s="228">
        <v>1</v>
      </c>
      <c r="CN196" s="229">
        <v>7.9399999999999998E-2</v>
      </c>
      <c r="CO196" s="230">
        <v>1569</v>
      </c>
      <c r="CP196" s="230">
        <v>1594</v>
      </c>
      <c r="CQ196" s="228">
        <v>-25</v>
      </c>
      <c r="CR196" s="229">
        <v>-1.55E-2</v>
      </c>
      <c r="CS196" s="230">
        <v>1343</v>
      </c>
      <c r="CT196" s="230">
        <v>1248</v>
      </c>
      <c r="CU196" s="228">
        <v>95</v>
      </c>
      <c r="CV196" s="229">
        <v>7.5999999999999998E-2</v>
      </c>
      <c r="CW196" s="230">
        <v>5356</v>
      </c>
      <c r="CX196" s="230">
        <v>5304</v>
      </c>
      <c r="CY196" s="228">
        <v>52</v>
      </c>
      <c r="CZ196" s="229">
        <v>9.7999999999999997E-3</v>
      </c>
      <c r="DA196" s="228">
        <v>29.31</v>
      </c>
      <c r="DB196" s="228">
        <v>29.35</v>
      </c>
      <c r="DC196" s="228">
        <v>-0.04</v>
      </c>
      <c r="DD196" s="228">
        <v>-0.04</v>
      </c>
      <c r="DE196" s="228">
        <v>31.57</v>
      </c>
      <c r="DF196" s="228">
        <v>31.64</v>
      </c>
      <c r="DG196" s="228">
        <v>-2.2599999999999998</v>
      </c>
      <c r="DH196" s="228">
        <v>-7.0000000000000007E-2</v>
      </c>
      <c r="DI196" s="228">
        <v>28.97</v>
      </c>
      <c r="DJ196" s="228">
        <v>29.08</v>
      </c>
      <c r="DK196" s="228">
        <v>-0.11</v>
      </c>
      <c r="DL196" s="228">
        <v>-0.11</v>
      </c>
      <c r="DM196" s="228">
        <v>29.77</v>
      </c>
      <c r="DN196" s="228">
        <v>30.04</v>
      </c>
      <c r="DO196" s="228">
        <v>-0.27</v>
      </c>
      <c r="DP196" s="228">
        <v>-0.27</v>
      </c>
      <c r="DQ196" s="228">
        <v>0.86</v>
      </c>
      <c r="DR196" s="228">
        <v>0.78</v>
      </c>
      <c r="DS196" s="228">
        <v>0.08</v>
      </c>
      <c r="DT196" s="229">
        <v>0.1026</v>
      </c>
      <c r="DU196" s="228">
        <v>430</v>
      </c>
      <c r="DV196" s="228">
        <v>415</v>
      </c>
      <c r="DW196" s="228">
        <v>0.75</v>
      </c>
      <c r="DX196" s="228">
        <v>0.4</v>
      </c>
      <c r="DY196" s="228">
        <v>0.35</v>
      </c>
      <c r="DZ196" s="229">
        <v>0.875</v>
      </c>
      <c r="EA196" s="229">
        <v>0.10440000000000001</v>
      </c>
      <c r="EB196" s="230">
        <v>4793700</v>
      </c>
      <c r="EC196" s="229">
        <v>5.7999999999999996E-3</v>
      </c>
      <c r="ED196" s="229">
        <v>0.10440000000000001</v>
      </c>
      <c r="EE196" s="228">
        <v>3.15</v>
      </c>
      <c r="EF196" s="229">
        <v>7.4000000000000003E-3</v>
      </c>
      <c r="EG196" s="230">
        <v>3410739</v>
      </c>
      <c r="EH196" s="230">
        <v>5470380</v>
      </c>
      <c r="EI196" s="229">
        <v>-0.3765</v>
      </c>
      <c r="EJ196" s="229">
        <v>0.41399999999999998</v>
      </c>
      <c r="EK196" s="231">
        <v>2197.48</v>
      </c>
      <c r="EL196" s="231">
        <v>1557.74</v>
      </c>
      <c r="EM196" s="228">
        <v>453.48</v>
      </c>
      <c r="EN196" s="228">
        <v>113.92</v>
      </c>
      <c r="EO196" s="231">
        <v>4208.7</v>
      </c>
      <c r="EP196" s="231">
        <v>6617.1</v>
      </c>
      <c r="EQ196" s="231">
        <v>-2408.4</v>
      </c>
      <c r="ER196" s="229">
        <v>-0.36399999999999999</v>
      </c>
      <c r="ES196" s="231">
        <v>1547.74</v>
      </c>
      <c r="ET196" s="231">
        <v>1248.82</v>
      </c>
      <c r="EU196" s="231">
        <v>2445.21</v>
      </c>
      <c r="EV196" s="231">
        <v>169808198</v>
      </c>
      <c r="EW196" s="231">
        <v>5241.7700000000004</v>
      </c>
      <c r="EX196" s="231">
        <v>5181.04</v>
      </c>
      <c r="EY196" s="228">
        <v>60.73</v>
      </c>
      <c r="EZ196" s="229">
        <v>1.17E-2</v>
      </c>
      <c r="FA196" s="229">
        <v>0.73699999999999999</v>
      </c>
      <c r="FB196" s="227" t="s">
        <v>693</v>
      </c>
      <c r="FC196">
        <f t="shared" si="4"/>
        <v>0</v>
      </c>
    </row>
    <row r="197" spans="1:159" ht="17.25" thickBot="1" x14ac:dyDescent="0.3">
      <c r="A197" s="226">
        <v>46129</v>
      </c>
      <c r="B197" s="227" t="s">
        <v>227</v>
      </c>
      <c r="C197" s="227" t="s">
        <v>294</v>
      </c>
      <c r="D197" s="228">
        <v>5500</v>
      </c>
      <c r="E197" s="228">
        <v>11</v>
      </c>
      <c r="F197" s="228">
        <v>212.3</v>
      </c>
      <c r="G197" s="228">
        <v>210.72</v>
      </c>
      <c r="H197" s="228">
        <v>1.58</v>
      </c>
      <c r="I197" s="229">
        <v>7.4999999999999997E-3</v>
      </c>
      <c r="J197" s="228">
        <v>212.12</v>
      </c>
      <c r="K197" s="228">
        <v>210.69</v>
      </c>
      <c r="L197" s="228">
        <v>1.43</v>
      </c>
      <c r="M197" s="229">
        <v>6.7999999999999996E-3</v>
      </c>
      <c r="N197" s="228">
        <v>212.3</v>
      </c>
      <c r="O197" s="228">
        <v>210.72</v>
      </c>
      <c r="P197" s="228">
        <v>1.58</v>
      </c>
      <c r="Q197" s="229">
        <v>7.4999999999999997E-3</v>
      </c>
      <c r="R197" s="228">
        <v>213.63</v>
      </c>
      <c r="S197" s="228">
        <v>211.95</v>
      </c>
      <c r="T197" s="228">
        <v>1.68</v>
      </c>
      <c r="U197" s="229">
        <v>7.9000000000000008E-3</v>
      </c>
      <c r="V197" s="228">
        <v>211.66</v>
      </c>
      <c r="W197" s="228">
        <v>210.21</v>
      </c>
      <c r="X197" s="228">
        <v>1.45</v>
      </c>
      <c r="Y197" s="229">
        <v>6.8999999999999999E-3</v>
      </c>
      <c r="Z197" s="228">
        <v>0.18</v>
      </c>
      <c r="AA197" s="228">
        <v>0.03</v>
      </c>
      <c r="AB197" s="228">
        <v>0.15</v>
      </c>
      <c r="AC197" s="229">
        <v>8.0000000000000004E-4</v>
      </c>
      <c r="AD197" s="228">
        <v>0.18</v>
      </c>
      <c r="AE197" s="228">
        <v>0.03</v>
      </c>
      <c r="AF197" s="228">
        <v>0.15</v>
      </c>
      <c r="AG197" s="229">
        <v>8.0000000000000004E-4</v>
      </c>
      <c r="AH197" s="228">
        <v>1.51</v>
      </c>
      <c r="AI197" s="228">
        <v>1.26</v>
      </c>
      <c r="AJ197" s="228">
        <v>0.25</v>
      </c>
      <c r="AK197" s="229">
        <v>7.1000000000000004E-3</v>
      </c>
      <c r="AL197" s="228">
        <v>-0.46</v>
      </c>
      <c r="AM197" s="228">
        <v>-0.48</v>
      </c>
      <c r="AN197" s="228">
        <v>0.02</v>
      </c>
      <c r="AO197" s="229">
        <v>-2.2000000000000001E-3</v>
      </c>
      <c r="AP197" s="228">
        <v>211.33</v>
      </c>
      <c r="AQ197" s="228">
        <v>212.68</v>
      </c>
      <c r="AR197" s="228">
        <v>0</v>
      </c>
      <c r="AS197" s="228">
        <v>630</v>
      </c>
      <c r="AT197" s="228">
        <v>817</v>
      </c>
      <c r="AU197" s="228">
        <v>-187</v>
      </c>
      <c r="AV197" s="229">
        <v>-0.22869999999999999</v>
      </c>
      <c r="AW197" s="228">
        <v>524</v>
      </c>
      <c r="AX197" s="228">
        <v>682</v>
      </c>
      <c r="AY197" s="228">
        <v>-158</v>
      </c>
      <c r="AZ197" s="229">
        <v>-0.2319</v>
      </c>
      <c r="BA197" s="228">
        <v>92</v>
      </c>
      <c r="BB197" s="228">
        <v>110</v>
      </c>
      <c r="BC197" s="228">
        <v>-18</v>
      </c>
      <c r="BD197" s="229">
        <v>-0.16200000000000001</v>
      </c>
      <c r="BE197" s="228">
        <v>15</v>
      </c>
      <c r="BF197" s="228">
        <v>26</v>
      </c>
      <c r="BG197" s="228">
        <v>-11</v>
      </c>
      <c r="BH197" s="229">
        <v>-0.42920000000000003</v>
      </c>
      <c r="BI197" s="230">
        <v>2513</v>
      </c>
      <c r="BJ197" s="230">
        <v>3254</v>
      </c>
      <c r="BK197" s="228">
        <v>-741</v>
      </c>
      <c r="BL197" s="229">
        <v>-0.2276</v>
      </c>
      <c r="BM197" s="230">
        <v>1631</v>
      </c>
      <c r="BN197" s="230">
        <v>1700</v>
      </c>
      <c r="BO197" s="228">
        <v>-69</v>
      </c>
      <c r="BP197" s="229">
        <v>-4.0899999999999999E-2</v>
      </c>
      <c r="BQ197" s="230">
        <v>4774</v>
      </c>
      <c r="BR197" s="230">
        <v>5772</v>
      </c>
      <c r="BS197" s="228">
        <v>-997</v>
      </c>
      <c r="BT197" s="229">
        <v>-0.17280000000000001</v>
      </c>
      <c r="BU197" s="230">
        <v>24403581</v>
      </c>
      <c r="BV197" s="230">
        <v>29279774</v>
      </c>
      <c r="BW197" s="230">
        <v>-4876193</v>
      </c>
      <c r="BX197" s="229">
        <v>-0.16650000000000001</v>
      </c>
      <c r="BY197" s="230">
        <v>3786</v>
      </c>
      <c r="BZ197" s="230">
        <v>3817</v>
      </c>
      <c r="CA197" s="228">
        <v>-31</v>
      </c>
      <c r="CB197" s="229">
        <v>-8.0000000000000002E-3</v>
      </c>
      <c r="CC197" s="230">
        <v>3262</v>
      </c>
      <c r="CD197" s="230">
        <v>3314</v>
      </c>
      <c r="CE197" s="228">
        <v>-52</v>
      </c>
      <c r="CF197" s="229">
        <v>-1.5699999999999999E-2</v>
      </c>
      <c r="CG197" s="228">
        <v>407</v>
      </c>
      <c r="CH197" s="228">
        <v>385</v>
      </c>
      <c r="CI197" s="228">
        <v>22</v>
      </c>
      <c r="CJ197" s="229">
        <v>5.7299999999999997E-2</v>
      </c>
      <c r="CK197" s="228">
        <v>117</v>
      </c>
      <c r="CL197" s="228">
        <v>118</v>
      </c>
      <c r="CM197" s="228">
        <v>-1</v>
      </c>
      <c r="CN197" s="229">
        <v>-5.0000000000000001E-3</v>
      </c>
      <c r="CO197" s="230">
        <v>2472</v>
      </c>
      <c r="CP197" s="230">
        <v>2486</v>
      </c>
      <c r="CQ197" s="228">
        <v>-14</v>
      </c>
      <c r="CR197" s="229">
        <v>-5.7999999999999996E-3</v>
      </c>
      <c r="CS197" s="230">
        <v>2120</v>
      </c>
      <c r="CT197" s="230">
        <v>1994</v>
      </c>
      <c r="CU197" s="228">
        <v>126</v>
      </c>
      <c r="CV197" s="229">
        <v>6.3399999999999998E-2</v>
      </c>
      <c r="CW197" s="230">
        <v>8378</v>
      </c>
      <c r="CX197" s="230">
        <v>8297</v>
      </c>
      <c r="CY197" s="228">
        <v>81</v>
      </c>
      <c r="CZ197" s="229">
        <v>9.7999999999999997E-3</v>
      </c>
      <c r="DA197" s="228">
        <v>29.64</v>
      </c>
      <c r="DB197" s="228">
        <v>31.19</v>
      </c>
      <c r="DC197" s="228">
        <v>-1.55</v>
      </c>
      <c r="DD197" s="228">
        <v>-1.55</v>
      </c>
      <c r="DE197" s="228">
        <v>36.159999999999997</v>
      </c>
      <c r="DF197" s="228">
        <v>36.229999999999997</v>
      </c>
      <c r="DG197" s="228">
        <v>-6.52</v>
      </c>
      <c r="DH197" s="228">
        <v>-7.0000000000000007E-2</v>
      </c>
      <c r="DI197" s="228">
        <v>28.19</v>
      </c>
      <c r="DJ197" s="228">
        <v>30.31</v>
      </c>
      <c r="DK197" s="228">
        <v>-2.12</v>
      </c>
      <c r="DL197" s="228">
        <v>-2.12</v>
      </c>
      <c r="DM197" s="228">
        <v>31.87</v>
      </c>
      <c r="DN197" s="228">
        <v>32.869999999999997</v>
      </c>
      <c r="DO197" s="228">
        <v>-1</v>
      </c>
      <c r="DP197" s="228">
        <v>-1</v>
      </c>
      <c r="DQ197" s="228">
        <v>0.86</v>
      </c>
      <c r="DR197" s="228">
        <v>0.8</v>
      </c>
      <c r="DS197" s="228">
        <v>0.06</v>
      </c>
      <c r="DT197" s="229">
        <v>7.4999999999999997E-2</v>
      </c>
      <c r="DU197" s="228">
        <v>195</v>
      </c>
      <c r="DV197" s="228">
        <v>200</v>
      </c>
      <c r="DW197" s="228">
        <v>0.65</v>
      </c>
      <c r="DX197" s="228">
        <v>0.52</v>
      </c>
      <c r="DY197" s="228">
        <v>0.13</v>
      </c>
      <c r="DZ197" s="229">
        <v>0.25</v>
      </c>
      <c r="EA197" s="229">
        <v>0.13850000000000001</v>
      </c>
      <c r="EB197" s="230">
        <v>23683000</v>
      </c>
      <c r="EC197" s="229">
        <v>6.3E-3</v>
      </c>
      <c r="ED197" s="229">
        <v>0.13850000000000001</v>
      </c>
      <c r="EE197" s="228">
        <v>1.35</v>
      </c>
      <c r="EF197" s="229">
        <v>6.4000000000000003E-3</v>
      </c>
      <c r="EG197" s="230">
        <v>9314487</v>
      </c>
      <c r="EH197" s="230">
        <v>10747419</v>
      </c>
      <c r="EI197" s="229">
        <v>-0.1333</v>
      </c>
      <c r="EJ197" s="229">
        <v>0.38169999999999998</v>
      </c>
      <c r="EK197" s="231">
        <v>2582.77</v>
      </c>
      <c r="EL197" s="231">
        <v>1580.23</v>
      </c>
      <c r="EM197" s="228">
        <v>628.07000000000005</v>
      </c>
      <c r="EN197" s="228">
        <v>64.930000000000007</v>
      </c>
      <c r="EO197" s="231">
        <v>4791.0600000000004</v>
      </c>
      <c r="EP197" s="231">
        <v>5806.32</v>
      </c>
      <c r="EQ197" s="231">
        <v>-1015.26</v>
      </c>
      <c r="ER197" s="229">
        <v>-0.1749</v>
      </c>
      <c r="ES197" s="231">
        <v>2420.0700000000002</v>
      </c>
      <c r="ET197" s="231">
        <v>1942.49</v>
      </c>
      <c r="EU197" s="231">
        <v>3788.3</v>
      </c>
      <c r="EV197" s="231">
        <v>1049350971</v>
      </c>
      <c r="EW197" s="231">
        <v>8150.86</v>
      </c>
      <c r="EX197" s="231">
        <v>8039.78</v>
      </c>
      <c r="EY197" s="228">
        <v>111.08</v>
      </c>
      <c r="EZ197" s="229">
        <v>1.38E-2</v>
      </c>
      <c r="FA197" s="229">
        <v>0.37609999999999999</v>
      </c>
      <c r="FB197" s="227" t="s">
        <v>693</v>
      </c>
      <c r="FC197">
        <f t="shared" si="4"/>
        <v>0</v>
      </c>
    </row>
    <row r="198" spans="1:159" ht="17.25" thickBot="1" x14ac:dyDescent="0.3">
      <c r="A198" s="226">
        <v>46129</v>
      </c>
      <c r="B198" s="227" t="s">
        <v>221</v>
      </c>
      <c r="C198" s="227" t="s">
        <v>662</v>
      </c>
      <c r="D198" s="228">
        <v>800</v>
      </c>
      <c r="E198" s="228">
        <v>11</v>
      </c>
      <c r="F198" s="228">
        <v>590.9</v>
      </c>
      <c r="G198" s="228">
        <v>588</v>
      </c>
      <c r="H198" s="228">
        <v>2.9</v>
      </c>
      <c r="I198" s="229">
        <v>4.8999999999999998E-3</v>
      </c>
      <c r="J198" s="228">
        <v>589.29999999999995</v>
      </c>
      <c r="K198" s="228">
        <v>586.70000000000005</v>
      </c>
      <c r="L198" s="228">
        <v>2.6</v>
      </c>
      <c r="M198" s="229">
        <v>4.4000000000000003E-3</v>
      </c>
      <c r="N198" s="228">
        <v>590.9</v>
      </c>
      <c r="O198" s="228">
        <v>588</v>
      </c>
      <c r="P198" s="228">
        <v>2.9</v>
      </c>
      <c r="Q198" s="229">
        <v>4.8999999999999998E-3</v>
      </c>
      <c r="R198" s="228">
        <v>0</v>
      </c>
      <c r="S198" s="228">
        <v>0</v>
      </c>
      <c r="T198" s="228">
        <v>0</v>
      </c>
      <c r="U198" s="229">
        <v>0</v>
      </c>
      <c r="V198" s="228">
        <v>0</v>
      </c>
      <c r="W198" s="228">
        <v>0</v>
      </c>
      <c r="X198" s="228">
        <v>0</v>
      </c>
      <c r="Y198" s="229">
        <v>0</v>
      </c>
      <c r="Z198" s="228">
        <v>1.6</v>
      </c>
      <c r="AA198" s="228">
        <v>1.3</v>
      </c>
      <c r="AB198" s="228">
        <v>0.3</v>
      </c>
      <c r="AC198" s="229">
        <v>2.7000000000000001E-3</v>
      </c>
      <c r="AD198" s="228">
        <v>1.6</v>
      </c>
      <c r="AE198" s="228">
        <v>1.3</v>
      </c>
      <c r="AF198" s="228">
        <v>0.3</v>
      </c>
      <c r="AG198" s="229">
        <v>2.7000000000000001E-3</v>
      </c>
      <c r="AH198" s="228">
        <v>0</v>
      </c>
      <c r="AI198" s="228">
        <v>0</v>
      </c>
      <c r="AJ198" s="228">
        <v>0</v>
      </c>
      <c r="AK198" s="229">
        <v>0</v>
      </c>
      <c r="AL198" s="228">
        <v>0</v>
      </c>
      <c r="AM198" s="228">
        <v>0</v>
      </c>
      <c r="AN198" s="228">
        <v>0</v>
      </c>
      <c r="AO198" s="229">
        <v>0</v>
      </c>
      <c r="AP198" s="228">
        <v>590.92999999999995</v>
      </c>
      <c r="AQ198" s="228">
        <v>0</v>
      </c>
      <c r="AR198" s="228">
        <v>0</v>
      </c>
      <c r="AS198" s="228">
        <v>30</v>
      </c>
      <c r="AT198" s="228">
        <v>66</v>
      </c>
      <c r="AU198" s="228">
        <v>-36</v>
      </c>
      <c r="AV198" s="229">
        <v>-0.54979999999999996</v>
      </c>
      <c r="AW198" s="228">
        <v>30</v>
      </c>
      <c r="AX198" s="228">
        <v>66</v>
      </c>
      <c r="AY198" s="228">
        <v>-36</v>
      </c>
      <c r="AZ198" s="229">
        <v>-0.54979999999999996</v>
      </c>
      <c r="BA198" s="228">
        <v>0</v>
      </c>
      <c r="BB198" s="228">
        <v>0</v>
      </c>
      <c r="BC198" s="228">
        <v>0</v>
      </c>
      <c r="BD198" s="229">
        <v>0</v>
      </c>
      <c r="BE198" s="228">
        <v>0</v>
      </c>
      <c r="BF198" s="228">
        <v>0</v>
      </c>
      <c r="BG198" s="228">
        <v>0</v>
      </c>
      <c r="BH198" s="229">
        <v>0</v>
      </c>
      <c r="BI198" s="228">
        <v>80</v>
      </c>
      <c r="BJ198" s="228">
        <v>248</v>
      </c>
      <c r="BK198" s="228">
        <v>-169</v>
      </c>
      <c r="BL198" s="229">
        <v>-0.67930000000000001</v>
      </c>
      <c r="BM198" s="228">
        <v>25</v>
      </c>
      <c r="BN198" s="228">
        <v>70</v>
      </c>
      <c r="BO198" s="228">
        <v>-45</v>
      </c>
      <c r="BP198" s="229">
        <v>-0.64239999999999997</v>
      </c>
      <c r="BQ198" s="228">
        <v>134</v>
      </c>
      <c r="BR198" s="228">
        <v>385</v>
      </c>
      <c r="BS198" s="228">
        <v>-250</v>
      </c>
      <c r="BT198" s="229">
        <v>-0.65039999999999998</v>
      </c>
      <c r="BU198" s="230">
        <v>655163</v>
      </c>
      <c r="BV198" s="230">
        <v>969686</v>
      </c>
      <c r="BW198" s="230">
        <v>-314523</v>
      </c>
      <c r="BX198" s="229">
        <v>-0.32440000000000002</v>
      </c>
      <c r="BY198" s="228">
        <v>361</v>
      </c>
      <c r="BZ198" s="228">
        <v>366</v>
      </c>
      <c r="CA198" s="228">
        <v>-5</v>
      </c>
      <c r="CB198" s="229">
        <v>-1.3599999999999999E-2</v>
      </c>
      <c r="CC198" s="228">
        <v>361</v>
      </c>
      <c r="CD198" s="228">
        <v>366</v>
      </c>
      <c r="CE198" s="228">
        <v>-5</v>
      </c>
      <c r="CF198" s="229">
        <v>-1.3599999999999999E-2</v>
      </c>
      <c r="CG198" s="228">
        <v>0</v>
      </c>
      <c r="CH198" s="228">
        <v>0</v>
      </c>
      <c r="CI198" s="228">
        <v>0</v>
      </c>
      <c r="CJ198" s="229">
        <v>0</v>
      </c>
      <c r="CK198" s="228">
        <v>0</v>
      </c>
      <c r="CL198" s="228">
        <v>0</v>
      </c>
      <c r="CM198" s="228">
        <v>0</v>
      </c>
      <c r="CN198" s="229">
        <v>0</v>
      </c>
      <c r="CO198" s="228">
        <v>162</v>
      </c>
      <c r="CP198" s="228">
        <v>158</v>
      </c>
      <c r="CQ198" s="228">
        <v>3</v>
      </c>
      <c r="CR198" s="229">
        <v>2.12E-2</v>
      </c>
      <c r="CS198" s="228">
        <v>107</v>
      </c>
      <c r="CT198" s="228">
        <v>108</v>
      </c>
      <c r="CU198" s="228">
        <v>-1</v>
      </c>
      <c r="CV198" s="229">
        <v>-8.3000000000000001E-3</v>
      </c>
      <c r="CW198" s="228">
        <v>630</v>
      </c>
      <c r="CX198" s="228">
        <v>633</v>
      </c>
      <c r="CY198" s="228">
        <v>-3</v>
      </c>
      <c r="CZ198" s="229">
        <v>-4.0000000000000001E-3</v>
      </c>
      <c r="DA198" s="228">
        <v>30.08</v>
      </c>
      <c r="DB198" s="228">
        <v>31.8</v>
      </c>
      <c r="DC198" s="228">
        <v>-1.72</v>
      </c>
      <c r="DD198" s="228">
        <v>-1.72</v>
      </c>
      <c r="DE198" s="228">
        <v>33.64</v>
      </c>
      <c r="DF198" s="228">
        <v>33.72</v>
      </c>
      <c r="DG198" s="228">
        <v>-3.56</v>
      </c>
      <c r="DH198" s="228">
        <v>-0.08</v>
      </c>
      <c r="DI198" s="228">
        <v>28.25</v>
      </c>
      <c r="DJ198" s="228">
        <v>30.39</v>
      </c>
      <c r="DK198" s="228">
        <v>-2.14</v>
      </c>
      <c r="DL198" s="228">
        <v>-2.14</v>
      </c>
      <c r="DM198" s="228">
        <v>35.880000000000003</v>
      </c>
      <c r="DN198" s="228">
        <v>36.78</v>
      </c>
      <c r="DO198" s="228">
        <v>-0.9</v>
      </c>
      <c r="DP198" s="228">
        <v>-0.9</v>
      </c>
      <c r="DQ198" s="228">
        <v>0.66</v>
      </c>
      <c r="DR198" s="228">
        <v>0.68</v>
      </c>
      <c r="DS198" s="228">
        <v>-0.02</v>
      </c>
      <c r="DT198" s="229">
        <v>-2.9399999999999999E-2</v>
      </c>
      <c r="DU198" s="228">
        <v>620</v>
      </c>
      <c r="DV198" s="228">
        <v>550</v>
      </c>
      <c r="DW198" s="228">
        <v>0.32</v>
      </c>
      <c r="DX198" s="228">
        <v>0.28000000000000003</v>
      </c>
      <c r="DY198" s="228">
        <v>0.04</v>
      </c>
      <c r="DZ198" s="229">
        <v>0.1429</v>
      </c>
      <c r="EA198" s="229">
        <v>0</v>
      </c>
      <c r="EB198" s="228">
        <v>0</v>
      </c>
      <c r="EC198" s="229">
        <v>0</v>
      </c>
      <c r="ED198" s="229">
        <v>0</v>
      </c>
      <c r="EE198" s="228">
        <v>0</v>
      </c>
      <c r="EF198" s="229">
        <v>0</v>
      </c>
      <c r="EG198" s="230">
        <v>246733</v>
      </c>
      <c r="EH198" s="230">
        <v>318265</v>
      </c>
      <c r="EI198" s="229">
        <v>-0.2248</v>
      </c>
      <c r="EJ198" s="229">
        <v>0.37659999999999999</v>
      </c>
      <c r="EK198" s="228">
        <v>82.51</v>
      </c>
      <c r="EL198" s="228">
        <v>24.06</v>
      </c>
      <c r="EM198" s="228">
        <v>29.69</v>
      </c>
      <c r="EN198" s="228">
        <v>11.51</v>
      </c>
      <c r="EO198" s="228">
        <v>136.26</v>
      </c>
      <c r="EP198" s="228">
        <v>389.46</v>
      </c>
      <c r="EQ198" s="228">
        <v>-253.2</v>
      </c>
      <c r="ER198" s="229">
        <v>-0.65010000000000001</v>
      </c>
      <c r="ES198" s="228">
        <v>161.87</v>
      </c>
      <c r="ET198" s="228">
        <v>100.66</v>
      </c>
      <c r="EU198" s="228">
        <v>361.02</v>
      </c>
      <c r="EV198" s="231">
        <v>27144562</v>
      </c>
      <c r="EW198" s="228">
        <v>623.54999999999995</v>
      </c>
      <c r="EX198" s="228">
        <v>623.85</v>
      </c>
      <c r="EY198" s="228">
        <v>-0.3</v>
      </c>
      <c r="EZ198" s="229">
        <v>-5.0000000000000001E-4</v>
      </c>
      <c r="FA198" s="229">
        <v>0.39290000000000003</v>
      </c>
      <c r="FB198" s="227" t="s">
        <v>693</v>
      </c>
      <c r="FC198">
        <f t="shared" si="4"/>
        <v>0</v>
      </c>
    </row>
    <row r="199" spans="1:159" ht="17.25" thickBot="1" x14ac:dyDescent="0.3">
      <c r="A199" s="226">
        <v>46129</v>
      </c>
      <c r="B199" s="227" t="s">
        <v>221</v>
      </c>
      <c r="C199" s="227" t="s">
        <v>295</v>
      </c>
      <c r="D199" s="228">
        <v>175</v>
      </c>
      <c r="E199" s="228">
        <v>11</v>
      </c>
      <c r="F199" s="231">
        <v>2561.1999999999998</v>
      </c>
      <c r="G199" s="231">
        <v>2555.6</v>
      </c>
      <c r="H199" s="228">
        <v>5.6</v>
      </c>
      <c r="I199" s="229">
        <v>2.2000000000000001E-3</v>
      </c>
      <c r="J199" s="231">
        <v>2581.5</v>
      </c>
      <c r="K199" s="231">
        <v>2576.9</v>
      </c>
      <c r="L199" s="228">
        <v>4.5999999999999996</v>
      </c>
      <c r="M199" s="229">
        <v>1.8E-3</v>
      </c>
      <c r="N199" s="231">
        <v>2561.1999999999998</v>
      </c>
      <c r="O199" s="231">
        <v>2555.6</v>
      </c>
      <c r="P199" s="228">
        <v>5.6</v>
      </c>
      <c r="Q199" s="229">
        <v>2.2000000000000001E-3</v>
      </c>
      <c r="R199" s="231">
        <v>2553.3000000000002</v>
      </c>
      <c r="S199" s="231">
        <v>2546.4</v>
      </c>
      <c r="T199" s="228">
        <v>6.9</v>
      </c>
      <c r="U199" s="229">
        <v>2.7000000000000001E-3</v>
      </c>
      <c r="V199" s="231">
        <v>2553.6</v>
      </c>
      <c r="W199" s="231">
        <v>2547.8000000000002</v>
      </c>
      <c r="X199" s="228">
        <v>5.8</v>
      </c>
      <c r="Y199" s="229">
        <v>2.3E-3</v>
      </c>
      <c r="Z199" s="228">
        <v>-20.3</v>
      </c>
      <c r="AA199" s="228">
        <v>-21.3</v>
      </c>
      <c r="AB199" s="228">
        <v>1</v>
      </c>
      <c r="AC199" s="229">
        <v>-7.9000000000000008E-3</v>
      </c>
      <c r="AD199" s="228">
        <v>-20.3</v>
      </c>
      <c r="AE199" s="228">
        <v>-21.3</v>
      </c>
      <c r="AF199" s="228">
        <v>1</v>
      </c>
      <c r="AG199" s="229">
        <v>-7.9000000000000008E-3</v>
      </c>
      <c r="AH199" s="228">
        <v>-28.2</v>
      </c>
      <c r="AI199" s="228">
        <v>-30.5</v>
      </c>
      <c r="AJ199" s="228">
        <v>2.2999999999999998</v>
      </c>
      <c r="AK199" s="229">
        <v>-1.09E-2</v>
      </c>
      <c r="AL199" s="228">
        <v>-27.9</v>
      </c>
      <c r="AM199" s="228">
        <v>-29.1</v>
      </c>
      <c r="AN199" s="228">
        <v>1.2</v>
      </c>
      <c r="AO199" s="229">
        <v>-1.0800000000000001E-2</v>
      </c>
      <c r="AP199" s="231">
        <v>2561.27</v>
      </c>
      <c r="AQ199" s="231">
        <v>2551.73</v>
      </c>
      <c r="AR199" s="228">
        <v>0</v>
      </c>
      <c r="AS199" s="228">
        <v>740</v>
      </c>
      <c r="AT199" s="230">
        <v>1183</v>
      </c>
      <c r="AU199" s="228">
        <v>-443</v>
      </c>
      <c r="AV199" s="229">
        <v>-0.37430000000000002</v>
      </c>
      <c r="AW199" s="228">
        <v>590</v>
      </c>
      <c r="AX199" s="228">
        <v>962</v>
      </c>
      <c r="AY199" s="228">
        <v>-372</v>
      </c>
      <c r="AZ199" s="229">
        <v>-0.38650000000000001</v>
      </c>
      <c r="BA199" s="228">
        <v>115</v>
      </c>
      <c r="BB199" s="228">
        <v>158</v>
      </c>
      <c r="BC199" s="228">
        <v>-43</v>
      </c>
      <c r="BD199" s="229">
        <v>-0.27329999999999999</v>
      </c>
      <c r="BE199" s="228">
        <v>34</v>
      </c>
      <c r="BF199" s="228">
        <v>62</v>
      </c>
      <c r="BG199" s="228">
        <v>-27</v>
      </c>
      <c r="BH199" s="229">
        <v>-0.44330000000000003</v>
      </c>
      <c r="BI199" s="230">
        <v>4320</v>
      </c>
      <c r="BJ199" s="230">
        <v>6379</v>
      </c>
      <c r="BK199" s="230">
        <v>-2059</v>
      </c>
      <c r="BL199" s="229">
        <v>-0.32279999999999998</v>
      </c>
      <c r="BM199" s="230">
        <v>2518</v>
      </c>
      <c r="BN199" s="230">
        <v>3511</v>
      </c>
      <c r="BO199" s="228">
        <v>-992</v>
      </c>
      <c r="BP199" s="229">
        <v>-0.28270000000000001</v>
      </c>
      <c r="BQ199" s="230">
        <v>7578</v>
      </c>
      <c r="BR199" s="230">
        <v>11073</v>
      </c>
      <c r="BS199" s="230">
        <v>-3494</v>
      </c>
      <c r="BT199" s="229">
        <v>-0.31559999999999999</v>
      </c>
      <c r="BU199" s="230">
        <v>2872327</v>
      </c>
      <c r="BV199" s="230">
        <v>4405804</v>
      </c>
      <c r="BW199" s="230">
        <v>-1533477</v>
      </c>
      <c r="BX199" s="229">
        <v>-0.34810000000000002</v>
      </c>
      <c r="BY199" s="230">
        <v>9108</v>
      </c>
      <c r="BZ199" s="230">
        <v>9084</v>
      </c>
      <c r="CA199" s="228">
        <v>24</v>
      </c>
      <c r="CB199" s="229">
        <v>2.7000000000000001E-3</v>
      </c>
      <c r="CC199" s="230">
        <v>8220</v>
      </c>
      <c r="CD199" s="230">
        <v>8228</v>
      </c>
      <c r="CE199" s="228">
        <v>-7</v>
      </c>
      <c r="CF199" s="229">
        <v>-8.9999999999999998E-4</v>
      </c>
      <c r="CG199" s="228">
        <v>729</v>
      </c>
      <c r="CH199" s="228">
        <v>707</v>
      </c>
      <c r="CI199" s="228">
        <v>22</v>
      </c>
      <c r="CJ199" s="229">
        <v>3.09E-2</v>
      </c>
      <c r="CK199" s="228">
        <v>159</v>
      </c>
      <c r="CL199" s="228">
        <v>149</v>
      </c>
      <c r="CM199" s="228">
        <v>10</v>
      </c>
      <c r="CN199" s="229">
        <v>6.6199999999999995E-2</v>
      </c>
      <c r="CO199" s="230">
        <v>4633</v>
      </c>
      <c r="CP199" s="230">
        <v>4861</v>
      </c>
      <c r="CQ199" s="228">
        <v>-229</v>
      </c>
      <c r="CR199" s="229">
        <v>-4.7E-2</v>
      </c>
      <c r="CS199" s="230">
        <v>3031</v>
      </c>
      <c r="CT199" s="230">
        <v>2964</v>
      </c>
      <c r="CU199" s="228">
        <v>67</v>
      </c>
      <c r="CV199" s="229">
        <v>2.2499999999999999E-2</v>
      </c>
      <c r="CW199" s="230">
        <v>16772</v>
      </c>
      <c r="CX199" s="230">
        <v>16909</v>
      </c>
      <c r="CY199" s="228">
        <v>-137</v>
      </c>
      <c r="CZ199" s="229">
        <v>-8.0999999999999996E-3</v>
      </c>
      <c r="DA199" s="228">
        <v>25.09</v>
      </c>
      <c r="DB199" s="228">
        <v>25.67</v>
      </c>
      <c r="DC199" s="228">
        <v>-0.57999999999999996</v>
      </c>
      <c r="DD199" s="228">
        <v>-0.57999999999999996</v>
      </c>
      <c r="DE199" s="228">
        <v>27.32</v>
      </c>
      <c r="DF199" s="228">
        <v>27.38</v>
      </c>
      <c r="DG199" s="228">
        <v>-2.23</v>
      </c>
      <c r="DH199" s="228">
        <v>-0.06</v>
      </c>
      <c r="DI199" s="228">
        <v>24.62</v>
      </c>
      <c r="DJ199" s="228">
        <v>25.15</v>
      </c>
      <c r="DK199" s="228">
        <v>-0.53</v>
      </c>
      <c r="DL199" s="228">
        <v>-0.53</v>
      </c>
      <c r="DM199" s="228">
        <v>25.89</v>
      </c>
      <c r="DN199" s="228">
        <v>26.62</v>
      </c>
      <c r="DO199" s="228">
        <v>-0.73</v>
      </c>
      <c r="DP199" s="228">
        <v>-0.73</v>
      </c>
      <c r="DQ199" s="228">
        <v>0.65</v>
      </c>
      <c r="DR199" s="228">
        <v>0.61</v>
      </c>
      <c r="DS199" s="228">
        <v>0.04</v>
      </c>
      <c r="DT199" s="229">
        <v>6.5600000000000006E-2</v>
      </c>
      <c r="DU199" s="231">
        <v>2600</v>
      </c>
      <c r="DV199" s="231">
        <v>2400</v>
      </c>
      <c r="DW199" s="228">
        <v>0.57999999999999996</v>
      </c>
      <c r="DX199" s="228">
        <v>0.55000000000000004</v>
      </c>
      <c r="DY199" s="228">
        <v>0.03</v>
      </c>
      <c r="DZ199" s="229">
        <v>5.45E-2</v>
      </c>
      <c r="EA199" s="229">
        <v>9.7500000000000003E-2</v>
      </c>
      <c r="EB199" s="230">
        <v>3341800</v>
      </c>
      <c r="EC199" s="229">
        <v>-3.0999999999999999E-3</v>
      </c>
      <c r="ED199" s="229">
        <v>9.7500000000000003E-2</v>
      </c>
      <c r="EE199" s="228">
        <v>-9.5399999999999991</v>
      </c>
      <c r="EF199" s="229">
        <v>-3.7000000000000002E-3</v>
      </c>
      <c r="EG199" s="230">
        <v>1761926</v>
      </c>
      <c r="EH199" s="230">
        <v>1646165</v>
      </c>
      <c r="EI199" s="229">
        <v>7.0300000000000001E-2</v>
      </c>
      <c r="EJ199" s="229">
        <v>0.61339999999999995</v>
      </c>
      <c r="EK199" s="231">
        <v>4504.7</v>
      </c>
      <c r="EL199" s="231">
        <v>2474.33</v>
      </c>
      <c r="EM199" s="228">
        <v>739.42</v>
      </c>
      <c r="EN199" s="228">
        <v>368.97</v>
      </c>
      <c r="EO199" s="231">
        <v>7718.46</v>
      </c>
      <c r="EP199" s="231">
        <v>11245.71</v>
      </c>
      <c r="EQ199" s="231">
        <v>-3527.25</v>
      </c>
      <c r="ER199" s="229">
        <v>-0.31369999999999998</v>
      </c>
      <c r="ES199" s="231">
        <v>4801.97</v>
      </c>
      <c r="ET199" s="231">
        <v>2970.5</v>
      </c>
      <c r="EU199" s="231">
        <v>9105.2199999999993</v>
      </c>
      <c r="EV199" s="231">
        <v>153229333</v>
      </c>
      <c r="EW199" s="231">
        <v>16877.689999999999</v>
      </c>
      <c r="EX199" s="231">
        <v>17005.55</v>
      </c>
      <c r="EY199" s="228">
        <v>-127.86</v>
      </c>
      <c r="EZ199" s="229">
        <v>-7.4999999999999997E-3</v>
      </c>
      <c r="FA199" s="229">
        <v>0.4274</v>
      </c>
      <c r="FB199" s="227" t="s">
        <v>555</v>
      </c>
      <c r="FC199">
        <f t="shared" si="4"/>
        <v>0</v>
      </c>
    </row>
    <row r="200" spans="1:159" ht="17.25" thickBot="1" x14ac:dyDescent="0.3">
      <c r="A200" s="226">
        <v>46129</v>
      </c>
      <c r="B200" s="227" t="s">
        <v>221</v>
      </c>
      <c r="C200" s="227" t="s">
        <v>296</v>
      </c>
      <c r="D200" s="228">
        <v>600</v>
      </c>
      <c r="E200" s="228">
        <v>11</v>
      </c>
      <c r="F200" s="231">
        <v>1503.1</v>
      </c>
      <c r="G200" s="231">
        <v>1485.2</v>
      </c>
      <c r="H200" s="228">
        <v>17.899999999999999</v>
      </c>
      <c r="I200" s="229">
        <v>1.21E-2</v>
      </c>
      <c r="J200" s="231">
        <v>1511.4</v>
      </c>
      <c r="K200" s="231">
        <v>1491</v>
      </c>
      <c r="L200" s="228">
        <v>20.399999999999999</v>
      </c>
      <c r="M200" s="229">
        <v>1.37E-2</v>
      </c>
      <c r="N200" s="231">
        <v>1503.1</v>
      </c>
      <c r="O200" s="231">
        <v>1485.2</v>
      </c>
      <c r="P200" s="228">
        <v>17.899999999999999</v>
      </c>
      <c r="Q200" s="229">
        <v>1.21E-2</v>
      </c>
      <c r="R200" s="231">
        <v>1497</v>
      </c>
      <c r="S200" s="231">
        <v>1479.3</v>
      </c>
      <c r="T200" s="228">
        <v>17.7</v>
      </c>
      <c r="U200" s="229">
        <v>1.2E-2</v>
      </c>
      <c r="V200" s="231">
        <v>1498.6</v>
      </c>
      <c r="W200" s="231">
        <v>1482.1</v>
      </c>
      <c r="X200" s="228">
        <v>16.5</v>
      </c>
      <c r="Y200" s="229">
        <v>1.11E-2</v>
      </c>
      <c r="Z200" s="228">
        <v>-8.3000000000000007</v>
      </c>
      <c r="AA200" s="228">
        <v>-5.8</v>
      </c>
      <c r="AB200" s="228">
        <v>-2.5</v>
      </c>
      <c r="AC200" s="229">
        <v>-5.4999999999999997E-3</v>
      </c>
      <c r="AD200" s="228">
        <v>-8.3000000000000007</v>
      </c>
      <c r="AE200" s="228">
        <v>-5.8</v>
      </c>
      <c r="AF200" s="228">
        <v>-2.5</v>
      </c>
      <c r="AG200" s="229">
        <v>-5.4999999999999997E-3</v>
      </c>
      <c r="AH200" s="228">
        <v>-14.4</v>
      </c>
      <c r="AI200" s="228">
        <v>-11.7</v>
      </c>
      <c r="AJ200" s="228">
        <v>-2.7</v>
      </c>
      <c r="AK200" s="229">
        <v>-9.4999999999999998E-3</v>
      </c>
      <c r="AL200" s="228">
        <v>-12.8</v>
      </c>
      <c r="AM200" s="228">
        <v>-8.9</v>
      </c>
      <c r="AN200" s="228">
        <v>-3.9</v>
      </c>
      <c r="AO200" s="229">
        <v>-8.5000000000000006E-3</v>
      </c>
      <c r="AP200" s="231">
        <v>1501.69</v>
      </c>
      <c r="AQ200" s="231">
        <v>1495.65</v>
      </c>
      <c r="AR200" s="228">
        <v>0</v>
      </c>
      <c r="AS200" s="228">
        <v>383</v>
      </c>
      <c r="AT200" s="228">
        <v>350</v>
      </c>
      <c r="AU200" s="228">
        <v>33</v>
      </c>
      <c r="AV200" s="229">
        <v>9.4500000000000001E-2</v>
      </c>
      <c r="AW200" s="228">
        <v>326</v>
      </c>
      <c r="AX200" s="228">
        <v>297</v>
      </c>
      <c r="AY200" s="228">
        <v>28</v>
      </c>
      <c r="AZ200" s="229">
        <v>9.5500000000000002E-2</v>
      </c>
      <c r="BA200" s="228">
        <v>54</v>
      </c>
      <c r="BB200" s="228">
        <v>46</v>
      </c>
      <c r="BC200" s="228">
        <v>8</v>
      </c>
      <c r="BD200" s="229">
        <v>0.16800000000000001</v>
      </c>
      <c r="BE200" s="228">
        <v>4</v>
      </c>
      <c r="BF200" s="228">
        <v>7</v>
      </c>
      <c r="BG200" s="228">
        <v>-3</v>
      </c>
      <c r="BH200" s="229">
        <v>-0.46579999999999999</v>
      </c>
      <c r="BI200" s="230">
        <v>1731</v>
      </c>
      <c r="BJ200" s="228">
        <v>980</v>
      </c>
      <c r="BK200" s="228">
        <v>751</v>
      </c>
      <c r="BL200" s="229">
        <v>0.76590000000000003</v>
      </c>
      <c r="BM200" s="228">
        <v>799</v>
      </c>
      <c r="BN200" s="228">
        <v>548</v>
      </c>
      <c r="BO200" s="228">
        <v>251</v>
      </c>
      <c r="BP200" s="229">
        <v>0.45710000000000001</v>
      </c>
      <c r="BQ200" s="230">
        <v>2913</v>
      </c>
      <c r="BR200" s="230">
        <v>1879</v>
      </c>
      <c r="BS200" s="230">
        <v>1034</v>
      </c>
      <c r="BT200" s="229">
        <v>0.55059999999999998</v>
      </c>
      <c r="BU200" s="230">
        <v>1891487</v>
      </c>
      <c r="BV200" s="230">
        <v>1838542</v>
      </c>
      <c r="BW200" s="230">
        <v>52945</v>
      </c>
      <c r="BX200" s="229">
        <v>2.8799999999999999E-2</v>
      </c>
      <c r="BY200" s="230">
        <v>2800</v>
      </c>
      <c r="BZ200" s="230">
        <v>2791</v>
      </c>
      <c r="CA200" s="228">
        <v>9</v>
      </c>
      <c r="CB200" s="229">
        <v>3.2000000000000002E-3</v>
      </c>
      <c r="CC200" s="230">
        <v>2675</v>
      </c>
      <c r="CD200" s="230">
        <v>2684</v>
      </c>
      <c r="CE200" s="228">
        <v>-9</v>
      </c>
      <c r="CF200" s="229">
        <v>-3.5000000000000001E-3</v>
      </c>
      <c r="CG200" s="228">
        <v>110</v>
      </c>
      <c r="CH200" s="228">
        <v>90</v>
      </c>
      <c r="CI200" s="228">
        <v>20</v>
      </c>
      <c r="CJ200" s="229">
        <v>0.2208</v>
      </c>
      <c r="CK200" s="228">
        <v>15</v>
      </c>
      <c r="CL200" s="228">
        <v>16</v>
      </c>
      <c r="CM200" s="228">
        <v>-2</v>
      </c>
      <c r="CN200" s="229">
        <v>-9.5500000000000002E-2</v>
      </c>
      <c r="CO200" s="228">
        <v>748</v>
      </c>
      <c r="CP200" s="228">
        <v>709</v>
      </c>
      <c r="CQ200" s="228">
        <v>39</v>
      </c>
      <c r="CR200" s="229">
        <v>5.5199999999999999E-2</v>
      </c>
      <c r="CS200" s="228">
        <v>629</v>
      </c>
      <c r="CT200" s="228">
        <v>653</v>
      </c>
      <c r="CU200" s="228">
        <v>-24</v>
      </c>
      <c r="CV200" s="229">
        <v>-3.6999999999999998E-2</v>
      </c>
      <c r="CW200" s="230">
        <v>4177</v>
      </c>
      <c r="CX200" s="230">
        <v>4153</v>
      </c>
      <c r="CY200" s="228">
        <v>24</v>
      </c>
      <c r="CZ200" s="229">
        <v>5.7999999999999996E-3</v>
      </c>
      <c r="DA200" s="228">
        <v>34.130000000000003</v>
      </c>
      <c r="DB200" s="228">
        <v>34</v>
      </c>
      <c r="DC200" s="228">
        <v>0.13</v>
      </c>
      <c r="DD200" s="228">
        <v>0.13</v>
      </c>
      <c r="DE200" s="228">
        <v>31.3</v>
      </c>
      <c r="DF200" s="228">
        <v>31.32</v>
      </c>
      <c r="DG200" s="228">
        <v>2.83</v>
      </c>
      <c r="DH200" s="228">
        <v>-0.02</v>
      </c>
      <c r="DI200" s="228">
        <v>33.24</v>
      </c>
      <c r="DJ200" s="228">
        <v>33.36</v>
      </c>
      <c r="DK200" s="228">
        <v>-0.12</v>
      </c>
      <c r="DL200" s="228">
        <v>-0.12</v>
      </c>
      <c r="DM200" s="228">
        <v>36.06</v>
      </c>
      <c r="DN200" s="228">
        <v>35.159999999999997</v>
      </c>
      <c r="DO200" s="228">
        <v>0.9</v>
      </c>
      <c r="DP200" s="228">
        <v>0.9</v>
      </c>
      <c r="DQ200" s="228">
        <v>0.84</v>
      </c>
      <c r="DR200" s="228">
        <v>0.92</v>
      </c>
      <c r="DS200" s="228">
        <v>-0.08</v>
      </c>
      <c r="DT200" s="229">
        <v>-8.6999999999999994E-2</v>
      </c>
      <c r="DU200" s="231">
        <v>1500</v>
      </c>
      <c r="DV200" s="231">
        <v>1320</v>
      </c>
      <c r="DW200" s="228">
        <v>0.46</v>
      </c>
      <c r="DX200" s="228">
        <v>0.56000000000000005</v>
      </c>
      <c r="DY200" s="228">
        <v>-0.1</v>
      </c>
      <c r="DZ200" s="229">
        <v>-0.17860000000000001</v>
      </c>
      <c r="EA200" s="229">
        <v>4.4600000000000001E-2</v>
      </c>
      <c r="EB200" s="230">
        <v>707400</v>
      </c>
      <c r="EC200" s="229">
        <v>-4.1000000000000003E-3</v>
      </c>
      <c r="ED200" s="229">
        <v>4.4600000000000001E-2</v>
      </c>
      <c r="EE200" s="228">
        <v>-6.04</v>
      </c>
      <c r="EF200" s="229">
        <v>-4.0000000000000001E-3</v>
      </c>
      <c r="EG200" s="230">
        <v>959857</v>
      </c>
      <c r="EH200" s="230">
        <v>860183</v>
      </c>
      <c r="EI200" s="229">
        <v>0.1159</v>
      </c>
      <c r="EJ200" s="229">
        <v>0.50749999999999995</v>
      </c>
      <c r="EK200" s="231">
        <v>1798.22</v>
      </c>
      <c r="EL200" s="228">
        <v>783.56</v>
      </c>
      <c r="EM200" s="228">
        <v>382.7</v>
      </c>
      <c r="EN200" s="228">
        <v>36.26</v>
      </c>
      <c r="EO200" s="231">
        <v>2964.48</v>
      </c>
      <c r="EP200" s="231">
        <v>1896.42</v>
      </c>
      <c r="EQ200" s="231">
        <v>1068.05</v>
      </c>
      <c r="ER200" s="229">
        <v>0.56320000000000003</v>
      </c>
      <c r="ES200" s="228">
        <v>749.77</v>
      </c>
      <c r="ET200" s="228">
        <v>589.02</v>
      </c>
      <c r="EU200" s="231">
        <v>2799.06</v>
      </c>
      <c r="EV200" s="231">
        <v>95553300</v>
      </c>
      <c r="EW200" s="231">
        <v>4137.8500000000004</v>
      </c>
      <c r="EX200" s="231">
        <v>4069.99</v>
      </c>
      <c r="EY200" s="228">
        <v>67.86</v>
      </c>
      <c r="EZ200" s="229">
        <v>1.67E-2</v>
      </c>
      <c r="FA200" s="229">
        <v>0.2908</v>
      </c>
      <c r="FB200" s="227" t="s">
        <v>555</v>
      </c>
      <c r="FC200">
        <f t="shared" si="4"/>
        <v>0</v>
      </c>
    </row>
    <row r="201" spans="1:159" ht="17.25" thickBot="1" x14ac:dyDescent="0.3">
      <c r="A201" s="226">
        <v>46129</v>
      </c>
      <c r="B201" s="227" t="s">
        <v>184</v>
      </c>
      <c r="C201" s="227" t="s">
        <v>594</v>
      </c>
      <c r="D201" s="228">
        <v>200</v>
      </c>
      <c r="E201" s="228">
        <v>11</v>
      </c>
      <c r="F201" s="231">
        <v>2798.1</v>
      </c>
      <c r="G201" s="231">
        <v>2763.7</v>
      </c>
      <c r="H201" s="228">
        <v>34.4</v>
      </c>
      <c r="I201" s="229">
        <v>1.24E-2</v>
      </c>
      <c r="J201" s="231">
        <v>2790.2</v>
      </c>
      <c r="K201" s="231">
        <v>2752.9</v>
      </c>
      <c r="L201" s="228">
        <v>37.299999999999997</v>
      </c>
      <c r="M201" s="229">
        <v>1.35E-2</v>
      </c>
      <c r="N201" s="231">
        <v>2798.1</v>
      </c>
      <c r="O201" s="231">
        <v>2763.7</v>
      </c>
      <c r="P201" s="228">
        <v>34.4</v>
      </c>
      <c r="Q201" s="229">
        <v>1.24E-2</v>
      </c>
      <c r="R201" s="231">
        <v>2812.1</v>
      </c>
      <c r="S201" s="231">
        <v>2773.1</v>
      </c>
      <c r="T201" s="228">
        <v>39</v>
      </c>
      <c r="U201" s="229">
        <v>1.41E-2</v>
      </c>
      <c r="V201" s="231">
        <v>2820</v>
      </c>
      <c r="W201" s="231">
        <v>2806.6</v>
      </c>
      <c r="X201" s="228">
        <v>13.4</v>
      </c>
      <c r="Y201" s="229">
        <v>4.7999999999999996E-3</v>
      </c>
      <c r="Z201" s="228">
        <v>7.9</v>
      </c>
      <c r="AA201" s="228">
        <v>10.8</v>
      </c>
      <c r="AB201" s="228">
        <v>-2.9</v>
      </c>
      <c r="AC201" s="229">
        <v>2.8E-3</v>
      </c>
      <c r="AD201" s="228">
        <v>7.9</v>
      </c>
      <c r="AE201" s="228">
        <v>10.8</v>
      </c>
      <c r="AF201" s="228">
        <v>-2.9</v>
      </c>
      <c r="AG201" s="229">
        <v>2.8E-3</v>
      </c>
      <c r="AH201" s="228">
        <v>21.9</v>
      </c>
      <c r="AI201" s="228">
        <v>20.2</v>
      </c>
      <c r="AJ201" s="228">
        <v>1.7</v>
      </c>
      <c r="AK201" s="229">
        <v>7.7999999999999996E-3</v>
      </c>
      <c r="AL201" s="228">
        <v>29.8</v>
      </c>
      <c r="AM201" s="228">
        <v>53.7</v>
      </c>
      <c r="AN201" s="228">
        <v>-23.9</v>
      </c>
      <c r="AO201" s="229">
        <v>1.0699999999999999E-2</v>
      </c>
      <c r="AP201" s="231">
        <v>2787.51</v>
      </c>
      <c r="AQ201" s="231">
        <v>2800.78</v>
      </c>
      <c r="AR201" s="228">
        <v>0</v>
      </c>
      <c r="AS201" s="228">
        <v>79</v>
      </c>
      <c r="AT201" s="228">
        <v>89</v>
      </c>
      <c r="AU201" s="228">
        <v>-10</v>
      </c>
      <c r="AV201" s="229">
        <v>-0.10929999999999999</v>
      </c>
      <c r="AW201" s="228">
        <v>74</v>
      </c>
      <c r="AX201" s="228">
        <v>84</v>
      </c>
      <c r="AY201" s="228">
        <v>-10</v>
      </c>
      <c r="AZ201" s="229">
        <v>-0.1158</v>
      </c>
      <c r="BA201" s="228">
        <v>5</v>
      </c>
      <c r="BB201" s="228">
        <v>5</v>
      </c>
      <c r="BC201" s="228">
        <v>0</v>
      </c>
      <c r="BD201" s="229">
        <v>-5.6800000000000003E-2</v>
      </c>
      <c r="BE201" s="228">
        <v>0</v>
      </c>
      <c r="BF201" s="228">
        <v>0</v>
      </c>
      <c r="BG201" s="228">
        <v>0</v>
      </c>
      <c r="BH201" s="229">
        <v>5</v>
      </c>
      <c r="BI201" s="228">
        <v>278</v>
      </c>
      <c r="BJ201" s="228">
        <v>155</v>
      </c>
      <c r="BK201" s="228">
        <v>123</v>
      </c>
      <c r="BL201" s="229">
        <v>0.79059999999999997</v>
      </c>
      <c r="BM201" s="228">
        <v>39</v>
      </c>
      <c r="BN201" s="228">
        <v>34</v>
      </c>
      <c r="BO201" s="228">
        <v>5</v>
      </c>
      <c r="BP201" s="229">
        <v>0.14099999999999999</v>
      </c>
      <c r="BQ201" s="228">
        <v>396</v>
      </c>
      <c r="BR201" s="228">
        <v>278</v>
      </c>
      <c r="BS201" s="228">
        <v>118</v>
      </c>
      <c r="BT201" s="229">
        <v>0.42349999999999999</v>
      </c>
      <c r="BU201" s="230">
        <v>280557</v>
      </c>
      <c r="BV201" s="230">
        <v>327326</v>
      </c>
      <c r="BW201" s="230">
        <v>-46769</v>
      </c>
      <c r="BX201" s="229">
        <v>-0.1429</v>
      </c>
      <c r="BY201" s="228">
        <v>743</v>
      </c>
      <c r="BZ201" s="228">
        <v>729</v>
      </c>
      <c r="CA201" s="228">
        <v>14</v>
      </c>
      <c r="CB201" s="229">
        <v>1.9E-2</v>
      </c>
      <c r="CC201" s="228">
        <v>731</v>
      </c>
      <c r="CD201" s="228">
        <v>719</v>
      </c>
      <c r="CE201" s="228">
        <v>13</v>
      </c>
      <c r="CF201" s="229">
        <v>1.7500000000000002E-2</v>
      </c>
      <c r="CG201" s="228">
        <v>10</v>
      </c>
      <c r="CH201" s="228">
        <v>9</v>
      </c>
      <c r="CI201" s="228">
        <v>1</v>
      </c>
      <c r="CJ201" s="229">
        <v>0.1226</v>
      </c>
      <c r="CK201" s="228">
        <v>1</v>
      </c>
      <c r="CL201" s="228">
        <v>1</v>
      </c>
      <c r="CM201" s="228">
        <v>0</v>
      </c>
      <c r="CN201" s="229">
        <v>0.1429</v>
      </c>
      <c r="CO201" s="228">
        <v>155</v>
      </c>
      <c r="CP201" s="228">
        <v>133</v>
      </c>
      <c r="CQ201" s="228">
        <v>22</v>
      </c>
      <c r="CR201" s="229">
        <v>0.16289999999999999</v>
      </c>
      <c r="CS201" s="228">
        <v>67</v>
      </c>
      <c r="CT201" s="228">
        <v>68</v>
      </c>
      <c r="CU201" s="228">
        <v>-1</v>
      </c>
      <c r="CV201" s="229">
        <v>-9.1000000000000004E-3</v>
      </c>
      <c r="CW201" s="228">
        <v>964</v>
      </c>
      <c r="CX201" s="228">
        <v>930</v>
      </c>
      <c r="CY201" s="228">
        <v>35</v>
      </c>
      <c r="CZ201" s="229">
        <v>3.7499999999999999E-2</v>
      </c>
      <c r="DA201" s="228">
        <v>33.369999999999997</v>
      </c>
      <c r="DB201" s="228">
        <v>34.14</v>
      </c>
      <c r="DC201" s="228">
        <v>-0.77</v>
      </c>
      <c r="DD201" s="228">
        <v>-0.77</v>
      </c>
      <c r="DE201" s="228">
        <v>44.09</v>
      </c>
      <c r="DF201" s="228">
        <v>44.16</v>
      </c>
      <c r="DG201" s="228">
        <v>-10.72</v>
      </c>
      <c r="DH201" s="228">
        <v>-7.0000000000000007E-2</v>
      </c>
      <c r="DI201" s="228">
        <v>32.65</v>
      </c>
      <c r="DJ201" s="228">
        <v>32.880000000000003</v>
      </c>
      <c r="DK201" s="228">
        <v>-0.23</v>
      </c>
      <c r="DL201" s="228">
        <v>-0.23</v>
      </c>
      <c r="DM201" s="228">
        <v>38.6</v>
      </c>
      <c r="DN201" s="228">
        <v>39.96</v>
      </c>
      <c r="DO201" s="228">
        <v>-1.36</v>
      </c>
      <c r="DP201" s="228">
        <v>-1.36</v>
      </c>
      <c r="DQ201" s="228">
        <v>0.44</v>
      </c>
      <c r="DR201" s="228">
        <v>0.51</v>
      </c>
      <c r="DS201" s="228">
        <v>-7.0000000000000007E-2</v>
      </c>
      <c r="DT201" s="229">
        <v>-0.13730000000000001</v>
      </c>
      <c r="DU201" s="231">
        <v>3000</v>
      </c>
      <c r="DV201" s="231">
        <v>2500</v>
      </c>
      <c r="DW201" s="228">
        <v>0.14000000000000001</v>
      </c>
      <c r="DX201" s="228">
        <v>0.22</v>
      </c>
      <c r="DY201" s="228">
        <v>-0.08</v>
      </c>
      <c r="DZ201" s="229">
        <v>-0.36359999999999998</v>
      </c>
      <c r="EA201" s="229">
        <v>1.49E-2</v>
      </c>
      <c r="EB201" s="230">
        <v>35200</v>
      </c>
      <c r="EC201" s="229">
        <v>5.0000000000000001E-3</v>
      </c>
      <c r="ED201" s="229">
        <v>1.49E-2</v>
      </c>
      <c r="EE201" s="228">
        <v>13.27</v>
      </c>
      <c r="EF201" s="229">
        <v>4.7999999999999996E-3</v>
      </c>
      <c r="EG201" s="230">
        <v>150360</v>
      </c>
      <c r="EH201" s="230">
        <v>156309</v>
      </c>
      <c r="EI201" s="229">
        <v>-3.8100000000000002E-2</v>
      </c>
      <c r="EJ201" s="229">
        <v>0.53590000000000004</v>
      </c>
      <c r="EK201" s="228">
        <v>289.72000000000003</v>
      </c>
      <c r="EL201" s="228">
        <v>37.450000000000003</v>
      </c>
      <c r="EM201" s="228">
        <v>79.08</v>
      </c>
      <c r="EN201" s="228">
        <v>12.3</v>
      </c>
      <c r="EO201" s="228">
        <v>406.25</v>
      </c>
      <c r="EP201" s="228">
        <v>283.13</v>
      </c>
      <c r="EQ201" s="228">
        <v>123.12</v>
      </c>
      <c r="ER201" s="229">
        <v>0.43490000000000001</v>
      </c>
      <c r="ES201" s="228">
        <v>156.56</v>
      </c>
      <c r="ET201" s="228">
        <v>62.21</v>
      </c>
      <c r="EU201" s="228">
        <v>742.56</v>
      </c>
      <c r="EV201" s="231">
        <v>16239060</v>
      </c>
      <c r="EW201" s="228">
        <v>961.34</v>
      </c>
      <c r="EX201" s="228">
        <v>916.76</v>
      </c>
      <c r="EY201" s="228">
        <v>44.58</v>
      </c>
      <c r="EZ201" s="229">
        <v>4.8599999999999997E-2</v>
      </c>
      <c r="FA201" s="229">
        <v>0.21229999999999999</v>
      </c>
      <c r="FB201" s="227" t="s">
        <v>555</v>
      </c>
      <c r="FC201">
        <f t="shared" si="4"/>
        <v>0</v>
      </c>
    </row>
    <row r="202" spans="1:159" ht="17.25" thickBot="1" x14ac:dyDescent="0.3">
      <c r="A202" s="226">
        <v>46129</v>
      </c>
      <c r="B202" s="227" t="s">
        <v>168</v>
      </c>
      <c r="C202" s="227" t="s">
        <v>297</v>
      </c>
      <c r="D202" s="228">
        <v>175</v>
      </c>
      <c r="E202" s="228">
        <v>11</v>
      </c>
      <c r="F202" s="231">
        <v>4525</v>
      </c>
      <c r="G202" s="231">
        <v>4475.8</v>
      </c>
      <c r="H202" s="228">
        <v>49.2</v>
      </c>
      <c r="I202" s="229">
        <v>1.0999999999999999E-2</v>
      </c>
      <c r="J202" s="231">
        <v>4525.8999999999996</v>
      </c>
      <c r="K202" s="231">
        <v>4461.3999999999996</v>
      </c>
      <c r="L202" s="228">
        <v>64.5</v>
      </c>
      <c r="M202" s="229">
        <v>1.4500000000000001E-2</v>
      </c>
      <c r="N202" s="231">
        <v>4525</v>
      </c>
      <c r="O202" s="231">
        <v>4475.8</v>
      </c>
      <c r="P202" s="228">
        <v>49.2</v>
      </c>
      <c r="Q202" s="229">
        <v>1.0999999999999999E-2</v>
      </c>
      <c r="R202" s="231">
        <v>4548.3999999999996</v>
      </c>
      <c r="S202" s="231">
        <v>4499.6000000000004</v>
      </c>
      <c r="T202" s="228">
        <v>48.8</v>
      </c>
      <c r="U202" s="229">
        <v>1.0800000000000001E-2</v>
      </c>
      <c r="V202" s="231">
        <v>4572.3</v>
      </c>
      <c r="W202" s="231">
        <v>4527.3</v>
      </c>
      <c r="X202" s="228">
        <v>45</v>
      </c>
      <c r="Y202" s="229">
        <v>9.9000000000000008E-3</v>
      </c>
      <c r="Z202" s="228">
        <v>-0.9</v>
      </c>
      <c r="AA202" s="228">
        <v>14.4</v>
      </c>
      <c r="AB202" s="228">
        <v>-15.3</v>
      </c>
      <c r="AC202" s="229">
        <v>-2.0000000000000001E-4</v>
      </c>
      <c r="AD202" s="228">
        <v>-0.9</v>
      </c>
      <c r="AE202" s="228">
        <v>14.4</v>
      </c>
      <c r="AF202" s="228">
        <v>-15.3</v>
      </c>
      <c r="AG202" s="229">
        <v>-2.0000000000000001E-4</v>
      </c>
      <c r="AH202" s="228">
        <v>22.5</v>
      </c>
      <c r="AI202" s="228">
        <v>38.200000000000003</v>
      </c>
      <c r="AJ202" s="228">
        <v>-15.7</v>
      </c>
      <c r="AK202" s="229">
        <v>5.0000000000000001E-3</v>
      </c>
      <c r="AL202" s="228">
        <v>46.4</v>
      </c>
      <c r="AM202" s="228">
        <v>65.900000000000006</v>
      </c>
      <c r="AN202" s="228">
        <v>-19.5</v>
      </c>
      <c r="AO202" s="229">
        <v>1.03E-2</v>
      </c>
      <c r="AP202" s="231">
        <v>4452.79</v>
      </c>
      <c r="AQ202" s="231">
        <v>4483.03</v>
      </c>
      <c r="AR202" s="228">
        <v>0</v>
      </c>
      <c r="AS202" s="230">
        <v>1446</v>
      </c>
      <c r="AT202" s="228">
        <v>773</v>
      </c>
      <c r="AU202" s="228">
        <v>673</v>
      </c>
      <c r="AV202" s="229">
        <v>0.871</v>
      </c>
      <c r="AW202" s="230">
        <v>1305</v>
      </c>
      <c r="AX202" s="228">
        <v>559</v>
      </c>
      <c r="AY202" s="228">
        <v>746</v>
      </c>
      <c r="AZ202" s="229">
        <v>1.3351999999999999</v>
      </c>
      <c r="BA202" s="228">
        <v>128</v>
      </c>
      <c r="BB202" s="228">
        <v>103</v>
      </c>
      <c r="BC202" s="228">
        <v>25</v>
      </c>
      <c r="BD202" s="229">
        <v>0.24329999999999999</v>
      </c>
      <c r="BE202" s="228">
        <v>13</v>
      </c>
      <c r="BF202" s="228">
        <v>111</v>
      </c>
      <c r="BG202" s="228">
        <v>-98</v>
      </c>
      <c r="BH202" s="229">
        <v>-0.88029999999999997</v>
      </c>
      <c r="BI202" s="230">
        <v>6061</v>
      </c>
      <c r="BJ202" s="230">
        <v>1789</v>
      </c>
      <c r="BK202" s="230">
        <v>4272</v>
      </c>
      <c r="BL202" s="229">
        <v>2.3881000000000001</v>
      </c>
      <c r="BM202" s="230">
        <v>5621</v>
      </c>
      <c r="BN202" s="230">
        <v>1292</v>
      </c>
      <c r="BO202" s="230">
        <v>4329</v>
      </c>
      <c r="BP202" s="229">
        <v>3.3513000000000002</v>
      </c>
      <c r="BQ202" s="230">
        <v>13129</v>
      </c>
      <c r="BR202" s="230">
        <v>3854</v>
      </c>
      <c r="BS202" s="230">
        <v>9275</v>
      </c>
      <c r="BT202" s="229">
        <v>2.4066999999999998</v>
      </c>
      <c r="BU202" s="230">
        <v>2179897</v>
      </c>
      <c r="BV202" s="230">
        <v>1362192</v>
      </c>
      <c r="BW202" s="230">
        <v>817705</v>
      </c>
      <c r="BX202" s="229">
        <v>0.60029999999999994</v>
      </c>
      <c r="BY202" s="230">
        <v>4062</v>
      </c>
      <c r="BZ202" s="230">
        <v>4199</v>
      </c>
      <c r="CA202" s="228">
        <v>-137</v>
      </c>
      <c r="CB202" s="229">
        <v>-3.2599999999999997E-2</v>
      </c>
      <c r="CC202" s="230">
        <v>3640</v>
      </c>
      <c r="CD202" s="230">
        <v>3817</v>
      </c>
      <c r="CE202" s="228">
        <v>-177</v>
      </c>
      <c r="CF202" s="229">
        <v>-4.6300000000000001E-2</v>
      </c>
      <c r="CG202" s="228">
        <v>293</v>
      </c>
      <c r="CH202" s="228">
        <v>254</v>
      </c>
      <c r="CI202" s="228">
        <v>39</v>
      </c>
      <c r="CJ202" s="229">
        <v>0.15509999999999999</v>
      </c>
      <c r="CK202" s="228">
        <v>129</v>
      </c>
      <c r="CL202" s="228">
        <v>128</v>
      </c>
      <c r="CM202" s="228">
        <v>0</v>
      </c>
      <c r="CN202" s="229">
        <v>3.7000000000000002E-3</v>
      </c>
      <c r="CO202" s="230">
        <v>1781</v>
      </c>
      <c r="CP202" s="230">
        <v>1811</v>
      </c>
      <c r="CQ202" s="228">
        <v>-30</v>
      </c>
      <c r="CR202" s="229">
        <v>-1.6500000000000001E-2</v>
      </c>
      <c r="CS202" s="230">
        <v>1449</v>
      </c>
      <c r="CT202" s="230">
        <v>1277</v>
      </c>
      <c r="CU202" s="228">
        <v>173</v>
      </c>
      <c r="CV202" s="229">
        <v>0.13539999999999999</v>
      </c>
      <c r="CW202" s="230">
        <v>7292</v>
      </c>
      <c r="CX202" s="230">
        <v>7286</v>
      </c>
      <c r="CY202" s="228">
        <v>6</v>
      </c>
      <c r="CZ202" s="229">
        <v>8.9999999999999998E-4</v>
      </c>
      <c r="DA202" s="228">
        <v>26.91</v>
      </c>
      <c r="DB202" s="228">
        <v>26.28</v>
      </c>
      <c r="DC202" s="228">
        <v>0.63</v>
      </c>
      <c r="DD202" s="228">
        <v>0.63</v>
      </c>
      <c r="DE202" s="228">
        <v>27.97</v>
      </c>
      <c r="DF202" s="228">
        <v>27.97</v>
      </c>
      <c r="DG202" s="228">
        <v>-1.06</v>
      </c>
      <c r="DH202" s="228">
        <v>0</v>
      </c>
      <c r="DI202" s="228">
        <v>25.28</v>
      </c>
      <c r="DJ202" s="228">
        <v>25.78</v>
      </c>
      <c r="DK202" s="228">
        <v>-0.5</v>
      </c>
      <c r="DL202" s="228">
        <v>-0.5</v>
      </c>
      <c r="DM202" s="228">
        <v>28.65</v>
      </c>
      <c r="DN202" s="228">
        <v>26.97</v>
      </c>
      <c r="DO202" s="228">
        <v>1.68</v>
      </c>
      <c r="DP202" s="228">
        <v>1.68</v>
      </c>
      <c r="DQ202" s="228">
        <v>0.81</v>
      </c>
      <c r="DR202" s="228">
        <v>0.7</v>
      </c>
      <c r="DS202" s="228">
        <v>0.11</v>
      </c>
      <c r="DT202" s="229">
        <v>0.15709999999999999</v>
      </c>
      <c r="DU202" s="231">
        <v>4500</v>
      </c>
      <c r="DV202" s="231">
        <v>4200</v>
      </c>
      <c r="DW202" s="228">
        <v>0.93</v>
      </c>
      <c r="DX202" s="228">
        <v>0.72</v>
      </c>
      <c r="DY202" s="228">
        <v>0.21</v>
      </c>
      <c r="DZ202" s="229">
        <v>0.29170000000000001</v>
      </c>
      <c r="EA202" s="229">
        <v>0.1038</v>
      </c>
      <c r="EB202" s="230">
        <v>844025</v>
      </c>
      <c r="EC202" s="229">
        <v>5.1999999999999998E-3</v>
      </c>
      <c r="ED202" s="229">
        <v>0.1038</v>
      </c>
      <c r="EE202" s="228">
        <v>30.24</v>
      </c>
      <c r="EF202" s="229">
        <v>6.7999999999999996E-3</v>
      </c>
      <c r="EG202" s="230">
        <v>1016476</v>
      </c>
      <c r="EH202" s="230">
        <v>712686</v>
      </c>
      <c r="EI202" s="229">
        <v>0.42630000000000001</v>
      </c>
      <c r="EJ202" s="229">
        <v>0.46629999999999999</v>
      </c>
      <c r="EK202" s="231">
        <v>6150.68</v>
      </c>
      <c r="EL202" s="231">
        <v>5432.91</v>
      </c>
      <c r="EM202" s="231">
        <v>1424.32</v>
      </c>
      <c r="EN202" s="228">
        <v>63.59</v>
      </c>
      <c r="EO202" s="231">
        <v>13007.91</v>
      </c>
      <c r="EP202" s="231">
        <v>3873.77</v>
      </c>
      <c r="EQ202" s="231">
        <v>9134.14</v>
      </c>
      <c r="ER202" s="229">
        <v>2.3578999999999999</v>
      </c>
      <c r="ES202" s="231">
        <v>1744.16</v>
      </c>
      <c r="ET202" s="231">
        <v>1338.17</v>
      </c>
      <c r="EU202" s="231">
        <v>4064.63</v>
      </c>
      <c r="EV202" s="231">
        <v>41744334</v>
      </c>
      <c r="EW202" s="231">
        <v>7146.95</v>
      </c>
      <c r="EX202" s="231">
        <v>7100.65</v>
      </c>
      <c r="EY202" s="228">
        <v>46.3</v>
      </c>
      <c r="EZ202" s="229">
        <v>6.4999999999999997E-3</v>
      </c>
      <c r="FA202" s="229">
        <v>0.38600000000000001</v>
      </c>
      <c r="FB202" s="227" t="s">
        <v>693</v>
      </c>
      <c r="FC202">
        <f t="shared" si="4"/>
        <v>0</v>
      </c>
    </row>
    <row r="203" spans="1:159" ht="17.25" thickBot="1" x14ac:dyDescent="0.3">
      <c r="A203" s="226">
        <v>46129</v>
      </c>
      <c r="B203" s="227" t="s">
        <v>162</v>
      </c>
      <c r="C203" s="227" t="s">
        <v>687</v>
      </c>
      <c r="D203" s="228">
        <v>800</v>
      </c>
      <c r="E203" s="228">
        <v>11</v>
      </c>
      <c r="F203" s="228">
        <v>360.25</v>
      </c>
      <c r="G203" s="228">
        <v>356.8</v>
      </c>
      <c r="H203" s="228">
        <v>3.45</v>
      </c>
      <c r="I203" s="229">
        <v>9.7000000000000003E-3</v>
      </c>
      <c r="J203" s="228">
        <v>360.1</v>
      </c>
      <c r="K203" s="228">
        <v>356.3</v>
      </c>
      <c r="L203" s="228">
        <v>3.8</v>
      </c>
      <c r="M203" s="229">
        <v>1.0699999999999999E-2</v>
      </c>
      <c r="N203" s="228">
        <v>360.25</v>
      </c>
      <c r="O203" s="228">
        <v>356.8</v>
      </c>
      <c r="P203" s="228">
        <v>3.45</v>
      </c>
      <c r="Q203" s="229">
        <v>9.7000000000000003E-3</v>
      </c>
      <c r="R203" s="228">
        <v>362.25</v>
      </c>
      <c r="S203" s="228">
        <v>358.8</v>
      </c>
      <c r="T203" s="228">
        <v>3.45</v>
      </c>
      <c r="U203" s="229">
        <v>9.5999999999999992E-3</v>
      </c>
      <c r="V203" s="228">
        <v>362.3</v>
      </c>
      <c r="W203" s="228">
        <v>359.1</v>
      </c>
      <c r="X203" s="228">
        <v>3.2</v>
      </c>
      <c r="Y203" s="229">
        <v>8.8999999999999999E-3</v>
      </c>
      <c r="Z203" s="228">
        <v>0.15</v>
      </c>
      <c r="AA203" s="228">
        <v>0.5</v>
      </c>
      <c r="AB203" s="228">
        <v>-0.35</v>
      </c>
      <c r="AC203" s="229">
        <v>4.0000000000000002E-4</v>
      </c>
      <c r="AD203" s="228">
        <v>0.15</v>
      </c>
      <c r="AE203" s="228">
        <v>0.5</v>
      </c>
      <c r="AF203" s="228">
        <v>-0.35</v>
      </c>
      <c r="AG203" s="229">
        <v>4.0000000000000002E-4</v>
      </c>
      <c r="AH203" s="228">
        <v>2.15</v>
      </c>
      <c r="AI203" s="228">
        <v>2.5</v>
      </c>
      <c r="AJ203" s="228">
        <v>-0.35</v>
      </c>
      <c r="AK203" s="229">
        <v>6.0000000000000001E-3</v>
      </c>
      <c r="AL203" s="228">
        <v>2.2000000000000002</v>
      </c>
      <c r="AM203" s="228">
        <v>2.8</v>
      </c>
      <c r="AN203" s="228">
        <v>-0.6</v>
      </c>
      <c r="AO203" s="229">
        <v>6.1000000000000004E-3</v>
      </c>
      <c r="AP203" s="228">
        <v>359.68</v>
      </c>
      <c r="AQ203" s="228">
        <v>361.62</v>
      </c>
      <c r="AR203" s="228">
        <v>0</v>
      </c>
      <c r="AS203" s="228">
        <v>326</v>
      </c>
      <c r="AT203" s="228">
        <v>348</v>
      </c>
      <c r="AU203" s="228">
        <v>-22</v>
      </c>
      <c r="AV203" s="229">
        <v>-6.3799999999999996E-2</v>
      </c>
      <c r="AW203" s="228">
        <v>244</v>
      </c>
      <c r="AX203" s="228">
        <v>288</v>
      </c>
      <c r="AY203" s="228">
        <v>-44</v>
      </c>
      <c r="AZ203" s="229">
        <v>-0.1532</v>
      </c>
      <c r="BA203" s="228">
        <v>68</v>
      </c>
      <c r="BB203" s="228">
        <v>46</v>
      </c>
      <c r="BC203" s="228">
        <v>21</v>
      </c>
      <c r="BD203" s="229">
        <v>0.45319999999999999</v>
      </c>
      <c r="BE203" s="228">
        <v>14</v>
      </c>
      <c r="BF203" s="228">
        <v>13</v>
      </c>
      <c r="BG203" s="228">
        <v>1</v>
      </c>
      <c r="BH203" s="229">
        <v>7.1300000000000002E-2</v>
      </c>
      <c r="BI203" s="230">
        <v>1256</v>
      </c>
      <c r="BJ203" s="230">
        <v>1414</v>
      </c>
      <c r="BK203" s="228">
        <v>-157</v>
      </c>
      <c r="BL203" s="229">
        <v>-0.1113</v>
      </c>
      <c r="BM203" s="228">
        <v>871</v>
      </c>
      <c r="BN203" s="228">
        <v>842</v>
      </c>
      <c r="BO203" s="228">
        <v>29</v>
      </c>
      <c r="BP203" s="229">
        <v>3.39E-2</v>
      </c>
      <c r="BQ203" s="230">
        <v>2453</v>
      </c>
      <c r="BR203" s="230">
        <v>2604</v>
      </c>
      <c r="BS203" s="228">
        <v>-151</v>
      </c>
      <c r="BT203" s="229">
        <v>-5.8000000000000003E-2</v>
      </c>
      <c r="BU203" s="230">
        <v>7314044</v>
      </c>
      <c r="BV203" s="230">
        <v>6871023</v>
      </c>
      <c r="BW203" s="230">
        <v>443021</v>
      </c>
      <c r="BX203" s="229">
        <v>6.4500000000000002E-2</v>
      </c>
      <c r="BY203" s="230">
        <v>2111</v>
      </c>
      <c r="BZ203" s="230">
        <v>2104</v>
      </c>
      <c r="CA203" s="228">
        <v>6</v>
      </c>
      <c r="CB203" s="229">
        <v>3.0000000000000001E-3</v>
      </c>
      <c r="CC203" s="230">
        <v>1856</v>
      </c>
      <c r="CD203" s="230">
        <v>1880</v>
      </c>
      <c r="CE203" s="228">
        <v>-23</v>
      </c>
      <c r="CF203" s="229">
        <v>-1.2500000000000001E-2</v>
      </c>
      <c r="CG203" s="228">
        <v>214</v>
      </c>
      <c r="CH203" s="228">
        <v>186</v>
      </c>
      <c r="CI203" s="228">
        <v>28</v>
      </c>
      <c r="CJ203" s="229">
        <v>0.151</v>
      </c>
      <c r="CK203" s="228">
        <v>40</v>
      </c>
      <c r="CL203" s="228">
        <v>38</v>
      </c>
      <c r="CM203" s="228">
        <v>2</v>
      </c>
      <c r="CN203" s="229">
        <v>4.5199999999999997E-2</v>
      </c>
      <c r="CO203" s="230">
        <v>1293</v>
      </c>
      <c r="CP203" s="230">
        <v>1309</v>
      </c>
      <c r="CQ203" s="228">
        <v>-16</v>
      </c>
      <c r="CR203" s="229">
        <v>-1.2200000000000001E-2</v>
      </c>
      <c r="CS203" s="230">
        <v>1041</v>
      </c>
      <c r="CT203" s="230">
        <v>1005</v>
      </c>
      <c r="CU203" s="228">
        <v>36</v>
      </c>
      <c r="CV203" s="229">
        <v>3.5799999999999998E-2</v>
      </c>
      <c r="CW203" s="230">
        <v>4445</v>
      </c>
      <c r="CX203" s="230">
        <v>4418</v>
      </c>
      <c r="CY203" s="228">
        <v>26</v>
      </c>
      <c r="CZ203" s="229">
        <v>6.0000000000000001E-3</v>
      </c>
      <c r="DA203" s="228">
        <v>32.04</v>
      </c>
      <c r="DB203" s="228">
        <v>32.43</v>
      </c>
      <c r="DC203" s="228">
        <v>-0.39</v>
      </c>
      <c r="DD203" s="228">
        <v>-0.39</v>
      </c>
      <c r="DE203" s="228">
        <v>38.28</v>
      </c>
      <c r="DF203" s="228">
        <v>38.35</v>
      </c>
      <c r="DG203" s="228">
        <v>-6.24</v>
      </c>
      <c r="DH203" s="228">
        <v>-7.0000000000000007E-2</v>
      </c>
      <c r="DI203" s="228">
        <v>29.73</v>
      </c>
      <c r="DJ203" s="228">
        <v>30.32</v>
      </c>
      <c r="DK203" s="228">
        <v>-0.59</v>
      </c>
      <c r="DL203" s="228">
        <v>-0.59</v>
      </c>
      <c r="DM203" s="228">
        <v>35.380000000000003</v>
      </c>
      <c r="DN203" s="228">
        <v>35.96</v>
      </c>
      <c r="DO203" s="228">
        <v>-0.57999999999999996</v>
      </c>
      <c r="DP203" s="228">
        <v>-0.57999999999999996</v>
      </c>
      <c r="DQ203" s="228">
        <v>0.8</v>
      </c>
      <c r="DR203" s="228">
        <v>0.77</v>
      </c>
      <c r="DS203" s="228">
        <v>0.03</v>
      </c>
      <c r="DT203" s="229">
        <v>3.9E-2</v>
      </c>
      <c r="DU203" s="228">
        <v>360</v>
      </c>
      <c r="DV203" s="228">
        <v>300</v>
      </c>
      <c r="DW203" s="228">
        <v>0.69</v>
      </c>
      <c r="DX203" s="228">
        <v>0.6</v>
      </c>
      <c r="DY203" s="228">
        <v>0.09</v>
      </c>
      <c r="DZ203" s="229">
        <v>0.15</v>
      </c>
      <c r="EA203" s="229">
        <v>0.1205</v>
      </c>
      <c r="EB203" s="230">
        <v>6232800</v>
      </c>
      <c r="EC203" s="229">
        <v>5.5999999999999999E-3</v>
      </c>
      <c r="ED203" s="229">
        <v>0.1205</v>
      </c>
      <c r="EE203" s="228">
        <v>1.94</v>
      </c>
      <c r="EF203" s="229">
        <v>5.4000000000000003E-3</v>
      </c>
      <c r="EG203" s="230">
        <v>3384834</v>
      </c>
      <c r="EH203" s="230">
        <v>2559818</v>
      </c>
      <c r="EI203" s="229">
        <v>0.32229999999999998</v>
      </c>
      <c r="EJ203" s="229">
        <v>0.46279999999999999</v>
      </c>
      <c r="EK203" s="231">
        <v>1306.5</v>
      </c>
      <c r="EL203" s="228">
        <v>848.32</v>
      </c>
      <c r="EM203" s="228">
        <v>325.56</v>
      </c>
      <c r="EN203" s="228">
        <v>150.65</v>
      </c>
      <c r="EO203" s="231">
        <v>2480.38</v>
      </c>
      <c r="EP203" s="231">
        <v>2621.14</v>
      </c>
      <c r="EQ203" s="228">
        <v>-140.76</v>
      </c>
      <c r="ER203" s="229">
        <v>-5.3699999999999998E-2</v>
      </c>
      <c r="ES203" s="231">
        <v>1281.54</v>
      </c>
      <c r="ET203" s="228">
        <v>955.71</v>
      </c>
      <c r="EU203" s="231">
        <v>2112.02</v>
      </c>
      <c r="EV203" s="231">
        <v>317244234</v>
      </c>
      <c r="EW203" s="231">
        <v>4349.2700000000004</v>
      </c>
      <c r="EX203" s="231">
        <v>4299.2</v>
      </c>
      <c r="EY203" s="228">
        <v>50.07</v>
      </c>
      <c r="EZ203" s="229">
        <v>1.1599999999999999E-2</v>
      </c>
      <c r="FA203" s="229">
        <v>0.38890000000000002</v>
      </c>
      <c r="FB203" s="227" t="s">
        <v>555</v>
      </c>
      <c r="FC203">
        <f t="shared" si="4"/>
        <v>0</v>
      </c>
    </row>
    <row r="204" spans="1:159" ht="17.25" thickBot="1" x14ac:dyDescent="0.3">
      <c r="A204" s="226">
        <v>46129</v>
      </c>
      <c r="B204" s="227" t="s">
        <v>170</v>
      </c>
      <c r="C204" s="227" t="s">
        <v>298</v>
      </c>
      <c r="D204" s="228">
        <v>250</v>
      </c>
      <c r="E204" s="228">
        <v>11</v>
      </c>
      <c r="F204" s="231">
        <v>4174.8</v>
      </c>
      <c r="G204" s="231">
        <v>4142.1000000000004</v>
      </c>
      <c r="H204" s="228">
        <v>32.700000000000003</v>
      </c>
      <c r="I204" s="229">
        <v>7.9000000000000008E-3</v>
      </c>
      <c r="J204" s="231">
        <v>4179.5</v>
      </c>
      <c r="K204" s="231">
        <v>4155.8999999999996</v>
      </c>
      <c r="L204" s="228">
        <v>23.6</v>
      </c>
      <c r="M204" s="229">
        <v>5.7000000000000002E-3</v>
      </c>
      <c r="N204" s="231">
        <v>4174.8</v>
      </c>
      <c r="O204" s="231">
        <v>4142.1000000000004</v>
      </c>
      <c r="P204" s="228">
        <v>32.700000000000003</v>
      </c>
      <c r="Q204" s="229">
        <v>7.9000000000000008E-3</v>
      </c>
      <c r="R204" s="231">
        <v>4172.2</v>
      </c>
      <c r="S204" s="231">
        <v>4136.7</v>
      </c>
      <c r="T204" s="228">
        <v>35.5</v>
      </c>
      <c r="U204" s="229">
        <v>8.6E-3</v>
      </c>
      <c r="V204" s="231">
        <v>4158.2</v>
      </c>
      <c r="W204" s="231">
        <v>4158.2</v>
      </c>
      <c r="X204" s="228">
        <v>0</v>
      </c>
      <c r="Y204" s="229">
        <v>0</v>
      </c>
      <c r="Z204" s="228">
        <v>-4.7</v>
      </c>
      <c r="AA204" s="228">
        <v>-13.8</v>
      </c>
      <c r="AB204" s="228">
        <v>9.1</v>
      </c>
      <c r="AC204" s="229">
        <v>-1.1000000000000001E-3</v>
      </c>
      <c r="AD204" s="228">
        <v>-4.7</v>
      </c>
      <c r="AE204" s="228">
        <v>-13.8</v>
      </c>
      <c r="AF204" s="228">
        <v>9.1</v>
      </c>
      <c r="AG204" s="229">
        <v>-1.1000000000000001E-3</v>
      </c>
      <c r="AH204" s="228">
        <v>-7.3</v>
      </c>
      <c r="AI204" s="228">
        <v>-19.2</v>
      </c>
      <c r="AJ204" s="228">
        <v>11.9</v>
      </c>
      <c r="AK204" s="229">
        <v>-1.6999999999999999E-3</v>
      </c>
      <c r="AL204" s="228">
        <v>-21.3</v>
      </c>
      <c r="AM204" s="228">
        <v>2.2999999999999998</v>
      </c>
      <c r="AN204" s="228">
        <v>-23.6</v>
      </c>
      <c r="AO204" s="229">
        <v>-5.1000000000000004E-3</v>
      </c>
      <c r="AP204" s="231">
        <v>4160.05</v>
      </c>
      <c r="AQ204" s="231">
        <v>4157.8500000000004</v>
      </c>
      <c r="AR204" s="228">
        <v>0</v>
      </c>
      <c r="AS204" s="228">
        <v>105</v>
      </c>
      <c r="AT204" s="228">
        <v>136</v>
      </c>
      <c r="AU204" s="228">
        <v>-31</v>
      </c>
      <c r="AV204" s="229">
        <v>-0.22819999999999999</v>
      </c>
      <c r="AW204" s="228">
        <v>101</v>
      </c>
      <c r="AX204" s="228">
        <v>125</v>
      </c>
      <c r="AY204" s="228">
        <v>-25</v>
      </c>
      <c r="AZ204" s="229">
        <v>-0.19550000000000001</v>
      </c>
      <c r="BA204" s="228">
        <v>4</v>
      </c>
      <c r="BB204" s="228">
        <v>11</v>
      </c>
      <c r="BC204" s="228">
        <v>-7</v>
      </c>
      <c r="BD204" s="229">
        <v>-0.60580000000000001</v>
      </c>
      <c r="BE204" s="228">
        <v>0</v>
      </c>
      <c r="BF204" s="228">
        <v>0</v>
      </c>
      <c r="BG204" s="228">
        <v>0</v>
      </c>
      <c r="BH204" s="229">
        <v>0</v>
      </c>
      <c r="BI204" s="228">
        <v>293</v>
      </c>
      <c r="BJ204" s="228">
        <v>246</v>
      </c>
      <c r="BK204" s="228">
        <v>47</v>
      </c>
      <c r="BL204" s="229">
        <v>0.19120000000000001</v>
      </c>
      <c r="BM204" s="228">
        <v>137</v>
      </c>
      <c r="BN204" s="228">
        <v>215</v>
      </c>
      <c r="BO204" s="228">
        <v>-78</v>
      </c>
      <c r="BP204" s="229">
        <v>-0.36330000000000001</v>
      </c>
      <c r="BQ204" s="228">
        <v>534</v>
      </c>
      <c r="BR204" s="228">
        <v>597</v>
      </c>
      <c r="BS204" s="228">
        <v>-62</v>
      </c>
      <c r="BT204" s="229">
        <v>-0.1041</v>
      </c>
      <c r="BU204" s="230">
        <v>320703</v>
      </c>
      <c r="BV204" s="230">
        <v>340481</v>
      </c>
      <c r="BW204" s="230">
        <v>-19778</v>
      </c>
      <c r="BX204" s="229">
        <v>-5.8099999999999999E-2</v>
      </c>
      <c r="BY204" s="230">
        <v>1328</v>
      </c>
      <c r="BZ204" s="230">
        <v>1343</v>
      </c>
      <c r="CA204" s="228">
        <v>-15</v>
      </c>
      <c r="CB204" s="229">
        <v>-1.09E-2</v>
      </c>
      <c r="CC204" s="230">
        <v>1307</v>
      </c>
      <c r="CD204" s="230">
        <v>1321</v>
      </c>
      <c r="CE204" s="228">
        <v>-15</v>
      </c>
      <c r="CF204" s="229">
        <v>-1.12E-2</v>
      </c>
      <c r="CG204" s="228">
        <v>20</v>
      </c>
      <c r="CH204" s="228">
        <v>20</v>
      </c>
      <c r="CI204" s="228">
        <v>0</v>
      </c>
      <c r="CJ204" s="229">
        <v>1.06E-2</v>
      </c>
      <c r="CK204" s="228">
        <v>2</v>
      </c>
      <c r="CL204" s="228">
        <v>2</v>
      </c>
      <c r="CM204" s="228">
        <v>0</v>
      </c>
      <c r="CN204" s="229">
        <v>0</v>
      </c>
      <c r="CO204" s="228">
        <v>279</v>
      </c>
      <c r="CP204" s="228">
        <v>293</v>
      </c>
      <c r="CQ204" s="228">
        <v>-14</v>
      </c>
      <c r="CR204" s="229">
        <v>-4.8000000000000001E-2</v>
      </c>
      <c r="CS204" s="228">
        <v>196</v>
      </c>
      <c r="CT204" s="228">
        <v>197</v>
      </c>
      <c r="CU204" s="228">
        <v>-1</v>
      </c>
      <c r="CV204" s="229">
        <v>-3.2000000000000002E-3</v>
      </c>
      <c r="CW204" s="230">
        <v>1804</v>
      </c>
      <c r="CX204" s="230">
        <v>1833</v>
      </c>
      <c r="CY204" s="228">
        <v>-29</v>
      </c>
      <c r="CZ204" s="229">
        <v>-1.6E-2</v>
      </c>
      <c r="DA204" s="228">
        <v>26.24</v>
      </c>
      <c r="DB204" s="228">
        <v>27.49</v>
      </c>
      <c r="DC204" s="228">
        <v>-1.25</v>
      </c>
      <c r="DD204" s="228">
        <v>-1.25</v>
      </c>
      <c r="DE204" s="228">
        <v>25.43</v>
      </c>
      <c r="DF204" s="228">
        <v>25.48</v>
      </c>
      <c r="DG204" s="228">
        <v>0.81</v>
      </c>
      <c r="DH204" s="228">
        <v>-0.05</v>
      </c>
      <c r="DI204" s="228">
        <v>23.88</v>
      </c>
      <c r="DJ204" s="228">
        <v>24.74</v>
      </c>
      <c r="DK204" s="228">
        <v>-0.86</v>
      </c>
      <c r="DL204" s="228">
        <v>-0.86</v>
      </c>
      <c r="DM204" s="228">
        <v>31.28</v>
      </c>
      <c r="DN204" s="228">
        <v>30.65</v>
      </c>
      <c r="DO204" s="228">
        <v>0.63</v>
      </c>
      <c r="DP204" s="228">
        <v>0.63</v>
      </c>
      <c r="DQ204" s="228">
        <v>0.7</v>
      </c>
      <c r="DR204" s="228">
        <v>0.67</v>
      </c>
      <c r="DS204" s="228">
        <v>0.03</v>
      </c>
      <c r="DT204" s="229">
        <v>4.48E-2</v>
      </c>
      <c r="DU204" s="231">
        <v>4200</v>
      </c>
      <c r="DV204" s="231">
        <v>4100</v>
      </c>
      <c r="DW204" s="228">
        <v>0.47</v>
      </c>
      <c r="DX204" s="228">
        <v>0.87</v>
      </c>
      <c r="DY204" s="228">
        <v>-0.4</v>
      </c>
      <c r="DZ204" s="229">
        <v>-0.45979999999999999</v>
      </c>
      <c r="EA204" s="229">
        <v>1.6299999999999999E-2</v>
      </c>
      <c r="EB204" s="230">
        <v>51250</v>
      </c>
      <c r="EC204" s="229">
        <v>-5.9999999999999995E-4</v>
      </c>
      <c r="ED204" s="229">
        <v>1.6299999999999999E-2</v>
      </c>
      <c r="EE204" s="228">
        <v>-2.2000000000000002</v>
      </c>
      <c r="EF204" s="229">
        <v>-5.0000000000000001E-4</v>
      </c>
      <c r="EG204" s="230">
        <v>180252</v>
      </c>
      <c r="EH204" s="230">
        <v>171688</v>
      </c>
      <c r="EI204" s="229">
        <v>4.99E-2</v>
      </c>
      <c r="EJ204" s="229">
        <v>0.56210000000000004</v>
      </c>
      <c r="EK204" s="228">
        <v>304.02</v>
      </c>
      <c r="EL204" s="228">
        <v>126.67</v>
      </c>
      <c r="EM204" s="228">
        <v>104.83</v>
      </c>
      <c r="EN204" s="228">
        <v>20.92</v>
      </c>
      <c r="EO204" s="228">
        <v>535.52</v>
      </c>
      <c r="EP204" s="228">
        <v>586.97</v>
      </c>
      <c r="EQ204" s="228">
        <v>-51.45</v>
      </c>
      <c r="ER204" s="229">
        <v>-8.7599999999999997E-2</v>
      </c>
      <c r="ES204" s="228">
        <v>286.64999999999998</v>
      </c>
      <c r="ET204" s="228">
        <v>189.29</v>
      </c>
      <c r="EU204" s="231">
        <v>1328.19</v>
      </c>
      <c r="EV204" s="231">
        <v>10726004</v>
      </c>
      <c r="EW204" s="231">
        <v>1804.13</v>
      </c>
      <c r="EX204" s="231">
        <v>1822.47</v>
      </c>
      <c r="EY204" s="228">
        <v>-18.34</v>
      </c>
      <c r="EZ204" s="229">
        <v>-1.01E-2</v>
      </c>
      <c r="FA204" s="229">
        <v>0.40279999999999999</v>
      </c>
      <c r="FB204" s="227" t="s">
        <v>693</v>
      </c>
      <c r="FC204">
        <f t="shared" si="4"/>
        <v>0</v>
      </c>
    </row>
    <row r="205" spans="1:159" ht="17.25" thickBot="1" x14ac:dyDescent="0.3">
      <c r="A205" s="226">
        <v>46129</v>
      </c>
      <c r="B205" s="227" t="s">
        <v>161</v>
      </c>
      <c r="C205" s="227" t="s">
        <v>299</v>
      </c>
      <c r="D205" s="228">
        <v>425</v>
      </c>
      <c r="E205" s="228">
        <v>11</v>
      </c>
      <c r="F205" s="231">
        <v>1564.8</v>
      </c>
      <c r="G205" s="231">
        <v>1528.4</v>
      </c>
      <c r="H205" s="228">
        <v>36.4</v>
      </c>
      <c r="I205" s="229">
        <v>2.3800000000000002E-2</v>
      </c>
      <c r="J205" s="231">
        <v>1565</v>
      </c>
      <c r="K205" s="231">
        <v>1521.6</v>
      </c>
      <c r="L205" s="228">
        <v>43.4</v>
      </c>
      <c r="M205" s="229">
        <v>2.8500000000000001E-2</v>
      </c>
      <c r="N205" s="231">
        <v>1564.8</v>
      </c>
      <c r="O205" s="231">
        <v>1528.4</v>
      </c>
      <c r="P205" s="228">
        <v>36.4</v>
      </c>
      <c r="Q205" s="229">
        <v>2.3800000000000002E-2</v>
      </c>
      <c r="R205" s="228">
        <v>0</v>
      </c>
      <c r="S205" s="228">
        <v>0</v>
      </c>
      <c r="T205" s="228">
        <v>0</v>
      </c>
      <c r="U205" s="229">
        <v>0</v>
      </c>
      <c r="V205" s="228">
        <v>0</v>
      </c>
      <c r="W205" s="228">
        <v>0</v>
      </c>
      <c r="X205" s="228">
        <v>0</v>
      </c>
      <c r="Y205" s="229">
        <v>0</v>
      </c>
      <c r="Z205" s="228">
        <v>-0.2</v>
      </c>
      <c r="AA205" s="228">
        <v>6.8</v>
      </c>
      <c r="AB205" s="228">
        <v>-7</v>
      </c>
      <c r="AC205" s="229">
        <v>-1E-4</v>
      </c>
      <c r="AD205" s="228">
        <v>-0.2</v>
      </c>
      <c r="AE205" s="228">
        <v>6.8</v>
      </c>
      <c r="AF205" s="228">
        <v>-7</v>
      </c>
      <c r="AG205" s="229">
        <v>-1E-4</v>
      </c>
      <c r="AH205" s="228">
        <v>0</v>
      </c>
      <c r="AI205" s="228">
        <v>0</v>
      </c>
      <c r="AJ205" s="228">
        <v>0</v>
      </c>
      <c r="AK205" s="229">
        <v>0</v>
      </c>
      <c r="AL205" s="228">
        <v>0</v>
      </c>
      <c r="AM205" s="228">
        <v>0</v>
      </c>
      <c r="AN205" s="228">
        <v>0</v>
      </c>
      <c r="AO205" s="229">
        <v>0</v>
      </c>
      <c r="AP205" s="231">
        <v>1555.71</v>
      </c>
      <c r="AQ205" s="228">
        <v>0</v>
      </c>
      <c r="AR205" s="228">
        <v>0</v>
      </c>
      <c r="AS205" s="228">
        <v>88</v>
      </c>
      <c r="AT205" s="228">
        <v>63</v>
      </c>
      <c r="AU205" s="228">
        <v>26</v>
      </c>
      <c r="AV205" s="229">
        <v>0.41489999999999999</v>
      </c>
      <c r="AW205" s="228">
        <v>88</v>
      </c>
      <c r="AX205" s="228">
        <v>63</v>
      </c>
      <c r="AY205" s="228">
        <v>26</v>
      </c>
      <c r="AZ205" s="229">
        <v>0.41489999999999999</v>
      </c>
      <c r="BA205" s="228">
        <v>0</v>
      </c>
      <c r="BB205" s="228">
        <v>0</v>
      </c>
      <c r="BC205" s="228">
        <v>0</v>
      </c>
      <c r="BD205" s="229">
        <v>0</v>
      </c>
      <c r="BE205" s="228">
        <v>0</v>
      </c>
      <c r="BF205" s="228">
        <v>0</v>
      </c>
      <c r="BG205" s="228">
        <v>0</v>
      </c>
      <c r="BH205" s="229">
        <v>0</v>
      </c>
      <c r="BI205" s="228">
        <v>288</v>
      </c>
      <c r="BJ205" s="228">
        <v>185</v>
      </c>
      <c r="BK205" s="228">
        <v>103</v>
      </c>
      <c r="BL205" s="229">
        <v>0.55559999999999998</v>
      </c>
      <c r="BM205" s="228">
        <v>81</v>
      </c>
      <c r="BN205" s="228">
        <v>45</v>
      </c>
      <c r="BO205" s="228">
        <v>36</v>
      </c>
      <c r="BP205" s="229">
        <v>0.7853</v>
      </c>
      <c r="BQ205" s="228">
        <v>458</v>
      </c>
      <c r="BR205" s="228">
        <v>293</v>
      </c>
      <c r="BS205" s="228">
        <v>164</v>
      </c>
      <c r="BT205" s="229">
        <v>0.56100000000000005</v>
      </c>
      <c r="BU205" s="230">
        <v>1005164</v>
      </c>
      <c r="BV205" s="230">
        <v>427925</v>
      </c>
      <c r="BW205" s="230">
        <v>577239</v>
      </c>
      <c r="BX205" s="229">
        <v>1.3489</v>
      </c>
      <c r="BY205" s="228">
        <v>493</v>
      </c>
      <c r="BZ205" s="228">
        <v>503</v>
      </c>
      <c r="CA205" s="228">
        <v>-10</v>
      </c>
      <c r="CB205" s="229">
        <v>-2.0799999999999999E-2</v>
      </c>
      <c r="CC205" s="228">
        <v>493</v>
      </c>
      <c r="CD205" s="228">
        <v>503</v>
      </c>
      <c r="CE205" s="228">
        <v>-10</v>
      </c>
      <c r="CF205" s="229">
        <v>-2.0799999999999999E-2</v>
      </c>
      <c r="CG205" s="228">
        <v>0</v>
      </c>
      <c r="CH205" s="228">
        <v>0</v>
      </c>
      <c r="CI205" s="228">
        <v>0</v>
      </c>
      <c r="CJ205" s="229">
        <v>0</v>
      </c>
      <c r="CK205" s="228">
        <v>0</v>
      </c>
      <c r="CL205" s="228">
        <v>0</v>
      </c>
      <c r="CM205" s="228">
        <v>0</v>
      </c>
      <c r="CN205" s="229">
        <v>0</v>
      </c>
      <c r="CO205" s="228">
        <v>176</v>
      </c>
      <c r="CP205" s="228">
        <v>152</v>
      </c>
      <c r="CQ205" s="228">
        <v>25</v>
      </c>
      <c r="CR205" s="229">
        <v>0.16220000000000001</v>
      </c>
      <c r="CS205" s="228">
        <v>128</v>
      </c>
      <c r="CT205" s="228">
        <v>118</v>
      </c>
      <c r="CU205" s="228">
        <v>10</v>
      </c>
      <c r="CV205" s="229">
        <v>8.8700000000000001E-2</v>
      </c>
      <c r="CW205" s="228">
        <v>797</v>
      </c>
      <c r="CX205" s="228">
        <v>773</v>
      </c>
      <c r="CY205" s="228">
        <v>25</v>
      </c>
      <c r="CZ205" s="229">
        <v>3.1899999999999998E-2</v>
      </c>
      <c r="DA205" s="228">
        <v>28.71</v>
      </c>
      <c r="DB205" s="228">
        <v>31.19</v>
      </c>
      <c r="DC205" s="228">
        <v>-2.48</v>
      </c>
      <c r="DD205" s="228">
        <v>-2.48</v>
      </c>
      <c r="DE205" s="228">
        <v>41.7</v>
      </c>
      <c r="DF205" s="228">
        <v>41.68</v>
      </c>
      <c r="DG205" s="228">
        <v>-12.99</v>
      </c>
      <c r="DH205" s="228">
        <v>0.02</v>
      </c>
      <c r="DI205" s="228">
        <v>27.2</v>
      </c>
      <c r="DJ205" s="228">
        <v>30.07</v>
      </c>
      <c r="DK205" s="228">
        <v>-2.87</v>
      </c>
      <c r="DL205" s="228">
        <v>-2.87</v>
      </c>
      <c r="DM205" s="228">
        <v>34.1</v>
      </c>
      <c r="DN205" s="228">
        <v>35.799999999999997</v>
      </c>
      <c r="DO205" s="228">
        <v>-1.7</v>
      </c>
      <c r="DP205" s="228">
        <v>-1.7</v>
      </c>
      <c r="DQ205" s="228">
        <v>0.73</v>
      </c>
      <c r="DR205" s="228">
        <v>0.78</v>
      </c>
      <c r="DS205" s="228">
        <v>-0.05</v>
      </c>
      <c r="DT205" s="229">
        <v>-6.4100000000000004E-2</v>
      </c>
      <c r="DU205" s="231">
        <v>1630</v>
      </c>
      <c r="DV205" s="231">
        <v>1400</v>
      </c>
      <c r="DW205" s="228">
        <v>0.28000000000000003</v>
      </c>
      <c r="DX205" s="228">
        <v>0.24</v>
      </c>
      <c r="DY205" s="228">
        <v>0.04</v>
      </c>
      <c r="DZ205" s="229">
        <v>0.16669999999999999</v>
      </c>
      <c r="EA205" s="229">
        <v>0</v>
      </c>
      <c r="EB205" s="228">
        <v>0</v>
      </c>
      <c r="EC205" s="229">
        <v>0</v>
      </c>
      <c r="ED205" s="229">
        <v>0</v>
      </c>
      <c r="EE205" s="228">
        <v>0</v>
      </c>
      <c r="EF205" s="229">
        <v>0</v>
      </c>
      <c r="EG205" s="230">
        <v>637263</v>
      </c>
      <c r="EH205" s="230">
        <v>201201</v>
      </c>
      <c r="EI205" s="229">
        <v>2.1673</v>
      </c>
      <c r="EJ205" s="229">
        <v>0.63400000000000001</v>
      </c>
      <c r="EK205" s="228">
        <v>295.51</v>
      </c>
      <c r="EL205" s="228">
        <v>76.430000000000007</v>
      </c>
      <c r="EM205" s="228">
        <v>87.94</v>
      </c>
      <c r="EN205" s="228">
        <v>11.46</v>
      </c>
      <c r="EO205" s="228">
        <v>459.87</v>
      </c>
      <c r="EP205" s="228">
        <v>289.97000000000003</v>
      </c>
      <c r="EQ205" s="228">
        <v>169.9</v>
      </c>
      <c r="ER205" s="229">
        <v>0.58589999999999998</v>
      </c>
      <c r="ES205" s="228">
        <v>172.49</v>
      </c>
      <c r="ET205" s="228">
        <v>113.19</v>
      </c>
      <c r="EU205" s="228">
        <v>492.6</v>
      </c>
      <c r="EV205" s="231">
        <v>24646022</v>
      </c>
      <c r="EW205" s="228">
        <v>778.27</v>
      </c>
      <c r="EX205" s="228">
        <v>740.37</v>
      </c>
      <c r="EY205" s="228">
        <v>37.9</v>
      </c>
      <c r="EZ205" s="229">
        <v>5.1200000000000002E-2</v>
      </c>
      <c r="FA205" s="229">
        <v>0.20669999999999999</v>
      </c>
      <c r="FB205" s="227" t="s">
        <v>693</v>
      </c>
      <c r="FC205">
        <f t="shared" si="4"/>
        <v>0</v>
      </c>
    </row>
    <row r="206" spans="1:159" ht="17.25" thickBot="1" x14ac:dyDescent="0.3">
      <c r="A206" s="226">
        <v>46129</v>
      </c>
      <c r="B206" s="227" t="s">
        <v>197</v>
      </c>
      <c r="C206" s="227" t="s">
        <v>482</v>
      </c>
      <c r="D206" s="228">
        <v>100</v>
      </c>
      <c r="E206" s="228">
        <v>11</v>
      </c>
      <c r="F206" s="231">
        <v>4108.3999999999996</v>
      </c>
      <c r="G206" s="231">
        <v>4096.7</v>
      </c>
      <c r="H206" s="228">
        <v>11.7</v>
      </c>
      <c r="I206" s="229">
        <v>2.8999999999999998E-3</v>
      </c>
      <c r="J206" s="231">
        <v>4107.7</v>
      </c>
      <c r="K206" s="231">
        <v>4083.3</v>
      </c>
      <c r="L206" s="228">
        <v>24.4</v>
      </c>
      <c r="M206" s="229">
        <v>6.0000000000000001E-3</v>
      </c>
      <c r="N206" s="231">
        <v>4108.3999999999996</v>
      </c>
      <c r="O206" s="231">
        <v>4096.7</v>
      </c>
      <c r="P206" s="228">
        <v>11.7</v>
      </c>
      <c r="Q206" s="229">
        <v>2.8999999999999998E-3</v>
      </c>
      <c r="R206" s="231">
        <v>4114.6000000000004</v>
      </c>
      <c r="S206" s="231">
        <v>4095.5</v>
      </c>
      <c r="T206" s="228">
        <v>19.100000000000001</v>
      </c>
      <c r="U206" s="229">
        <v>4.7000000000000002E-3</v>
      </c>
      <c r="V206" s="231">
        <v>4129</v>
      </c>
      <c r="W206" s="231">
        <v>4100.6000000000004</v>
      </c>
      <c r="X206" s="228">
        <v>28.4</v>
      </c>
      <c r="Y206" s="229">
        <v>6.8999999999999999E-3</v>
      </c>
      <c r="Z206" s="228">
        <v>0.7</v>
      </c>
      <c r="AA206" s="228">
        <v>13.4</v>
      </c>
      <c r="AB206" s="228">
        <v>-12.7</v>
      </c>
      <c r="AC206" s="229">
        <v>2.0000000000000001E-4</v>
      </c>
      <c r="AD206" s="228">
        <v>0.7</v>
      </c>
      <c r="AE206" s="228">
        <v>13.4</v>
      </c>
      <c r="AF206" s="228">
        <v>-12.7</v>
      </c>
      <c r="AG206" s="229">
        <v>2.0000000000000001E-4</v>
      </c>
      <c r="AH206" s="228">
        <v>6.9</v>
      </c>
      <c r="AI206" s="228">
        <v>12.2</v>
      </c>
      <c r="AJ206" s="228">
        <v>-5.3</v>
      </c>
      <c r="AK206" s="229">
        <v>1.6999999999999999E-3</v>
      </c>
      <c r="AL206" s="228">
        <v>21.3</v>
      </c>
      <c r="AM206" s="228">
        <v>17.3</v>
      </c>
      <c r="AN206" s="228">
        <v>4</v>
      </c>
      <c r="AO206" s="229">
        <v>5.1999999999999998E-3</v>
      </c>
      <c r="AP206" s="231">
        <v>4126.5</v>
      </c>
      <c r="AQ206" s="231">
        <v>4128.84</v>
      </c>
      <c r="AR206" s="228">
        <v>0</v>
      </c>
      <c r="AS206" s="228">
        <v>458</v>
      </c>
      <c r="AT206" s="228">
        <v>644</v>
      </c>
      <c r="AU206" s="228">
        <v>-186</v>
      </c>
      <c r="AV206" s="229">
        <v>-0.28939999999999999</v>
      </c>
      <c r="AW206" s="228">
        <v>380</v>
      </c>
      <c r="AX206" s="228">
        <v>529</v>
      </c>
      <c r="AY206" s="228">
        <v>-149</v>
      </c>
      <c r="AZ206" s="229">
        <v>-0.28210000000000002</v>
      </c>
      <c r="BA206" s="228">
        <v>70</v>
      </c>
      <c r="BB206" s="228">
        <v>107</v>
      </c>
      <c r="BC206" s="228">
        <v>-36</v>
      </c>
      <c r="BD206" s="229">
        <v>-0.34100000000000003</v>
      </c>
      <c r="BE206" s="228">
        <v>7</v>
      </c>
      <c r="BF206" s="228">
        <v>8</v>
      </c>
      <c r="BG206" s="228">
        <v>-1</v>
      </c>
      <c r="BH206" s="229">
        <v>-8.1600000000000006E-2</v>
      </c>
      <c r="BI206" s="230">
        <v>2660</v>
      </c>
      <c r="BJ206" s="230">
        <v>3904</v>
      </c>
      <c r="BK206" s="230">
        <v>-1244</v>
      </c>
      <c r="BL206" s="229">
        <v>-0.31869999999999998</v>
      </c>
      <c r="BM206" s="230">
        <v>1273</v>
      </c>
      <c r="BN206" s="230">
        <v>1845</v>
      </c>
      <c r="BO206" s="228">
        <v>-572</v>
      </c>
      <c r="BP206" s="229">
        <v>-0.31009999999999999</v>
      </c>
      <c r="BQ206" s="230">
        <v>4390</v>
      </c>
      <c r="BR206" s="230">
        <v>6393</v>
      </c>
      <c r="BS206" s="230">
        <v>-2003</v>
      </c>
      <c r="BT206" s="229">
        <v>-0.31330000000000002</v>
      </c>
      <c r="BU206" s="230">
        <v>1305505</v>
      </c>
      <c r="BV206" s="230">
        <v>1439671</v>
      </c>
      <c r="BW206" s="230">
        <v>-134166</v>
      </c>
      <c r="BX206" s="229">
        <v>-9.3200000000000005E-2</v>
      </c>
      <c r="BY206" s="230">
        <v>3355</v>
      </c>
      <c r="BZ206" s="230">
        <v>3331</v>
      </c>
      <c r="CA206" s="228">
        <v>24</v>
      </c>
      <c r="CB206" s="229">
        <v>7.1000000000000004E-3</v>
      </c>
      <c r="CC206" s="230">
        <v>2877</v>
      </c>
      <c r="CD206" s="230">
        <v>2879</v>
      </c>
      <c r="CE206" s="228">
        <v>-2</v>
      </c>
      <c r="CF206" s="229">
        <v>-6.9999999999999999E-4</v>
      </c>
      <c r="CG206" s="228">
        <v>453</v>
      </c>
      <c r="CH206" s="228">
        <v>430</v>
      </c>
      <c r="CI206" s="228">
        <v>24</v>
      </c>
      <c r="CJ206" s="229">
        <v>5.4899999999999997E-2</v>
      </c>
      <c r="CK206" s="228">
        <v>24</v>
      </c>
      <c r="CL206" s="228">
        <v>22</v>
      </c>
      <c r="CM206" s="228">
        <v>2</v>
      </c>
      <c r="CN206" s="229">
        <v>9.8100000000000007E-2</v>
      </c>
      <c r="CO206" s="230">
        <v>1201</v>
      </c>
      <c r="CP206" s="230">
        <v>1130</v>
      </c>
      <c r="CQ206" s="228">
        <v>71</v>
      </c>
      <c r="CR206" s="229">
        <v>6.3200000000000006E-2</v>
      </c>
      <c r="CS206" s="230">
        <v>1032</v>
      </c>
      <c r="CT206" s="230">
        <v>1012</v>
      </c>
      <c r="CU206" s="228">
        <v>20</v>
      </c>
      <c r="CV206" s="229">
        <v>1.9800000000000002E-2</v>
      </c>
      <c r="CW206" s="230">
        <v>5588</v>
      </c>
      <c r="CX206" s="230">
        <v>5473</v>
      </c>
      <c r="CY206" s="228">
        <v>115</v>
      </c>
      <c r="CZ206" s="229">
        <v>2.1000000000000001E-2</v>
      </c>
      <c r="DA206" s="228">
        <v>36.22</v>
      </c>
      <c r="DB206" s="228">
        <v>37.94</v>
      </c>
      <c r="DC206" s="228">
        <v>-1.72</v>
      </c>
      <c r="DD206" s="228">
        <v>-1.72</v>
      </c>
      <c r="DE206" s="228">
        <v>44.13</v>
      </c>
      <c r="DF206" s="228">
        <v>44.23</v>
      </c>
      <c r="DG206" s="228">
        <v>-7.91</v>
      </c>
      <c r="DH206" s="228">
        <v>-0.1</v>
      </c>
      <c r="DI206" s="228">
        <v>34.97</v>
      </c>
      <c r="DJ206" s="228">
        <v>36.299999999999997</v>
      </c>
      <c r="DK206" s="228">
        <v>-1.33</v>
      </c>
      <c r="DL206" s="228">
        <v>-1.33</v>
      </c>
      <c r="DM206" s="228">
        <v>38.83</v>
      </c>
      <c r="DN206" s="228">
        <v>41.41</v>
      </c>
      <c r="DO206" s="228">
        <v>-2.58</v>
      </c>
      <c r="DP206" s="228">
        <v>-2.58</v>
      </c>
      <c r="DQ206" s="228">
        <v>0.86</v>
      </c>
      <c r="DR206" s="228">
        <v>0.9</v>
      </c>
      <c r="DS206" s="228">
        <v>-0.04</v>
      </c>
      <c r="DT206" s="229">
        <v>-4.4400000000000002E-2</v>
      </c>
      <c r="DU206" s="231">
        <v>4200</v>
      </c>
      <c r="DV206" s="231">
        <v>3800</v>
      </c>
      <c r="DW206" s="228">
        <v>0.48</v>
      </c>
      <c r="DX206" s="228">
        <v>0.47</v>
      </c>
      <c r="DY206" s="228">
        <v>0.01</v>
      </c>
      <c r="DZ206" s="229">
        <v>2.1299999999999999E-2</v>
      </c>
      <c r="EA206" s="229">
        <v>0.1424</v>
      </c>
      <c r="EB206" s="230">
        <v>1100400</v>
      </c>
      <c r="EC206" s="229">
        <v>1.5E-3</v>
      </c>
      <c r="ED206" s="229">
        <v>0.1424</v>
      </c>
      <c r="EE206" s="228">
        <v>2.34</v>
      </c>
      <c r="EF206" s="229">
        <v>5.9999999999999995E-4</v>
      </c>
      <c r="EG206" s="230">
        <v>460417</v>
      </c>
      <c r="EH206" s="230">
        <v>494660</v>
      </c>
      <c r="EI206" s="229">
        <v>-6.9199999999999998E-2</v>
      </c>
      <c r="EJ206" s="229">
        <v>0.35270000000000001</v>
      </c>
      <c r="EK206" s="231">
        <v>2782.24</v>
      </c>
      <c r="EL206" s="231">
        <v>1242.81</v>
      </c>
      <c r="EM206" s="228">
        <v>459.8</v>
      </c>
      <c r="EN206" s="228">
        <v>101.05</v>
      </c>
      <c r="EO206" s="231">
        <v>4484.8500000000004</v>
      </c>
      <c r="EP206" s="231">
        <v>6423.69</v>
      </c>
      <c r="EQ206" s="231">
        <v>-1938.85</v>
      </c>
      <c r="ER206" s="229">
        <v>-0.30180000000000001</v>
      </c>
      <c r="ES206" s="231">
        <v>1175.2</v>
      </c>
      <c r="ET206" s="228">
        <v>937.91</v>
      </c>
      <c r="EU206" s="231">
        <v>3355.81</v>
      </c>
      <c r="EV206" s="231">
        <v>33590487</v>
      </c>
      <c r="EW206" s="231">
        <v>5468.92</v>
      </c>
      <c r="EX206" s="231">
        <v>5332.13</v>
      </c>
      <c r="EY206" s="228">
        <v>136.79</v>
      </c>
      <c r="EZ206" s="229">
        <v>2.5700000000000001E-2</v>
      </c>
      <c r="FA206" s="229">
        <v>0.40489999999999998</v>
      </c>
      <c r="FB206" s="227" t="s">
        <v>555</v>
      </c>
      <c r="FC206">
        <f t="shared" si="4"/>
        <v>0</v>
      </c>
    </row>
    <row r="207" spans="1:159" ht="17.25" thickBot="1" x14ac:dyDescent="0.3">
      <c r="A207" s="226">
        <v>46129</v>
      </c>
      <c r="B207" s="227" t="s">
        <v>162</v>
      </c>
      <c r="C207" s="227" t="s">
        <v>300</v>
      </c>
      <c r="D207" s="228">
        <v>175</v>
      </c>
      <c r="E207" s="228">
        <v>11</v>
      </c>
      <c r="F207" s="231">
        <v>3747.3</v>
      </c>
      <c r="G207" s="231">
        <v>3766.9</v>
      </c>
      <c r="H207" s="228">
        <v>-19.600000000000001</v>
      </c>
      <c r="I207" s="229">
        <v>-5.1999999999999998E-3</v>
      </c>
      <c r="J207" s="231">
        <v>3735.8</v>
      </c>
      <c r="K207" s="231">
        <v>3757.2</v>
      </c>
      <c r="L207" s="228">
        <v>-21.4</v>
      </c>
      <c r="M207" s="229">
        <v>-5.7000000000000002E-3</v>
      </c>
      <c r="N207" s="231">
        <v>3747.3</v>
      </c>
      <c r="O207" s="231">
        <v>3766.9</v>
      </c>
      <c r="P207" s="228">
        <v>-19.600000000000001</v>
      </c>
      <c r="Q207" s="229">
        <v>-5.1999999999999998E-3</v>
      </c>
      <c r="R207" s="231">
        <v>3766.6</v>
      </c>
      <c r="S207" s="231">
        <v>3784.6</v>
      </c>
      <c r="T207" s="228">
        <v>-18</v>
      </c>
      <c r="U207" s="229">
        <v>-4.7999999999999996E-3</v>
      </c>
      <c r="V207" s="231">
        <v>3785.9</v>
      </c>
      <c r="W207" s="231">
        <v>3799.2</v>
      </c>
      <c r="X207" s="228">
        <v>-13.3</v>
      </c>
      <c r="Y207" s="229">
        <v>-3.5000000000000001E-3</v>
      </c>
      <c r="Z207" s="228">
        <v>11.5</v>
      </c>
      <c r="AA207" s="228">
        <v>9.6999999999999993</v>
      </c>
      <c r="AB207" s="228">
        <v>1.8</v>
      </c>
      <c r="AC207" s="229">
        <v>3.0999999999999999E-3</v>
      </c>
      <c r="AD207" s="228">
        <v>11.5</v>
      </c>
      <c r="AE207" s="228">
        <v>9.6999999999999993</v>
      </c>
      <c r="AF207" s="228">
        <v>1.8</v>
      </c>
      <c r="AG207" s="229">
        <v>3.0999999999999999E-3</v>
      </c>
      <c r="AH207" s="228">
        <v>30.8</v>
      </c>
      <c r="AI207" s="228">
        <v>27.4</v>
      </c>
      <c r="AJ207" s="228">
        <v>3.4</v>
      </c>
      <c r="AK207" s="229">
        <v>8.2000000000000007E-3</v>
      </c>
      <c r="AL207" s="228">
        <v>50.1</v>
      </c>
      <c r="AM207" s="228">
        <v>42</v>
      </c>
      <c r="AN207" s="228">
        <v>8.1</v>
      </c>
      <c r="AO207" s="229">
        <v>1.34E-2</v>
      </c>
      <c r="AP207" s="231">
        <v>3757.81</v>
      </c>
      <c r="AQ207" s="231">
        <v>3773.01</v>
      </c>
      <c r="AR207" s="228">
        <v>0</v>
      </c>
      <c r="AS207" s="228">
        <v>462</v>
      </c>
      <c r="AT207" s="228">
        <v>207</v>
      </c>
      <c r="AU207" s="228">
        <v>255</v>
      </c>
      <c r="AV207" s="229">
        <v>1.2297</v>
      </c>
      <c r="AW207" s="228">
        <v>302</v>
      </c>
      <c r="AX207" s="228">
        <v>173</v>
      </c>
      <c r="AY207" s="228">
        <v>129</v>
      </c>
      <c r="AZ207" s="229">
        <v>0.74299999999999999</v>
      </c>
      <c r="BA207" s="228">
        <v>41</v>
      </c>
      <c r="BB207" s="228">
        <v>32</v>
      </c>
      <c r="BC207" s="228">
        <v>8</v>
      </c>
      <c r="BD207" s="229">
        <v>0.25509999999999999</v>
      </c>
      <c r="BE207" s="228">
        <v>120</v>
      </c>
      <c r="BF207" s="228">
        <v>2</v>
      </c>
      <c r="BG207" s="228">
        <v>118</v>
      </c>
      <c r="BH207" s="229">
        <v>64.285700000000006</v>
      </c>
      <c r="BI207" s="228">
        <v>422</v>
      </c>
      <c r="BJ207" s="228">
        <v>568</v>
      </c>
      <c r="BK207" s="228">
        <v>-146</v>
      </c>
      <c r="BL207" s="229">
        <v>-0.2576</v>
      </c>
      <c r="BM207" s="228">
        <v>263</v>
      </c>
      <c r="BN207" s="228">
        <v>309</v>
      </c>
      <c r="BO207" s="228">
        <v>-46</v>
      </c>
      <c r="BP207" s="229">
        <v>-0.14990000000000001</v>
      </c>
      <c r="BQ207" s="230">
        <v>1146</v>
      </c>
      <c r="BR207" s="230">
        <v>1084</v>
      </c>
      <c r="BS207" s="228">
        <v>62</v>
      </c>
      <c r="BT207" s="229">
        <v>5.74E-2</v>
      </c>
      <c r="BU207" s="230">
        <v>592659</v>
      </c>
      <c r="BV207" s="230">
        <v>844515</v>
      </c>
      <c r="BW207" s="230">
        <v>-251856</v>
      </c>
      <c r="BX207" s="229">
        <v>-0.29820000000000002</v>
      </c>
      <c r="BY207" s="230">
        <v>3092</v>
      </c>
      <c r="BZ207" s="230">
        <v>3091</v>
      </c>
      <c r="CA207" s="228">
        <v>1</v>
      </c>
      <c r="CB207" s="229">
        <v>2.9999999999999997E-4</v>
      </c>
      <c r="CC207" s="230">
        <v>2869</v>
      </c>
      <c r="CD207" s="230">
        <v>3003</v>
      </c>
      <c r="CE207" s="228">
        <v>-134</v>
      </c>
      <c r="CF207" s="229">
        <v>-4.4600000000000001E-2</v>
      </c>
      <c r="CG207" s="228">
        <v>100</v>
      </c>
      <c r="CH207" s="228">
        <v>83</v>
      </c>
      <c r="CI207" s="228">
        <v>17</v>
      </c>
      <c r="CJ207" s="229">
        <v>0.20680000000000001</v>
      </c>
      <c r="CK207" s="228">
        <v>122</v>
      </c>
      <c r="CL207" s="228">
        <v>5</v>
      </c>
      <c r="CM207" s="228">
        <v>118</v>
      </c>
      <c r="CN207" s="229">
        <v>25.281700000000001</v>
      </c>
      <c r="CO207" s="228">
        <v>613</v>
      </c>
      <c r="CP207" s="228">
        <v>591</v>
      </c>
      <c r="CQ207" s="228">
        <v>22</v>
      </c>
      <c r="CR207" s="229">
        <v>3.7400000000000003E-2</v>
      </c>
      <c r="CS207" s="228">
        <v>430</v>
      </c>
      <c r="CT207" s="228">
        <v>421</v>
      </c>
      <c r="CU207" s="228">
        <v>9</v>
      </c>
      <c r="CV207" s="229">
        <v>2.07E-2</v>
      </c>
      <c r="CW207" s="230">
        <v>4135</v>
      </c>
      <c r="CX207" s="230">
        <v>4103</v>
      </c>
      <c r="CY207" s="228">
        <v>32</v>
      </c>
      <c r="CZ207" s="229">
        <v>7.7000000000000002E-3</v>
      </c>
      <c r="DA207" s="228">
        <v>32.880000000000003</v>
      </c>
      <c r="DB207" s="228">
        <v>33.479999999999997</v>
      </c>
      <c r="DC207" s="228">
        <v>-0.6</v>
      </c>
      <c r="DD207" s="228">
        <v>-0.6</v>
      </c>
      <c r="DE207" s="228">
        <v>33.549999999999997</v>
      </c>
      <c r="DF207" s="228">
        <v>33.619999999999997</v>
      </c>
      <c r="DG207" s="228">
        <v>-0.67</v>
      </c>
      <c r="DH207" s="228">
        <v>-7.0000000000000007E-2</v>
      </c>
      <c r="DI207" s="228">
        <v>32.090000000000003</v>
      </c>
      <c r="DJ207" s="228">
        <v>32.32</v>
      </c>
      <c r="DK207" s="228">
        <v>-0.23</v>
      </c>
      <c r="DL207" s="228">
        <v>-0.23</v>
      </c>
      <c r="DM207" s="228">
        <v>34.130000000000003</v>
      </c>
      <c r="DN207" s="228">
        <v>35.61</v>
      </c>
      <c r="DO207" s="228">
        <v>-1.48</v>
      </c>
      <c r="DP207" s="228">
        <v>-1.48</v>
      </c>
      <c r="DQ207" s="228">
        <v>0.7</v>
      </c>
      <c r="DR207" s="228">
        <v>0.71</v>
      </c>
      <c r="DS207" s="228">
        <v>-0.01</v>
      </c>
      <c r="DT207" s="229">
        <v>-1.41E-2</v>
      </c>
      <c r="DU207" s="231">
        <v>4000</v>
      </c>
      <c r="DV207" s="231">
        <v>3400</v>
      </c>
      <c r="DW207" s="228">
        <v>0.62</v>
      </c>
      <c r="DX207" s="228">
        <v>0.54</v>
      </c>
      <c r="DY207" s="228">
        <v>0.08</v>
      </c>
      <c r="DZ207" s="229">
        <v>0.14810000000000001</v>
      </c>
      <c r="EA207" s="229">
        <v>7.1900000000000006E-2</v>
      </c>
      <c r="EB207" s="230">
        <v>233275</v>
      </c>
      <c r="EC207" s="229">
        <v>5.1999999999999998E-3</v>
      </c>
      <c r="ED207" s="229">
        <v>7.1900000000000006E-2</v>
      </c>
      <c r="EE207" s="228">
        <v>15.2</v>
      </c>
      <c r="EF207" s="229">
        <v>4.0000000000000001E-3</v>
      </c>
      <c r="EG207" s="230">
        <v>341670</v>
      </c>
      <c r="EH207" s="230">
        <v>513357</v>
      </c>
      <c r="EI207" s="229">
        <v>-0.33439999999999998</v>
      </c>
      <c r="EJ207" s="229">
        <v>0.57650000000000001</v>
      </c>
      <c r="EK207" s="228">
        <v>439.7</v>
      </c>
      <c r="EL207" s="228">
        <v>263.10000000000002</v>
      </c>
      <c r="EM207" s="228">
        <v>464.95</v>
      </c>
      <c r="EN207" s="228">
        <v>45.73</v>
      </c>
      <c r="EO207" s="231">
        <v>1167.74</v>
      </c>
      <c r="EP207" s="231">
        <v>1118.26</v>
      </c>
      <c r="EQ207" s="228">
        <v>49.48</v>
      </c>
      <c r="ER207" s="229">
        <v>4.4200000000000003E-2</v>
      </c>
      <c r="ES207" s="228">
        <v>620.03</v>
      </c>
      <c r="ET207" s="228">
        <v>403.09</v>
      </c>
      <c r="EU207" s="231">
        <v>3093.31</v>
      </c>
      <c r="EV207" s="231">
        <v>32253708</v>
      </c>
      <c r="EW207" s="231">
        <v>4116.43</v>
      </c>
      <c r="EX207" s="231">
        <v>4098.8500000000004</v>
      </c>
      <c r="EY207" s="228">
        <v>17.579999999999998</v>
      </c>
      <c r="EZ207" s="229">
        <v>4.3E-3</v>
      </c>
      <c r="FA207" s="229">
        <v>0.34210000000000002</v>
      </c>
      <c r="FB207" s="227" t="s">
        <v>566</v>
      </c>
      <c r="FC207">
        <f t="shared" si="4"/>
        <v>0</v>
      </c>
    </row>
    <row r="208" spans="1:159" ht="17.25" thickBot="1" x14ac:dyDescent="0.3">
      <c r="A208" s="226">
        <v>46129</v>
      </c>
      <c r="B208" s="227" t="s">
        <v>157</v>
      </c>
      <c r="C208" s="227" t="s">
        <v>302</v>
      </c>
      <c r="D208" s="228">
        <v>50</v>
      </c>
      <c r="E208" s="228">
        <v>11</v>
      </c>
      <c r="F208" s="231">
        <v>11884</v>
      </c>
      <c r="G208" s="231">
        <v>11823</v>
      </c>
      <c r="H208" s="228">
        <v>61</v>
      </c>
      <c r="I208" s="229">
        <v>5.1999999999999998E-3</v>
      </c>
      <c r="J208" s="231">
        <v>11886</v>
      </c>
      <c r="K208" s="231">
        <v>11826</v>
      </c>
      <c r="L208" s="228">
        <v>60</v>
      </c>
      <c r="M208" s="229">
        <v>5.1000000000000004E-3</v>
      </c>
      <c r="N208" s="231">
        <v>11884</v>
      </c>
      <c r="O208" s="231">
        <v>11823</v>
      </c>
      <c r="P208" s="228">
        <v>61</v>
      </c>
      <c r="Q208" s="229">
        <v>5.1999999999999998E-3</v>
      </c>
      <c r="R208" s="231">
        <v>11950</v>
      </c>
      <c r="S208" s="231">
        <v>11888</v>
      </c>
      <c r="T208" s="228">
        <v>62</v>
      </c>
      <c r="U208" s="229">
        <v>5.1999999999999998E-3</v>
      </c>
      <c r="V208" s="231">
        <v>12016</v>
      </c>
      <c r="W208" s="231">
        <v>11952</v>
      </c>
      <c r="X208" s="228">
        <v>64</v>
      </c>
      <c r="Y208" s="229">
        <v>5.4000000000000003E-3</v>
      </c>
      <c r="Z208" s="228">
        <v>-2</v>
      </c>
      <c r="AA208" s="228">
        <v>-3</v>
      </c>
      <c r="AB208" s="228">
        <v>1</v>
      </c>
      <c r="AC208" s="229">
        <v>-2.0000000000000001E-4</v>
      </c>
      <c r="AD208" s="228">
        <v>-2</v>
      </c>
      <c r="AE208" s="228">
        <v>-3</v>
      </c>
      <c r="AF208" s="228">
        <v>1</v>
      </c>
      <c r="AG208" s="229">
        <v>-2.0000000000000001E-4</v>
      </c>
      <c r="AH208" s="228">
        <v>64</v>
      </c>
      <c r="AI208" s="228">
        <v>62</v>
      </c>
      <c r="AJ208" s="228">
        <v>2</v>
      </c>
      <c r="AK208" s="229">
        <v>5.4000000000000003E-3</v>
      </c>
      <c r="AL208" s="228">
        <v>130</v>
      </c>
      <c r="AM208" s="228">
        <v>126</v>
      </c>
      <c r="AN208" s="228">
        <v>4</v>
      </c>
      <c r="AO208" s="229">
        <v>1.09E-2</v>
      </c>
      <c r="AP208" s="231">
        <v>11879.14</v>
      </c>
      <c r="AQ208" s="231">
        <v>11946.35</v>
      </c>
      <c r="AR208" s="228">
        <v>0</v>
      </c>
      <c r="AS208" s="228">
        <v>483</v>
      </c>
      <c r="AT208" s="228">
        <v>442</v>
      </c>
      <c r="AU208" s="228">
        <v>41</v>
      </c>
      <c r="AV208" s="229">
        <v>9.1899999999999996E-2</v>
      </c>
      <c r="AW208" s="228">
        <v>360</v>
      </c>
      <c r="AX208" s="228">
        <v>350</v>
      </c>
      <c r="AY208" s="228">
        <v>10</v>
      </c>
      <c r="AZ208" s="229">
        <v>2.8299999999999999E-2</v>
      </c>
      <c r="BA208" s="228">
        <v>15</v>
      </c>
      <c r="BB208" s="228">
        <v>14</v>
      </c>
      <c r="BC208" s="228">
        <v>1</v>
      </c>
      <c r="BD208" s="229">
        <v>5.5100000000000003E-2</v>
      </c>
      <c r="BE208" s="228">
        <v>108</v>
      </c>
      <c r="BF208" s="228">
        <v>78</v>
      </c>
      <c r="BG208" s="228">
        <v>30</v>
      </c>
      <c r="BH208" s="229">
        <v>0.3841</v>
      </c>
      <c r="BI208" s="230">
        <v>1000</v>
      </c>
      <c r="BJ208" s="228">
        <v>787</v>
      </c>
      <c r="BK208" s="228">
        <v>213</v>
      </c>
      <c r="BL208" s="229">
        <v>0.27029999999999998</v>
      </c>
      <c r="BM208" s="228">
        <v>468</v>
      </c>
      <c r="BN208" s="228">
        <v>397</v>
      </c>
      <c r="BO208" s="228">
        <v>71</v>
      </c>
      <c r="BP208" s="229">
        <v>0.1784</v>
      </c>
      <c r="BQ208" s="230">
        <v>1951</v>
      </c>
      <c r="BR208" s="230">
        <v>1627</v>
      </c>
      <c r="BS208" s="228">
        <v>324</v>
      </c>
      <c r="BT208" s="229">
        <v>0.19939999999999999</v>
      </c>
      <c r="BU208" s="230">
        <v>170793</v>
      </c>
      <c r="BV208" s="230">
        <v>327301</v>
      </c>
      <c r="BW208" s="230">
        <v>-156508</v>
      </c>
      <c r="BX208" s="229">
        <v>-0.47820000000000001</v>
      </c>
      <c r="BY208" s="230">
        <v>2863</v>
      </c>
      <c r="BZ208" s="230">
        <v>2806</v>
      </c>
      <c r="CA208" s="228">
        <v>56</v>
      </c>
      <c r="CB208" s="229">
        <v>2.01E-2</v>
      </c>
      <c r="CC208" s="230">
        <v>2331</v>
      </c>
      <c r="CD208" s="230">
        <v>2387</v>
      </c>
      <c r="CE208" s="228">
        <v>-56</v>
      </c>
      <c r="CF208" s="229">
        <v>-2.3300000000000001E-2</v>
      </c>
      <c r="CG208" s="228">
        <v>246</v>
      </c>
      <c r="CH208" s="228">
        <v>241</v>
      </c>
      <c r="CI208" s="228">
        <v>5</v>
      </c>
      <c r="CJ208" s="229">
        <v>2.0199999999999999E-2</v>
      </c>
      <c r="CK208" s="228">
        <v>286</v>
      </c>
      <c r="CL208" s="228">
        <v>179</v>
      </c>
      <c r="CM208" s="228">
        <v>107</v>
      </c>
      <c r="CN208" s="229">
        <v>0.59899999999999998</v>
      </c>
      <c r="CO208" s="228">
        <v>828</v>
      </c>
      <c r="CP208" s="228">
        <v>762</v>
      </c>
      <c r="CQ208" s="228">
        <v>65</v>
      </c>
      <c r="CR208" s="229">
        <v>8.5699999999999998E-2</v>
      </c>
      <c r="CS208" s="228">
        <v>510</v>
      </c>
      <c r="CT208" s="228">
        <v>480</v>
      </c>
      <c r="CU208" s="228">
        <v>31</v>
      </c>
      <c r="CV208" s="229">
        <v>6.3700000000000007E-2</v>
      </c>
      <c r="CW208" s="230">
        <v>4201</v>
      </c>
      <c r="CX208" s="230">
        <v>4048</v>
      </c>
      <c r="CY208" s="228">
        <v>152</v>
      </c>
      <c r="CZ208" s="229">
        <v>3.7600000000000001E-2</v>
      </c>
      <c r="DA208" s="228">
        <v>29.23</v>
      </c>
      <c r="DB208" s="228">
        <v>29.85</v>
      </c>
      <c r="DC208" s="228">
        <v>-0.62</v>
      </c>
      <c r="DD208" s="228">
        <v>-0.62</v>
      </c>
      <c r="DE208" s="228">
        <v>30.14</v>
      </c>
      <c r="DF208" s="228">
        <v>30.21</v>
      </c>
      <c r="DG208" s="228">
        <v>-0.91</v>
      </c>
      <c r="DH208" s="228">
        <v>-7.0000000000000007E-2</v>
      </c>
      <c r="DI208" s="228">
        <v>28.29</v>
      </c>
      <c r="DJ208" s="228">
        <v>28.73</v>
      </c>
      <c r="DK208" s="228">
        <v>-0.44</v>
      </c>
      <c r="DL208" s="228">
        <v>-0.44</v>
      </c>
      <c r="DM208" s="228">
        <v>31.22</v>
      </c>
      <c r="DN208" s="228">
        <v>32.07</v>
      </c>
      <c r="DO208" s="228">
        <v>-0.85</v>
      </c>
      <c r="DP208" s="228">
        <v>-0.85</v>
      </c>
      <c r="DQ208" s="228">
        <v>0.62</v>
      </c>
      <c r="DR208" s="228">
        <v>0.63</v>
      </c>
      <c r="DS208" s="228">
        <v>-0.01</v>
      </c>
      <c r="DT208" s="229">
        <v>-1.5900000000000001E-2</v>
      </c>
      <c r="DU208" s="231">
        <v>11800</v>
      </c>
      <c r="DV208" s="231">
        <v>11500</v>
      </c>
      <c r="DW208" s="228">
        <v>0.47</v>
      </c>
      <c r="DX208" s="228">
        <v>0.5</v>
      </c>
      <c r="DY208" s="228">
        <v>-0.03</v>
      </c>
      <c r="DZ208" s="229">
        <v>-0.06</v>
      </c>
      <c r="EA208" s="229">
        <v>0.1857</v>
      </c>
      <c r="EB208" s="230">
        <v>353150</v>
      </c>
      <c r="EC208" s="229">
        <v>5.5999999999999999E-3</v>
      </c>
      <c r="ED208" s="229">
        <v>0.1857</v>
      </c>
      <c r="EE208" s="228">
        <v>67.209999999999994</v>
      </c>
      <c r="EF208" s="229">
        <v>5.7000000000000002E-3</v>
      </c>
      <c r="EG208" s="230">
        <v>93359</v>
      </c>
      <c r="EH208" s="230">
        <v>188772</v>
      </c>
      <c r="EI208" s="229">
        <v>-0.50539999999999996</v>
      </c>
      <c r="EJ208" s="229">
        <v>0.54659999999999997</v>
      </c>
      <c r="EK208" s="231">
        <v>1034.25</v>
      </c>
      <c r="EL208" s="228">
        <v>436.55</v>
      </c>
      <c r="EM208" s="228">
        <v>484.06</v>
      </c>
      <c r="EN208" s="228">
        <v>48.56</v>
      </c>
      <c r="EO208" s="231">
        <v>1954.86</v>
      </c>
      <c r="EP208" s="231">
        <v>1630.11</v>
      </c>
      <c r="EQ208" s="228">
        <v>324.75</v>
      </c>
      <c r="ER208" s="229">
        <v>0.19919999999999999</v>
      </c>
      <c r="ES208" s="228">
        <v>831.51</v>
      </c>
      <c r="ET208" s="228">
        <v>466.23</v>
      </c>
      <c r="EU208" s="231">
        <v>2867.22</v>
      </c>
      <c r="EV208" s="231">
        <v>12994504</v>
      </c>
      <c r="EW208" s="231">
        <v>4164.96</v>
      </c>
      <c r="EX208" s="231">
        <v>3994.59</v>
      </c>
      <c r="EY208" s="228">
        <v>170.37</v>
      </c>
      <c r="EZ208" s="229">
        <v>4.2700000000000002E-2</v>
      </c>
      <c r="FA208" s="229">
        <v>0.27200000000000002</v>
      </c>
      <c r="FB208" s="227" t="s">
        <v>555</v>
      </c>
      <c r="FC208">
        <f t="shared" si="4"/>
        <v>0</v>
      </c>
    </row>
    <row r="209" spans="1:159" ht="17.25" thickBot="1" x14ac:dyDescent="0.3">
      <c r="A209" s="226">
        <v>46129</v>
      </c>
      <c r="B209" s="227" t="s">
        <v>172</v>
      </c>
      <c r="C209" s="227" t="s">
        <v>592</v>
      </c>
      <c r="D209" s="228">
        <v>4425</v>
      </c>
      <c r="E209" s="228">
        <v>11</v>
      </c>
      <c r="F209" s="228">
        <v>188.51</v>
      </c>
      <c r="G209" s="228">
        <v>188.18</v>
      </c>
      <c r="H209" s="228">
        <v>0.33</v>
      </c>
      <c r="I209" s="229">
        <v>1.8E-3</v>
      </c>
      <c r="J209" s="228">
        <v>188.91</v>
      </c>
      <c r="K209" s="228">
        <v>188.49</v>
      </c>
      <c r="L209" s="228">
        <v>0.42</v>
      </c>
      <c r="M209" s="229">
        <v>2.2000000000000001E-3</v>
      </c>
      <c r="N209" s="228">
        <v>188.51</v>
      </c>
      <c r="O209" s="228">
        <v>188.18</v>
      </c>
      <c r="P209" s="228">
        <v>0.33</v>
      </c>
      <c r="Q209" s="229">
        <v>1.8E-3</v>
      </c>
      <c r="R209" s="228">
        <v>187.05</v>
      </c>
      <c r="S209" s="228">
        <v>186.86</v>
      </c>
      <c r="T209" s="228">
        <v>0.19</v>
      </c>
      <c r="U209" s="229">
        <v>1E-3</v>
      </c>
      <c r="V209" s="228">
        <v>185.81</v>
      </c>
      <c r="W209" s="228">
        <v>186.5</v>
      </c>
      <c r="X209" s="228">
        <v>-0.69</v>
      </c>
      <c r="Y209" s="229">
        <v>-3.7000000000000002E-3</v>
      </c>
      <c r="Z209" s="228">
        <v>-0.4</v>
      </c>
      <c r="AA209" s="228">
        <v>-0.31</v>
      </c>
      <c r="AB209" s="228">
        <v>-0.09</v>
      </c>
      <c r="AC209" s="229">
        <v>-2.0999999999999999E-3</v>
      </c>
      <c r="AD209" s="228">
        <v>-0.4</v>
      </c>
      <c r="AE209" s="228">
        <v>-0.31</v>
      </c>
      <c r="AF209" s="228">
        <v>-0.09</v>
      </c>
      <c r="AG209" s="229">
        <v>-2.0999999999999999E-3</v>
      </c>
      <c r="AH209" s="228">
        <v>-1.86</v>
      </c>
      <c r="AI209" s="228">
        <v>-1.63</v>
      </c>
      <c r="AJ209" s="228">
        <v>-0.23</v>
      </c>
      <c r="AK209" s="229">
        <v>-9.7999999999999997E-3</v>
      </c>
      <c r="AL209" s="228">
        <v>-3.1</v>
      </c>
      <c r="AM209" s="228">
        <v>-1.99</v>
      </c>
      <c r="AN209" s="228">
        <v>-1.1100000000000001</v>
      </c>
      <c r="AO209" s="229">
        <v>-1.6400000000000001E-2</v>
      </c>
      <c r="AP209" s="228">
        <v>187.72</v>
      </c>
      <c r="AQ209" s="228">
        <v>186.16</v>
      </c>
      <c r="AR209" s="228">
        <v>0</v>
      </c>
      <c r="AS209" s="228">
        <v>329</v>
      </c>
      <c r="AT209" s="228">
        <v>415</v>
      </c>
      <c r="AU209" s="228">
        <v>-86</v>
      </c>
      <c r="AV209" s="229">
        <v>-0.2074</v>
      </c>
      <c r="AW209" s="228">
        <v>269</v>
      </c>
      <c r="AX209" s="228">
        <v>308</v>
      </c>
      <c r="AY209" s="228">
        <v>-39</v>
      </c>
      <c r="AZ209" s="229">
        <v>-0.12559999999999999</v>
      </c>
      <c r="BA209" s="228">
        <v>58</v>
      </c>
      <c r="BB209" s="228">
        <v>104</v>
      </c>
      <c r="BC209" s="228">
        <v>-46</v>
      </c>
      <c r="BD209" s="229">
        <v>-0.43930000000000002</v>
      </c>
      <c r="BE209" s="228">
        <v>2</v>
      </c>
      <c r="BF209" s="228">
        <v>3</v>
      </c>
      <c r="BG209" s="228">
        <v>-2</v>
      </c>
      <c r="BH209" s="229">
        <v>-0.55000000000000004</v>
      </c>
      <c r="BI209" s="228">
        <v>470</v>
      </c>
      <c r="BJ209" s="228">
        <v>535</v>
      </c>
      <c r="BK209" s="228">
        <v>-65</v>
      </c>
      <c r="BL209" s="229">
        <v>-0.12239999999999999</v>
      </c>
      <c r="BM209" s="228">
        <v>264</v>
      </c>
      <c r="BN209" s="228">
        <v>341</v>
      </c>
      <c r="BO209" s="228">
        <v>-76</v>
      </c>
      <c r="BP209" s="229">
        <v>-0.22359999999999999</v>
      </c>
      <c r="BQ209" s="230">
        <v>1063</v>
      </c>
      <c r="BR209" s="230">
        <v>1291</v>
      </c>
      <c r="BS209" s="228">
        <v>-228</v>
      </c>
      <c r="BT209" s="229">
        <v>-0.1764</v>
      </c>
      <c r="BU209" s="230">
        <v>9177554</v>
      </c>
      <c r="BV209" s="230">
        <v>12264499</v>
      </c>
      <c r="BW209" s="230">
        <v>-3086945</v>
      </c>
      <c r="BX209" s="229">
        <v>-0.25169999999999998</v>
      </c>
      <c r="BY209" s="230">
        <v>2161</v>
      </c>
      <c r="BZ209" s="230">
        <v>2137</v>
      </c>
      <c r="CA209" s="228">
        <v>25</v>
      </c>
      <c r="CB209" s="229">
        <v>1.1599999999999999E-2</v>
      </c>
      <c r="CC209" s="230">
        <v>1829</v>
      </c>
      <c r="CD209" s="230">
        <v>1831</v>
      </c>
      <c r="CE209" s="228">
        <v>-2</v>
      </c>
      <c r="CF209" s="229">
        <v>-1.2999999999999999E-3</v>
      </c>
      <c r="CG209" s="228">
        <v>316</v>
      </c>
      <c r="CH209" s="228">
        <v>289</v>
      </c>
      <c r="CI209" s="228">
        <v>27</v>
      </c>
      <c r="CJ209" s="229">
        <v>9.3799999999999994E-2</v>
      </c>
      <c r="CK209" s="228">
        <v>17</v>
      </c>
      <c r="CL209" s="228">
        <v>16</v>
      </c>
      <c r="CM209" s="228">
        <v>0</v>
      </c>
      <c r="CN209" s="229">
        <v>5.1000000000000004E-3</v>
      </c>
      <c r="CO209" s="228">
        <v>679</v>
      </c>
      <c r="CP209" s="228">
        <v>649</v>
      </c>
      <c r="CQ209" s="228">
        <v>30</v>
      </c>
      <c r="CR209" s="229">
        <v>4.6399999999999997E-2</v>
      </c>
      <c r="CS209" s="228">
        <v>536</v>
      </c>
      <c r="CT209" s="228">
        <v>522</v>
      </c>
      <c r="CU209" s="228">
        <v>14</v>
      </c>
      <c r="CV209" s="229">
        <v>2.7199999999999998E-2</v>
      </c>
      <c r="CW209" s="230">
        <v>3376</v>
      </c>
      <c r="CX209" s="230">
        <v>3307</v>
      </c>
      <c r="CY209" s="228">
        <v>69</v>
      </c>
      <c r="CZ209" s="229">
        <v>2.0899999999999998E-2</v>
      </c>
      <c r="DA209" s="228">
        <v>38.69</v>
      </c>
      <c r="DB209" s="228">
        <v>39.47</v>
      </c>
      <c r="DC209" s="228">
        <v>-0.78</v>
      </c>
      <c r="DD209" s="228">
        <v>-0.78</v>
      </c>
      <c r="DE209" s="228">
        <v>44.1</v>
      </c>
      <c r="DF209" s="228">
        <v>44.21</v>
      </c>
      <c r="DG209" s="228">
        <v>-5.41</v>
      </c>
      <c r="DH209" s="228">
        <v>-0.11</v>
      </c>
      <c r="DI209" s="228">
        <v>37.85</v>
      </c>
      <c r="DJ209" s="228">
        <v>38.880000000000003</v>
      </c>
      <c r="DK209" s="228">
        <v>-1.03</v>
      </c>
      <c r="DL209" s="228">
        <v>-1.03</v>
      </c>
      <c r="DM209" s="228">
        <v>40.19</v>
      </c>
      <c r="DN209" s="228">
        <v>40.39</v>
      </c>
      <c r="DO209" s="228">
        <v>-0.2</v>
      </c>
      <c r="DP209" s="228">
        <v>-0.2</v>
      </c>
      <c r="DQ209" s="228">
        <v>0.79</v>
      </c>
      <c r="DR209" s="228">
        <v>0.8</v>
      </c>
      <c r="DS209" s="228">
        <v>-0.01</v>
      </c>
      <c r="DT209" s="229">
        <v>-1.2500000000000001E-2</v>
      </c>
      <c r="DU209" s="228">
        <v>190</v>
      </c>
      <c r="DV209" s="228">
        <v>180</v>
      </c>
      <c r="DW209" s="228">
        <v>0.56000000000000005</v>
      </c>
      <c r="DX209" s="228">
        <v>0.64</v>
      </c>
      <c r="DY209" s="228">
        <v>-0.08</v>
      </c>
      <c r="DZ209" s="229">
        <v>-0.125</v>
      </c>
      <c r="EA209" s="229">
        <v>0.15390000000000001</v>
      </c>
      <c r="EB209" s="230">
        <v>16204350</v>
      </c>
      <c r="EC209" s="229">
        <v>-7.7000000000000002E-3</v>
      </c>
      <c r="ED209" s="229">
        <v>0.15390000000000001</v>
      </c>
      <c r="EE209" s="228">
        <v>-1.56</v>
      </c>
      <c r="EF209" s="229">
        <v>-8.3000000000000001E-3</v>
      </c>
      <c r="EG209" s="230">
        <v>3034548</v>
      </c>
      <c r="EH209" s="230">
        <v>4689906</v>
      </c>
      <c r="EI209" s="229">
        <v>-0.35299999999999998</v>
      </c>
      <c r="EJ209" s="229">
        <v>0.3306</v>
      </c>
      <c r="EK209" s="228">
        <v>488.93</v>
      </c>
      <c r="EL209" s="228">
        <v>258.67</v>
      </c>
      <c r="EM209" s="228">
        <v>327.12</v>
      </c>
      <c r="EN209" s="228">
        <v>55.7</v>
      </c>
      <c r="EO209" s="231">
        <v>1074.72</v>
      </c>
      <c r="EP209" s="231">
        <v>1309.95</v>
      </c>
      <c r="EQ209" s="228">
        <v>-235.23</v>
      </c>
      <c r="ER209" s="229">
        <v>-0.17960000000000001</v>
      </c>
      <c r="ES209" s="228">
        <v>689.82</v>
      </c>
      <c r="ET209" s="228">
        <v>497.5</v>
      </c>
      <c r="EU209" s="231">
        <v>2158.7800000000002</v>
      </c>
      <c r="EV209" s="231">
        <v>289041713</v>
      </c>
      <c r="EW209" s="231">
        <v>3346.1</v>
      </c>
      <c r="EX209" s="231">
        <v>3272.04</v>
      </c>
      <c r="EY209" s="228">
        <v>74.06</v>
      </c>
      <c r="EZ209" s="229">
        <v>2.2599999999999999E-2</v>
      </c>
      <c r="FA209" s="229">
        <v>0.61970000000000003</v>
      </c>
      <c r="FB209" s="227" t="s">
        <v>555</v>
      </c>
      <c r="FC209">
        <f t="shared" si="4"/>
        <v>0</v>
      </c>
    </row>
    <row r="210" spans="1:159" ht="17.25" thickBot="1" x14ac:dyDescent="0.3">
      <c r="A210" s="226">
        <v>46129</v>
      </c>
      <c r="B210" s="227" t="s">
        <v>168</v>
      </c>
      <c r="C210" s="227" t="s">
        <v>568</v>
      </c>
      <c r="D210" s="228">
        <v>400</v>
      </c>
      <c r="E210" s="228">
        <v>11</v>
      </c>
      <c r="F210" s="231">
        <v>1305.7</v>
      </c>
      <c r="G210" s="231">
        <v>1257.7</v>
      </c>
      <c r="H210" s="228">
        <v>48</v>
      </c>
      <c r="I210" s="229">
        <v>3.8199999999999998E-2</v>
      </c>
      <c r="J210" s="231">
        <v>1302.9000000000001</v>
      </c>
      <c r="K210" s="231">
        <v>1254.5</v>
      </c>
      <c r="L210" s="228">
        <v>48.4</v>
      </c>
      <c r="M210" s="229">
        <v>3.8600000000000002E-2</v>
      </c>
      <c r="N210" s="231">
        <v>1305.7</v>
      </c>
      <c r="O210" s="231">
        <v>1257.7</v>
      </c>
      <c r="P210" s="228">
        <v>48</v>
      </c>
      <c r="Q210" s="229">
        <v>3.8199999999999998E-2</v>
      </c>
      <c r="R210" s="231">
        <v>1313.2</v>
      </c>
      <c r="S210" s="231">
        <v>1264.4000000000001</v>
      </c>
      <c r="T210" s="228">
        <v>48.8</v>
      </c>
      <c r="U210" s="229">
        <v>3.8600000000000002E-2</v>
      </c>
      <c r="V210" s="231">
        <v>1320.9</v>
      </c>
      <c r="W210" s="231">
        <v>1270.8</v>
      </c>
      <c r="X210" s="228">
        <v>50.1</v>
      </c>
      <c r="Y210" s="229">
        <v>3.9399999999999998E-2</v>
      </c>
      <c r="Z210" s="228">
        <v>2.8</v>
      </c>
      <c r="AA210" s="228">
        <v>3.2</v>
      </c>
      <c r="AB210" s="228">
        <v>-0.4</v>
      </c>
      <c r="AC210" s="229">
        <v>2.0999999999999999E-3</v>
      </c>
      <c r="AD210" s="228">
        <v>2.8</v>
      </c>
      <c r="AE210" s="228">
        <v>3.2</v>
      </c>
      <c r="AF210" s="228">
        <v>-0.4</v>
      </c>
      <c r="AG210" s="229">
        <v>2.0999999999999999E-3</v>
      </c>
      <c r="AH210" s="228">
        <v>10.3</v>
      </c>
      <c r="AI210" s="228">
        <v>9.9</v>
      </c>
      <c r="AJ210" s="228">
        <v>0.4</v>
      </c>
      <c r="AK210" s="229">
        <v>7.9000000000000008E-3</v>
      </c>
      <c r="AL210" s="228">
        <v>18</v>
      </c>
      <c r="AM210" s="228">
        <v>16.3</v>
      </c>
      <c r="AN210" s="228">
        <v>1.7</v>
      </c>
      <c r="AO210" s="229">
        <v>1.38E-2</v>
      </c>
      <c r="AP210" s="231">
        <v>1293.01</v>
      </c>
      <c r="AQ210" s="231">
        <v>1299.6500000000001</v>
      </c>
      <c r="AR210" s="228">
        <v>0</v>
      </c>
      <c r="AS210" s="228">
        <v>417</v>
      </c>
      <c r="AT210" s="228">
        <v>220</v>
      </c>
      <c r="AU210" s="228">
        <v>197</v>
      </c>
      <c r="AV210" s="229">
        <v>0.89639999999999997</v>
      </c>
      <c r="AW210" s="228">
        <v>356</v>
      </c>
      <c r="AX210" s="228">
        <v>199</v>
      </c>
      <c r="AY210" s="228">
        <v>157</v>
      </c>
      <c r="AZ210" s="229">
        <v>0.7913</v>
      </c>
      <c r="BA210" s="228">
        <v>57</v>
      </c>
      <c r="BB210" s="228">
        <v>19</v>
      </c>
      <c r="BC210" s="228">
        <v>37</v>
      </c>
      <c r="BD210" s="229">
        <v>1.9249000000000001</v>
      </c>
      <c r="BE210" s="228">
        <v>4</v>
      </c>
      <c r="BF210" s="228">
        <v>1</v>
      </c>
      <c r="BG210" s="228">
        <v>2</v>
      </c>
      <c r="BH210" s="229">
        <v>1.5</v>
      </c>
      <c r="BI210" s="230">
        <v>1965</v>
      </c>
      <c r="BJ210" s="228">
        <v>534</v>
      </c>
      <c r="BK210" s="230">
        <v>1430</v>
      </c>
      <c r="BL210" s="229">
        <v>2.6758000000000002</v>
      </c>
      <c r="BM210" s="228">
        <v>537</v>
      </c>
      <c r="BN210" s="228">
        <v>129</v>
      </c>
      <c r="BO210" s="228">
        <v>408</v>
      </c>
      <c r="BP210" s="229">
        <v>3.1675</v>
      </c>
      <c r="BQ210" s="230">
        <v>2918</v>
      </c>
      <c r="BR210" s="228">
        <v>883</v>
      </c>
      <c r="BS210" s="230">
        <v>2035</v>
      </c>
      <c r="BT210" s="229">
        <v>2.3043999999999998</v>
      </c>
      <c r="BU210" s="230">
        <v>2994254</v>
      </c>
      <c r="BV210" s="230">
        <v>1762641</v>
      </c>
      <c r="BW210" s="230">
        <v>1231613</v>
      </c>
      <c r="BX210" s="229">
        <v>0.69869999999999999</v>
      </c>
      <c r="BY210" s="230">
        <v>1690</v>
      </c>
      <c r="BZ210" s="230">
        <v>1734</v>
      </c>
      <c r="CA210" s="228">
        <v>-44</v>
      </c>
      <c r="CB210" s="229">
        <v>-2.52E-2</v>
      </c>
      <c r="CC210" s="230">
        <v>1616</v>
      </c>
      <c r="CD210" s="230">
        <v>1681</v>
      </c>
      <c r="CE210" s="228">
        <v>-65</v>
      </c>
      <c r="CF210" s="229">
        <v>-3.85E-2</v>
      </c>
      <c r="CG210" s="228">
        <v>71</v>
      </c>
      <c r="CH210" s="228">
        <v>50</v>
      </c>
      <c r="CI210" s="228">
        <v>21</v>
      </c>
      <c r="CJ210" s="229">
        <v>0.41170000000000001</v>
      </c>
      <c r="CK210" s="228">
        <v>4</v>
      </c>
      <c r="CL210" s="228">
        <v>4</v>
      </c>
      <c r="CM210" s="228">
        <v>0</v>
      </c>
      <c r="CN210" s="229">
        <v>0.13039999999999999</v>
      </c>
      <c r="CO210" s="228">
        <v>603</v>
      </c>
      <c r="CP210" s="228">
        <v>611</v>
      </c>
      <c r="CQ210" s="228">
        <v>-8</v>
      </c>
      <c r="CR210" s="229">
        <v>-1.29E-2</v>
      </c>
      <c r="CS210" s="228">
        <v>395</v>
      </c>
      <c r="CT210" s="228">
        <v>344</v>
      </c>
      <c r="CU210" s="228">
        <v>51</v>
      </c>
      <c r="CV210" s="229">
        <v>0.1469</v>
      </c>
      <c r="CW210" s="230">
        <v>2689</v>
      </c>
      <c r="CX210" s="230">
        <v>2690</v>
      </c>
      <c r="CY210" s="228">
        <v>-1</v>
      </c>
      <c r="CZ210" s="229">
        <v>-4.0000000000000002E-4</v>
      </c>
      <c r="DA210" s="228">
        <v>28.43</v>
      </c>
      <c r="DB210" s="228">
        <v>30.47</v>
      </c>
      <c r="DC210" s="228">
        <v>-2.04</v>
      </c>
      <c r="DD210" s="228">
        <v>-2.04</v>
      </c>
      <c r="DE210" s="228">
        <v>30.07</v>
      </c>
      <c r="DF210" s="228">
        <v>29.71</v>
      </c>
      <c r="DG210" s="228">
        <v>-1.64</v>
      </c>
      <c r="DH210" s="228">
        <v>0.36</v>
      </c>
      <c r="DI210" s="228">
        <v>28.27</v>
      </c>
      <c r="DJ210" s="228">
        <v>30.66</v>
      </c>
      <c r="DK210" s="228">
        <v>-2.39</v>
      </c>
      <c r="DL210" s="228">
        <v>-2.39</v>
      </c>
      <c r="DM210" s="228">
        <v>29.03</v>
      </c>
      <c r="DN210" s="228">
        <v>29.68</v>
      </c>
      <c r="DO210" s="228">
        <v>-0.65</v>
      </c>
      <c r="DP210" s="228">
        <v>-0.65</v>
      </c>
      <c r="DQ210" s="228">
        <v>0.65</v>
      </c>
      <c r="DR210" s="228">
        <v>0.56000000000000005</v>
      </c>
      <c r="DS210" s="228">
        <v>0.09</v>
      </c>
      <c r="DT210" s="229">
        <v>0.16070000000000001</v>
      </c>
      <c r="DU210" s="231">
        <v>1500</v>
      </c>
      <c r="DV210" s="231">
        <v>1300</v>
      </c>
      <c r="DW210" s="228">
        <v>0.27</v>
      </c>
      <c r="DX210" s="228">
        <v>0.24</v>
      </c>
      <c r="DY210" s="228">
        <v>0.03</v>
      </c>
      <c r="DZ210" s="229">
        <v>0.125</v>
      </c>
      <c r="EA210" s="229">
        <v>4.41E-2</v>
      </c>
      <c r="EB210" s="230">
        <v>410400</v>
      </c>
      <c r="EC210" s="229">
        <v>5.7000000000000002E-3</v>
      </c>
      <c r="ED210" s="229">
        <v>4.41E-2</v>
      </c>
      <c r="EE210" s="228">
        <v>6.64</v>
      </c>
      <c r="EF210" s="229">
        <v>5.1000000000000004E-3</v>
      </c>
      <c r="EG210" s="230">
        <v>1641825</v>
      </c>
      <c r="EH210" s="230">
        <v>1028764</v>
      </c>
      <c r="EI210" s="229">
        <v>0.59589999999999999</v>
      </c>
      <c r="EJ210" s="229">
        <v>0.54830000000000001</v>
      </c>
      <c r="EK210" s="231">
        <v>2019.01</v>
      </c>
      <c r="EL210" s="228">
        <v>525.64</v>
      </c>
      <c r="EM210" s="228">
        <v>413.26</v>
      </c>
      <c r="EN210" s="228">
        <v>33.71</v>
      </c>
      <c r="EO210" s="231">
        <v>2957.92</v>
      </c>
      <c r="EP210" s="228">
        <v>877.52</v>
      </c>
      <c r="EQ210" s="231">
        <v>2080.4</v>
      </c>
      <c r="ER210" s="229">
        <v>2.3708</v>
      </c>
      <c r="ES210" s="228">
        <v>621.19000000000005</v>
      </c>
      <c r="ET210" s="228">
        <v>385.11</v>
      </c>
      <c r="EU210" s="231">
        <v>1690.92</v>
      </c>
      <c r="EV210" s="231">
        <v>38847259</v>
      </c>
      <c r="EW210" s="231">
        <v>2697.21</v>
      </c>
      <c r="EX210" s="231">
        <v>2629.92</v>
      </c>
      <c r="EY210" s="228">
        <v>67.290000000000006</v>
      </c>
      <c r="EZ210" s="229">
        <v>2.5600000000000001E-2</v>
      </c>
      <c r="FA210" s="229">
        <v>0.53010000000000002</v>
      </c>
      <c r="FB210" s="227" t="s">
        <v>693</v>
      </c>
      <c r="FC210">
        <f t="shared" si="4"/>
        <v>0</v>
      </c>
    </row>
    <row r="211" spans="1:159" ht="17.25" thickBot="1" x14ac:dyDescent="0.3">
      <c r="A211" s="226">
        <v>46129</v>
      </c>
      <c r="B211" s="227" t="s">
        <v>162</v>
      </c>
      <c r="C211" s="227" t="s">
        <v>672</v>
      </c>
      <c r="D211" s="228">
        <v>550</v>
      </c>
      <c r="E211" s="228">
        <v>11</v>
      </c>
      <c r="F211" s="231">
        <v>1098.0999999999999</v>
      </c>
      <c r="G211" s="231">
        <v>1109.0999999999999</v>
      </c>
      <c r="H211" s="228">
        <v>-11</v>
      </c>
      <c r="I211" s="229">
        <v>-9.9000000000000008E-3</v>
      </c>
      <c r="J211" s="231">
        <v>1097.8</v>
      </c>
      <c r="K211" s="231">
        <v>1109.4000000000001</v>
      </c>
      <c r="L211" s="228">
        <v>-11.6</v>
      </c>
      <c r="M211" s="229">
        <v>-1.0500000000000001E-2</v>
      </c>
      <c r="N211" s="231">
        <v>1098.0999999999999</v>
      </c>
      <c r="O211" s="231">
        <v>1109.0999999999999</v>
      </c>
      <c r="P211" s="228">
        <v>-11</v>
      </c>
      <c r="Q211" s="229">
        <v>-9.9000000000000008E-3</v>
      </c>
      <c r="R211" s="231">
        <v>1105</v>
      </c>
      <c r="S211" s="231">
        <v>1114.4000000000001</v>
      </c>
      <c r="T211" s="228">
        <v>-9.4</v>
      </c>
      <c r="U211" s="229">
        <v>-8.3999999999999995E-3</v>
      </c>
      <c r="V211" s="231">
        <v>1109</v>
      </c>
      <c r="W211" s="231">
        <v>1117.8</v>
      </c>
      <c r="X211" s="228">
        <v>-8.8000000000000007</v>
      </c>
      <c r="Y211" s="229">
        <v>-7.9000000000000008E-3</v>
      </c>
      <c r="Z211" s="228">
        <v>0.3</v>
      </c>
      <c r="AA211" s="228">
        <v>-0.3</v>
      </c>
      <c r="AB211" s="228">
        <v>0.6</v>
      </c>
      <c r="AC211" s="229">
        <v>2.9999999999999997E-4</v>
      </c>
      <c r="AD211" s="228">
        <v>0.3</v>
      </c>
      <c r="AE211" s="228">
        <v>-0.3</v>
      </c>
      <c r="AF211" s="228">
        <v>0.6</v>
      </c>
      <c r="AG211" s="229">
        <v>2.9999999999999997E-4</v>
      </c>
      <c r="AH211" s="228">
        <v>7.2</v>
      </c>
      <c r="AI211" s="228">
        <v>5</v>
      </c>
      <c r="AJ211" s="228">
        <v>2.2000000000000002</v>
      </c>
      <c r="AK211" s="229">
        <v>6.6E-3</v>
      </c>
      <c r="AL211" s="228">
        <v>11.2</v>
      </c>
      <c r="AM211" s="228">
        <v>8.4</v>
      </c>
      <c r="AN211" s="228">
        <v>2.8</v>
      </c>
      <c r="AO211" s="229">
        <v>1.0200000000000001E-2</v>
      </c>
      <c r="AP211" s="231">
        <v>1098.0999999999999</v>
      </c>
      <c r="AQ211" s="231">
        <v>1103.1300000000001</v>
      </c>
      <c r="AR211" s="228">
        <v>0</v>
      </c>
      <c r="AS211" s="228">
        <v>51</v>
      </c>
      <c r="AT211" s="228">
        <v>71</v>
      </c>
      <c r="AU211" s="228">
        <v>-20</v>
      </c>
      <c r="AV211" s="229">
        <v>-0.27979999999999999</v>
      </c>
      <c r="AW211" s="228">
        <v>44</v>
      </c>
      <c r="AX211" s="228">
        <v>68</v>
      </c>
      <c r="AY211" s="228">
        <v>-24</v>
      </c>
      <c r="AZ211" s="229">
        <v>-0.35089999999999999</v>
      </c>
      <c r="BA211" s="228">
        <v>7</v>
      </c>
      <c r="BB211" s="228">
        <v>3</v>
      </c>
      <c r="BC211" s="228">
        <v>4</v>
      </c>
      <c r="BD211" s="229">
        <v>1.28</v>
      </c>
      <c r="BE211" s="228">
        <v>0</v>
      </c>
      <c r="BF211" s="228">
        <v>0</v>
      </c>
      <c r="BG211" s="228">
        <v>0</v>
      </c>
      <c r="BH211" s="229">
        <v>0</v>
      </c>
      <c r="BI211" s="228">
        <v>141</v>
      </c>
      <c r="BJ211" s="228">
        <v>93</v>
      </c>
      <c r="BK211" s="228">
        <v>48</v>
      </c>
      <c r="BL211" s="229">
        <v>0.51100000000000001</v>
      </c>
      <c r="BM211" s="228">
        <v>31</v>
      </c>
      <c r="BN211" s="228">
        <v>21</v>
      </c>
      <c r="BO211" s="228">
        <v>11</v>
      </c>
      <c r="BP211" s="229">
        <v>0.52049999999999996</v>
      </c>
      <c r="BQ211" s="228">
        <v>223</v>
      </c>
      <c r="BR211" s="228">
        <v>185</v>
      </c>
      <c r="BS211" s="228">
        <v>39</v>
      </c>
      <c r="BT211" s="229">
        <v>0.2084</v>
      </c>
      <c r="BU211" s="230">
        <v>1036271</v>
      </c>
      <c r="BV211" s="230">
        <v>1257346</v>
      </c>
      <c r="BW211" s="230">
        <v>-221075</v>
      </c>
      <c r="BX211" s="229">
        <v>-0.17580000000000001</v>
      </c>
      <c r="BY211" s="228">
        <v>509</v>
      </c>
      <c r="BZ211" s="228">
        <v>504</v>
      </c>
      <c r="CA211" s="228">
        <v>5</v>
      </c>
      <c r="CB211" s="229">
        <v>9.7000000000000003E-3</v>
      </c>
      <c r="CC211" s="228">
        <v>499</v>
      </c>
      <c r="CD211" s="228">
        <v>497</v>
      </c>
      <c r="CE211" s="228">
        <v>2</v>
      </c>
      <c r="CF211" s="229">
        <v>3.8E-3</v>
      </c>
      <c r="CG211" s="228">
        <v>9</v>
      </c>
      <c r="CH211" s="228">
        <v>6</v>
      </c>
      <c r="CI211" s="228">
        <v>3</v>
      </c>
      <c r="CJ211" s="229">
        <v>0.4476</v>
      </c>
      <c r="CK211" s="228">
        <v>1</v>
      </c>
      <c r="CL211" s="228">
        <v>1</v>
      </c>
      <c r="CM211" s="228">
        <v>0</v>
      </c>
      <c r="CN211" s="229">
        <v>0.1875</v>
      </c>
      <c r="CO211" s="228">
        <v>194</v>
      </c>
      <c r="CP211" s="228">
        <v>181</v>
      </c>
      <c r="CQ211" s="228">
        <v>13</v>
      </c>
      <c r="CR211" s="229">
        <v>7.0000000000000007E-2</v>
      </c>
      <c r="CS211" s="228">
        <v>79</v>
      </c>
      <c r="CT211" s="228">
        <v>76</v>
      </c>
      <c r="CU211" s="228">
        <v>3</v>
      </c>
      <c r="CV211" s="229">
        <v>3.5799999999999998E-2</v>
      </c>
      <c r="CW211" s="228">
        <v>781</v>
      </c>
      <c r="CX211" s="228">
        <v>761</v>
      </c>
      <c r="CY211" s="228">
        <v>20</v>
      </c>
      <c r="CZ211" s="229">
        <v>2.6700000000000002E-2</v>
      </c>
      <c r="DA211" s="228">
        <v>36.51</v>
      </c>
      <c r="DB211" s="228">
        <v>36.76</v>
      </c>
      <c r="DC211" s="228">
        <v>-0.25</v>
      </c>
      <c r="DD211" s="228">
        <v>-0.25</v>
      </c>
      <c r="DE211" s="228">
        <v>42.96</v>
      </c>
      <c r="DF211" s="228">
        <v>43.04</v>
      </c>
      <c r="DG211" s="228">
        <v>-6.45</v>
      </c>
      <c r="DH211" s="228">
        <v>-0.08</v>
      </c>
      <c r="DI211" s="228">
        <v>35.64</v>
      </c>
      <c r="DJ211" s="228">
        <v>35.39</v>
      </c>
      <c r="DK211" s="228">
        <v>0.25</v>
      </c>
      <c r="DL211" s="228">
        <v>0.25</v>
      </c>
      <c r="DM211" s="228">
        <v>40.42</v>
      </c>
      <c r="DN211" s="228">
        <v>42.98</v>
      </c>
      <c r="DO211" s="228">
        <v>-2.56</v>
      </c>
      <c r="DP211" s="228">
        <v>-2.56</v>
      </c>
      <c r="DQ211" s="228">
        <v>0.41</v>
      </c>
      <c r="DR211" s="228">
        <v>0.42</v>
      </c>
      <c r="DS211" s="228">
        <v>-0.01</v>
      </c>
      <c r="DT211" s="229">
        <v>-2.3800000000000002E-2</v>
      </c>
      <c r="DU211" s="231">
        <v>1200</v>
      </c>
      <c r="DV211" s="231">
        <v>1100</v>
      </c>
      <c r="DW211" s="228">
        <v>0.22</v>
      </c>
      <c r="DX211" s="228">
        <v>0.22</v>
      </c>
      <c r="DY211" s="228">
        <v>0</v>
      </c>
      <c r="DZ211" s="229">
        <v>0</v>
      </c>
      <c r="EA211" s="229">
        <v>2.0299999999999999E-2</v>
      </c>
      <c r="EB211" s="230">
        <v>66550</v>
      </c>
      <c r="EC211" s="229">
        <v>6.3E-3</v>
      </c>
      <c r="ED211" s="229">
        <v>2.0299999999999999E-2</v>
      </c>
      <c r="EE211" s="228">
        <v>5.03</v>
      </c>
      <c r="EF211" s="229">
        <v>4.5999999999999999E-3</v>
      </c>
      <c r="EG211" s="230">
        <v>506014</v>
      </c>
      <c r="EH211" s="230">
        <v>782821</v>
      </c>
      <c r="EI211" s="229">
        <v>-0.35360000000000003</v>
      </c>
      <c r="EJ211" s="229">
        <v>0.48830000000000001</v>
      </c>
      <c r="EK211" s="228">
        <v>149.75</v>
      </c>
      <c r="EL211" s="228">
        <v>30.4</v>
      </c>
      <c r="EM211" s="228">
        <v>51.19</v>
      </c>
      <c r="EN211" s="228">
        <v>15.43</v>
      </c>
      <c r="EO211" s="228">
        <v>231.34</v>
      </c>
      <c r="EP211" s="228">
        <v>191.1</v>
      </c>
      <c r="EQ211" s="228">
        <v>40.24</v>
      </c>
      <c r="ER211" s="229">
        <v>0.21049999999999999</v>
      </c>
      <c r="ES211" s="228">
        <v>206</v>
      </c>
      <c r="ET211" s="228">
        <v>75.72</v>
      </c>
      <c r="EU211" s="228">
        <v>508.9</v>
      </c>
      <c r="EV211" s="231">
        <v>27343613</v>
      </c>
      <c r="EW211" s="228">
        <v>790.62</v>
      </c>
      <c r="EX211" s="228">
        <v>775.51</v>
      </c>
      <c r="EY211" s="228">
        <v>15.11</v>
      </c>
      <c r="EZ211" s="229">
        <v>1.95E-2</v>
      </c>
      <c r="FA211" s="229">
        <v>0.26019999999999999</v>
      </c>
      <c r="FB211" s="227" t="s">
        <v>566</v>
      </c>
      <c r="FC211">
        <f t="shared" si="4"/>
        <v>0</v>
      </c>
    </row>
    <row r="212" spans="1:159" ht="17.25" thickBot="1" x14ac:dyDescent="0.3">
      <c r="A212" s="226">
        <v>46129</v>
      </c>
      <c r="B212" s="227" t="s">
        <v>498</v>
      </c>
      <c r="C212" s="227" t="s">
        <v>303</v>
      </c>
      <c r="D212" s="228">
        <v>1355</v>
      </c>
      <c r="E212" s="228">
        <v>11</v>
      </c>
      <c r="F212" s="228">
        <v>666.35</v>
      </c>
      <c r="G212" s="228">
        <v>662.3</v>
      </c>
      <c r="H212" s="228">
        <v>4.05</v>
      </c>
      <c r="I212" s="229">
        <v>6.1000000000000004E-3</v>
      </c>
      <c r="J212" s="228">
        <v>664.7</v>
      </c>
      <c r="K212" s="228">
        <v>659.95</v>
      </c>
      <c r="L212" s="228">
        <v>4.75</v>
      </c>
      <c r="M212" s="229">
        <v>7.1999999999999998E-3</v>
      </c>
      <c r="N212" s="228">
        <v>666.35</v>
      </c>
      <c r="O212" s="228">
        <v>662.3</v>
      </c>
      <c r="P212" s="228">
        <v>4.05</v>
      </c>
      <c r="Q212" s="229">
        <v>6.1000000000000004E-3</v>
      </c>
      <c r="R212" s="228">
        <v>670.3</v>
      </c>
      <c r="S212" s="228">
        <v>665.3</v>
      </c>
      <c r="T212" s="228">
        <v>5</v>
      </c>
      <c r="U212" s="229">
        <v>7.4999999999999997E-3</v>
      </c>
      <c r="V212" s="228">
        <v>673.5</v>
      </c>
      <c r="W212" s="228">
        <v>670.3</v>
      </c>
      <c r="X212" s="228">
        <v>3.2</v>
      </c>
      <c r="Y212" s="229">
        <v>4.7999999999999996E-3</v>
      </c>
      <c r="Z212" s="228">
        <v>1.65</v>
      </c>
      <c r="AA212" s="228">
        <v>2.35</v>
      </c>
      <c r="AB212" s="228">
        <v>-0.7</v>
      </c>
      <c r="AC212" s="229">
        <v>2.5000000000000001E-3</v>
      </c>
      <c r="AD212" s="228">
        <v>1.65</v>
      </c>
      <c r="AE212" s="228">
        <v>2.35</v>
      </c>
      <c r="AF212" s="228">
        <v>-0.7</v>
      </c>
      <c r="AG212" s="229">
        <v>2.5000000000000001E-3</v>
      </c>
      <c r="AH212" s="228">
        <v>5.6</v>
      </c>
      <c r="AI212" s="228">
        <v>5.35</v>
      </c>
      <c r="AJ212" s="228">
        <v>0.25</v>
      </c>
      <c r="AK212" s="229">
        <v>8.3999999999999995E-3</v>
      </c>
      <c r="AL212" s="228">
        <v>8.8000000000000007</v>
      </c>
      <c r="AM212" s="228">
        <v>10.35</v>
      </c>
      <c r="AN212" s="228">
        <v>-1.55</v>
      </c>
      <c r="AO212" s="229">
        <v>1.32E-2</v>
      </c>
      <c r="AP212" s="228">
        <v>668.07</v>
      </c>
      <c r="AQ212" s="228">
        <v>671.25</v>
      </c>
      <c r="AR212" s="228">
        <v>0</v>
      </c>
      <c r="AS212" s="228">
        <v>184</v>
      </c>
      <c r="AT212" s="228">
        <v>306</v>
      </c>
      <c r="AU212" s="228">
        <v>-123</v>
      </c>
      <c r="AV212" s="229">
        <v>-0.39979999999999999</v>
      </c>
      <c r="AW212" s="228">
        <v>166</v>
      </c>
      <c r="AX212" s="228">
        <v>276</v>
      </c>
      <c r="AY212" s="228">
        <v>-110</v>
      </c>
      <c r="AZ212" s="229">
        <v>-0.39960000000000001</v>
      </c>
      <c r="BA212" s="228">
        <v>17</v>
      </c>
      <c r="BB212" s="228">
        <v>29</v>
      </c>
      <c r="BC212" s="228">
        <v>-12</v>
      </c>
      <c r="BD212" s="229">
        <v>-0.40620000000000001</v>
      </c>
      <c r="BE212" s="228">
        <v>1</v>
      </c>
      <c r="BF212" s="228">
        <v>1</v>
      </c>
      <c r="BG212" s="228">
        <v>0</v>
      </c>
      <c r="BH212" s="229">
        <v>-0.3125</v>
      </c>
      <c r="BI212" s="228">
        <v>467</v>
      </c>
      <c r="BJ212" s="228">
        <v>785</v>
      </c>
      <c r="BK212" s="228">
        <v>-318</v>
      </c>
      <c r="BL212" s="229">
        <v>-0.4047</v>
      </c>
      <c r="BM212" s="228">
        <v>338</v>
      </c>
      <c r="BN212" s="228">
        <v>394</v>
      </c>
      <c r="BO212" s="228">
        <v>-56</v>
      </c>
      <c r="BP212" s="229">
        <v>-0.14149999999999999</v>
      </c>
      <c r="BQ212" s="228">
        <v>989</v>
      </c>
      <c r="BR212" s="230">
        <v>1485</v>
      </c>
      <c r="BS212" s="228">
        <v>-496</v>
      </c>
      <c r="BT212" s="229">
        <v>-0.33389999999999997</v>
      </c>
      <c r="BU212" s="230">
        <v>1048154</v>
      </c>
      <c r="BV212" s="230">
        <v>1702422</v>
      </c>
      <c r="BW212" s="230">
        <v>-654268</v>
      </c>
      <c r="BX212" s="229">
        <v>-0.38429999999999997</v>
      </c>
      <c r="BY212" s="230">
        <v>2005</v>
      </c>
      <c r="BZ212" s="230">
        <v>2032</v>
      </c>
      <c r="CA212" s="228">
        <v>-27</v>
      </c>
      <c r="CB212" s="229">
        <v>-1.35E-2</v>
      </c>
      <c r="CC212" s="230">
        <v>1946</v>
      </c>
      <c r="CD212" s="230">
        <v>1980</v>
      </c>
      <c r="CE212" s="228">
        <v>-34</v>
      </c>
      <c r="CF212" s="229">
        <v>-1.72E-2</v>
      </c>
      <c r="CG212" s="228">
        <v>56</v>
      </c>
      <c r="CH212" s="228">
        <v>50</v>
      </c>
      <c r="CI212" s="228">
        <v>6</v>
      </c>
      <c r="CJ212" s="229">
        <v>0.1202</v>
      </c>
      <c r="CK212" s="228">
        <v>3</v>
      </c>
      <c r="CL212" s="228">
        <v>3</v>
      </c>
      <c r="CM212" s="228">
        <v>1</v>
      </c>
      <c r="CN212" s="229">
        <v>0.2414</v>
      </c>
      <c r="CO212" s="228">
        <v>657</v>
      </c>
      <c r="CP212" s="228">
        <v>675</v>
      </c>
      <c r="CQ212" s="228">
        <v>-18</v>
      </c>
      <c r="CR212" s="229">
        <v>-2.6599999999999999E-2</v>
      </c>
      <c r="CS212" s="228">
        <v>491</v>
      </c>
      <c r="CT212" s="228">
        <v>469</v>
      </c>
      <c r="CU212" s="228">
        <v>22</v>
      </c>
      <c r="CV212" s="229">
        <v>4.7199999999999999E-2</v>
      </c>
      <c r="CW212" s="230">
        <v>3153</v>
      </c>
      <c r="CX212" s="230">
        <v>3176</v>
      </c>
      <c r="CY212" s="228">
        <v>-23</v>
      </c>
      <c r="CZ212" s="229">
        <v>-7.3000000000000001E-3</v>
      </c>
      <c r="DA212" s="228">
        <v>31.9</v>
      </c>
      <c r="DB212" s="228">
        <v>31.92</v>
      </c>
      <c r="DC212" s="228">
        <v>-0.02</v>
      </c>
      <c r="DD212" s="228">
        <v>-0.02</v>
      </c>
      <c r="DE212" s="228">
        <v>41.96</v>
      </c>
      <c r="DF212" s="228">
        <v>42.05</v>
      </c>
      <c r="DG212" s="228">
        <v>-10.06</v>
      </c>
      <c r="DH212" s="228">
        <v>-0.09</v>
      </c>
      <c r="DI212" s="228">
        <v>30.36</v>
      </c>
      <c r="DJ212" s="228">
        <v>30.78</v>
      </c>
      <c r="DK212" s="228">
        <v>-0.42</v>
      </c>
      <c r="DL212" s="228">
        <v>-0.42</v>
      </c>
      <c r="DM212" s="228">
        <v>34.03</v>
      </c>
      <c r="DN212" s="228">
        <v>34.200000000000003</v>
      </c>
      <c r="DO212" s="228">
        <v>-0.17</v>
      </c>
      <c r="DP212" s="228">
        <v>-0.17</v>
      </c>
      <c r="DQ212" s="228">
        <v>0.75</v>
      </c>
      <c r="DR212" s="228">
        <v>0.69</v>
      </c>
      <c r="DS212" s="228">
        <v>0.06</v>
      </c>
      <c r="DT212" s="229">
        <v>8.6999999999999994E-2</v>
      </c>
      <c r="DU212" s="228">
        <v>700</v>
      </c>
      <c r="DV212" s="228">
        <v>600</v>
      </c>
      <c r="DW212" s="228">
        <v>0.72</v>
      </c>
      <c r="DX212" s="228">
        <v>0.5</v>
      </c>
      <c r="DY212" s="228">
        <v>0.22</v>
      </c>
      <c r="DZ212" s="229">
        <v>0.44</v>
      </c>
      <c r="EA212" s="229">
        <v>2.93E-2</v>
      </c>
      <c r="EB212" s="230">
        <v>783190</v>
      </c>
      <c r="EC212" s="229">
        <v>5.8999999999999999E-3</v>
      </c>
      <c r="ED212" s="229">
        <v>2.93E-2</v>
      </c>
      <c r="EE212" s="228">
        <v>3.18</v>
      </c>
      <c r="EF212" s="229">
        <v>4.7999999999999996E-3</v>
      </c>
      <c r="EG212" s="230">
        <v>494352</v>
      </c>
      <c r="EH212" s="230">
        <v>851235</v>
      </c>
      <c r="EI212" s="229">
        <v>-0.41930000000000001</v>
      </c>
      <c r="EJ212" s="229">
        <v>0.47160000000000002</v>
      </c>
      <c r="EK212" s="228">
        <v>483</v>
      </c>
      <c r="EL212" s="228">
        <v>332.15</v>
      </c>
      <c r="EM212" s="228">
        <v>184.49</v>
      </c>
      <c r="EN212" s="228">
        <v>25.8</v>
      </c>
      <c r="EO212" s="228">
        <v>999.64</v>
      </c>
      <c r="EP212" s="231">
        <v>1496</v>
      </c>
      <c r="EQ212" s="228">
        <v>-496.36</v>
      </c>
      <c r="ER212" s="229">
        <v>-0.33179999999999998</v>
      </c>
      <c r="ES212" s="228">
        <v>636.55999999999995</v>
      </c>
      <c r="ET212" s="228">
        <v>454.34</v>
      </c>
      <c r="EU212" s="231">
        <v>2005.17</v>
      </c>
      <c r="EV212" s="231">
        <v>84189026</v>
      </c>
      <c r="EW212" s="231">
        <v>3096.07</v>
      </c>
      <c r="EX212" s="231">
        <v>3106.04</v>
      </c>
      <c r="EY212" s="228">
        <v>-9.9700000000000006</v>
      </c>
      <c r="EZ212" s="229">
        <v>-3.2000000000000002E-3</v>
      </c>
      <c r="FA212" s="229">
        <v>0.56210000000000004</v>
      </c>
      <c r="FB212" s="227" t="s">
        <v>693</v>
      </c>
      <c r="FC212">
        <f t="shared" si="4"/>
        <v>0</v>
      </c>
    </row>
    <row r="213" spans="1:159" ht="17.25" thickBot="1" x14ac:dyDescent="0.3">
      <c r="A213" s="226">
        <v>46129</v>
      </c>
      <c r="B213" s="227" t="s">
        <v>168</v>
      </c>
      <c r="C213" s="227" t="s">
        <v>585</v>
      </c>
      <c r="D213" s="228">
        <v>1125</v>
      </c>
      <c r="E213" s="228">
        <v>11</v>
      </c>
      <c r="F213" s="228">
        <v>473.65</v>
      </c>
      <c r="G213" s="228">
        <v>462.2</v>
      </c>
      <c r="H213" s="228">
        <v>11.45</v>
      </c>
      <c r="I213" s="229">
        <v>2.4799999999999999E-2</v>
      </c>
      <c r="J213" s="228">
        <v>473.9</v>
      </c>
      <c r="K213" s="228">
        <v>460.4</v>
      </c>
      <c r="L213" s="228">
        <v>13.5</v>
      </c>
      <c r="M213" s="229">
        <v>2.93E-2</v>
      </c>
      <c r="N213" s="228">
        <v>473.65</v>
      </c>
      <c r="O213" s="228">
        <v>462.2</v>
      </c>
      <c r="P213" s="228">
        <v>11.45</v>
      </c>
      <c r="Q213" s="229">
        <v>2.4799999999999999E-2</v>
      </c>
      <c r="R213" s="228">
        <v>475.95</v>
      </c>
      <c r="S213" s="228">
        <v>464.05</v>
      </c>
      <c r="T213" s="228">
        <v>11.9</v>
      </c>
      <c r="U213" s="229">
        <v>2.5600000000000001E-2</v>
      </c>
      <c r="V213" s="228">
        <v>478.65</v>
      </c>
      <c r="W213" s="228">
        <v>468.15</v>
      </c>
      <c r="X213" s="228">
        <v>10.5</v>
      </c>
      <c r="Y213" s="229">
        <v>2.24E-2</v>
      </c>
      <c r="Z213" s="228">
        <v>-0.25</v>
      </c>
      <c r="AA213" s="228">
        <v>1.8</v>
      </c>
      <c r="AB213" s="228">
        <v>-2.0499999999999998</v>
      </c>
      <c r="AC213" s="229">
        <v>-5.0000000000000001E-4</v>
      </c>
      <c r="AD213" s="228">
        <v>-0.25</v>
      </c>
      <c r="AE213" s="228">
        <v>1.8</v>
      </c>
      <c r="AF213" s="228">
        <v>-2.0499999999999998</v>
      </c>
      <c r="AG213" s="229">
        <v>-5.0000000000000001E-4</v>
      </c>
      <c r="AH213" s="228">
        <v>2.0499999999999998</v>
      </c>
      <c r="AI213" s="228">
        <v>3.65</v>
      </c>
      <c r="AJ213" s="228">
        <v>-1.6</v>
      </c>
      <c r="AK213" s="229">
        <v>4.3E-3</v>
      </c>
      <c r="AL213" s="228">
        <v>4.75</v>
      </c>
      <c r="AM213" s="228">
        <v>7.75</v>
      </c>
      <c r="AN213" s="228">
        <v>-3</v>
      </c>
      <c r="AO213" s="229">
        <v>0.01</v>
      </c>
      <c r="AP213" s="228">
        <v>470.92</v>
      </c>
      <c r="AQ213" s="228">
        <v>473.36</v>
      </c>
      <c r="AR213" s="228">
        <v>0</v>
      </c>
      <c r="AS213" s="228">
        <v>725</v>
      </c>
      <c r="AT213" s="228">
        <v>603</v>
      </c>
      <c r="AU213" s="228">
        <v>122</v>
      </c>
      <c r="AV213" s="229">
        <v>0.20250000000000001</v>
      </c>
      <c r="AW213" s="228">
        <v>656</v>
      </c>
      <c r="AX213" s="228">
        <v>561</v>
      </c>
      <c r="AY213" s="228">
        <v>95</v>
      </c>
      <c r="AZ213" s="229">
        <v>0.1694</v>
      </c>
      <c r="BA213" s="228">
        <v>61</v>
      </c>
      <c r="BB213" s="228">
        <v>37</v>
      </c>
      <c r="BC213" s="228">
        <v>24</v>
      </c>
      <c r="BD213" s="229">
        <v>0.64880000000000004</v>
      </c>
      <c r="BE213" s="228">
        <v>8</v>
      </c>
      <c r="BF213" s="228">
        <v>5</v>
      </c>
      <c r="BG213" s="228">
        <v>3</v>
      </c>
      <c r="BH213" s="229">
        <v>0.60819999999999996</v>
      </c>
      <c r="BI213" s="230">
        <v>1625</v>
      </c>
      <c r="BJ213" s="230">
        <v>1445</v>
      </c>
      <c r="BK213" s="228">
        <v>181</v>
      </c>
      <c r="BL213" s="229">
        <v>0.125</v>
      </c>
      <c r="BM213" s="228">
        <v>731</v>
      </c>
      <c r="BN213" s="228">
        <v>704</v>
      </c>
      <c r="BO213" s="228">
        <v>27</v>
      </c>
      <c r="BP213" s="229">
        <v>3.7900000000000003E-2</v>
      </c>
      <c r="BQ213" s="230">
        <v>3080</v>
      </c>
      <c r="BR213" s="230">
        <v>2751</v>
      </c>
      <c r="BS213" s="228">
        <v>329</v>
      </c>
      <c r="BT213" s="229">
        <v>0.1197</v>
      </c>
      <c r="BU213" s="230">
        <v>13589729</v>
      </c>
      <c r="BV213" s="230">
        <v>8018734</v>
      </c>
      <c r="BW213" s="230">
        <v>5570995</v>
      </c>
      <c r="BX213" s="229">
        <v>0.69469999999999998</v>
      </c>
      <c r="BY213" s="230">
        <v>2255</v>
      </c>
      <c r="BZ213" s="230">
        <v>2312</v>
      </c>
      <c r="CA213" s="228">
        <v>-57</v>
      </c>
      <c r="CB213" s="229">
        <v>-2.4500000000000001E-2</v>
      </c>
      <c r="CC213" s="230">
        <v>2161</v>
      </c>
      <c r="CD213" s="230">
        <v>2242</v>
      </c>
      <c r="CE213" s="228">
        <v>-81</v>
      </c>
      <c r="CF213" s="229">
        <v>-3.5999999999999997E-2</v>
      </c>
      <c r="CG213" s="228">
        <v>85</v>
      </c>
      <c r="CH213" s="228">
        <v>63</v>
      </c>
      <c r="CI213" s="228">
        <v>22</v>
      </c>
      <c r="CJ213" s="229">
        <v>0.3533</v>
      </c>
      <c r="CK213" s="228">
        <v>9</v>
      </c>
      <c r="CL213" s="228">
        <v>7</v>
      </c>
      <c r="CM213" s="228">
        <v>2</v>
      </c>
      <c r="CN213" s="229">
        <v>0.2409</v>
      </c>
      <c r="CO213" s="228">
        <v>772</v>
      </c>
      <c r="CP213" s="228">
        <v>711</v>
      </c>
      <c r="CQ213" s="228">
        <v>61</v>
      </c>
      <c r="CR213" s="229">
        <v>8.5099999999999995E-2</v>
      </c>
      <c r="CS213" s="228">
        <v>478</v>
      </c>
      <c r="CT213" s="228">
        <v>426</v>
      </c>
      <c r="CU213" s="228">
        <v>52</v>
      </c>
      <c r="CV213" s="229">
        <v>0.1226</v>
      </c>
      <c r="CW213" s="230">
        <v>3505</v>
      </c>
      <c r="CX213" s="230">
        <v>3449</v>
      </c>
      <c r="CY213" s="228">
        <v>56</v>
      </c>
      <c r="CZ213" s="229">
        <v>1.6199999999999999E-2</v>
      </c>
      <c r="DA213" s="228">
        <v>36.979999999999997</v>
      </c>
      <c r="DB213" s="228">
        <v>36.82</v>
      </c>
      <c r="DC213" s="228">
        <v>0.16</v>
      </c>
      <c r="DD213" s="228">
        <v>0.16</v>
      </c>
      <c r="DE213" s="228">
        <v>38.33</v>
      </c>
      <c r="DF213" s="228">
        <v>38.22</v>
      </c>
      <c r="DG213" s="228">
        <v>-1.35</v>
      </c>
      <c r="DH213" s="228">
        <v>0.11</v>
      </c>
      <c r="DI213" s="228">
        <v>36.880000000000003</v>
      </c>
      <c r="DJ213" s="228">
        <v>36.57</v>
      </c>
      <c r="DK213" s="228">
        <v>0.31</v>
      </c>
      <c r="DL213" s="228">
        <v>0.31</v>
      </c>
      <c r="DM213" s="228">
        <v>37.19</v>
      </c>
      <c r="DN213" s="228">
        <v>37.32</v>
      </c>
      <c r="DO213" s="228">
        <v>-0.13</v>
      </c>
      <c r="DP213" s="228">
        <v>-0.13</v>
      </c>
      <c r="DQ213" s="228">
        <v>0.62</v>
      </c>
      <c r="DR213" s="228">
        <v>0.6</v>
      </c>
      <c r="DS213" s="228">
        <v>0.02</v>
      </c>
      <c r="DT213" s="229">
        <v>3.3300000000000003E-2</v>
      </c>
      <c r="DU213" s="228">
        <v>500</v>
      </c>
      <c r="DV213" s="228">
        <v>420</v>
      </c>
      <c r="DW213" s="228">
        <v>0.45</v>
      </c>
      <c r="DX213" s="228">
        <v>0.49</v>
      </c>
      <c r="DY213" s="228">
        <v>-0.04</v>
      </c>
      <c r="DZ213" s="229">
        <v>-8.1600000000000006E-2</v>
      </c>
      <c r="EA213" s="229">
        <v>4.1799999999999997E-2</v>
      </c>
      <c r="EB213" s="230">
        <v>1485000</v>
      </c>
      <c r="EC213" s="229">
        <v>4.8999999999999998E-3</v>
      </c>
      <c r="ED213" s="229">
        <v>4.1799999999999997E-2</v>
      </c>
      <c r="EE213" s="228">
        <v>2.44</v>
      </c>
      <c r="EF213" s="229">
        <v>5.1999999999999998E-3</v>
      </c>
      <c r="EG213" s="230">
        <v>7699696</v>
      </c>
      <c r="EH213" s="230">
        <v>4227617</v>
      </c>
      <c r="EI213" s="229">
        <v>0.82130000000000003</v>
      </c>
      <c r="EJ213" s="229">
        <v>0.56659999999999999</v>
      </c>
      <c r="EK213" s="231">
        <v>1686.83</v>
      </c>
      <c r="EL213" s="228">
        <v>699.96</v>
      </c>
      <c r="EM213" s="228">
        <v>720.87</v>
      </c>
      <c r="EN213" s="228">
        <v>80.27</v>
      </c>
      <c r="EO213" s="231">
        <v>3107.66</v>
      </c>
      <c r="EP213" s="231">
        <v>2708.19</v>
      </c>
      <c r="EQ213" s="228">
        <v>399.47</v>
      </c>
      <c r="ER213" s="229">
        <v>0.14749999999999999</v>
      </c>
      <c r="ES213" s="228">
        <v>757.35</v>
      </c>
      <c r="ET213" s="228">
        <v>429.65</v>
      </c>
      <c r="EU213" s="231">
        <v>2255.9299999999998</v>
      </c>
      <c r="EV213" s="231">
        <v>205765243</v>
      </c>
      <c r="EW213" s="231">
        <v>3442.93</v>
      </c>
      <c r="EX213" s="231">
        <v>3324.24</v>
      </c>
      <c r="EY213" s="228">
        <v>118.69</v>
      </c>
      <c r="EZ213" s="229">
        <v>3.5700000000000003E-2</v>
      </c>
      <c r="FA213" s="229">
        <v>0.35970000000000002</v>
      </c>
      <c r="FB213" s="227" t="s">
        <v>693</v>
      </c>
      <c r="FC213">
        <f t="shared" si="4"/>
        <v>0</v>
      </c>
    </row>
    <row r="214" spans="1:159" ht="17.25" thickBot="1" x14ac:dyDescent="0.3">
      <c r="A214" s="226">
        <v>46129</v>
      </c>
      <c r="B214" s="227" t="s">
        <v>227</v>
      </c>
      <c r="C214" s="227" t="s">
        <v>304</v>
      </c>
      <c r="D214" s="228">
        <v>1150</v>
      </c>
      <c r="E214" s="228">
        <v>11</v>
      </c>
      <c r="F214" s="228">
        <v>788.75</v>
      </c>
      <c r="G214" s="228">
        <v>784.35</v>
      </c>
      <c r="H214" s="228">
        <v>4.4000000000000004</v>
      </c>
      <c r="I214" s="229">
        <v>5.5999999999999999E-3</v>
      </c>
      <c r="J214" s="228">
        <v>787.5</v>
      </c>
      <c r="K214" s="228">
        <v>782.85</v>
      </c>
      <c r="L214" s="228">
        <v>4.6500000000000004</v>
      </c>
      <c r="M214" s="229">
        <v>5.8999999999999999E-3</v>
      </c>
      <c r="N214" s="228">
        <v>788.75</v>
      </c>
      <c r="O214" s="228">
        <v>784.35</v>
      </c>
      <c r="P214" s="228">
        <v>4.4000000000000004</v>
      </c>
      <c r="Q214" s="229">
        <v>5.5999999999999999E-3</v>
      </c>
      <c r="R214" s="228">
        <v>791.8</v>
      </c>
      <c r="S214" s="228">
        <v>786.8</v>
      </c>
      <c r="T214" s="228">
        <v>5</v>
      </c>
      <c r="U214" s="229">
        <v>6.4000000000000003E-3</v>
      </c>
      <c r="V214" s="228">
        <v>792.05</v>
      </c>
      <c r="W214" s="228">
        <v>786.25</v>
      </c>
      <c r="X214" s="228">
        <v>5.8</v>
      </c>
      <c r="Y214" s="229">
        <v>7.4000000000000003E-3</v>
      </c>
      <c r="Z214" s="228">
        <v>1.25</v>
      </c>
      <c r="AA214" s="228">
        <v>1.5</v>
      </c>
      <c r="AB214" s="228">
        <v>-0.25</v>
      </c>
      <c r="AC214" s="229">
        <v>1.6000000000000001E-3</v>
      </c>
      <c r="AD214" s="228">
        <v>1.25</v>
      </c>
      <c r="AE214" s="228">
        <v>1.5</v>
      </c>
      <c r="AF214" s="228">
        <v>-0.25</v>
      </c>
      <c r="AG214" s="229">
        <v>1.6000000000000001E-3</v>
      </c>
      <c r="AH214" s="228">
        <v>4.3</v>
      </c>
      <c r="AI214" s="228">
        <v>3.95</v>
      </c>
      <c r="AJ214" s="228">
        <v>0.35</v>
      </c>
      <c r="AK214" s="229">
        <v>5.4999999999999997E-3</v>
      </c>
      <c r="AL214" s="228">
        <v>4.55</v>
      </c>
      <c r="AM214" s="228">
        <v>3.4</v>
      </c>
      <c r="AN214" s="228">
        <v>1.1499999999999999</v>
      </c>
      <c r="AO214" s="229">
        <v>5.7999999999999996E-3</v>
      </c>
      <c r="AP214" s="228">
        <v>785.22</v>
      </c>
      <c r="AQ214" s="228">
        <v>787.43</v>
      </c>
      <c r="AR214" s="228">
        <v>0</v>
      </c>
      <c r="AS214" s="228">
        <v>880</v>
      </c>
      <c r="AT214" s="228">
        <v>986</v>
      </c>
      <c r="AU214" s="228">
        <v>-105</v>
      </c>
      <c r="AV214" s="229">
        <v>-0.1066</v>
      </c>
      <c r="AW214" s="228">
        <v>715</v>
      </c>
      <c r="AX214" s="228">
        <v>835</v>
      </c>
      <c r="AY214" s="228">
        <v>-120</v>
      </c>
      <c r="AZ214" s="229">
        <v>-0.14380000000000001</v>
      </c>
      <c r="BA214" s="228">
        <v>148</v>
      </c>
      <c r="BB214" s="228">
        <v>132</v>
      </c>
      <c r="BC214" s="228">
        <v>17</v>
      </c>
      <c r="BD214" s="229">
        <v>0.12540000000000001</v>
      </c>
      <c r="BE214" s="228">
        <v>17</v>
      </c>
      <c r="BF214" s="228">
        <v>19</v>
      </c>
      <c r="BG214" s="228">
        <v>-1</v>
      </c>
      <c r="BH214" s="229">
        <v>-7.8E-2</v>
      </c>
      <c r="BI214" s="230">
        <v>3681</v>
      </c>
      <c r="BJ214" s="230">
        <v>4925</v>
      </c>
      <c r="BK214" s="230">
        <v>-1244</v>
      </c>
      <c r="BL214" s="229">
        <v>-0.25259999999999999</v>
      </c>
      <c r="BM214" s="230">
        <v>2560</v>
      </c>
      <c r="BN214" s="230">
        <v>3097</v>
      </c>
      <c r="BO214" s="228">
        <v>-537</v>
      </c>
      <c r="BP214" s="229">
        <v>-0.1734</v>
      </c>
      <c r="BQ214" s="230">
        <v>7122</v>
      </c>
      <c r="BR214" s="230">
        <v>9008</v>
      </c>
      <c r="BS214" s="230">
        <v>-1886</v>
      </c>
      <c r="BT214" s="229">
        <v>-0.2094</v>
      </c>
      <c r="BU214" s="230">
        <v>10545095</v>
      </c>
      <c r="BV214" s="230">
        <v>16003105</v>
      </c>
      <c r="BW214" s="230">
        <v>-5458010</v>
      </c>
      <c r="BX214" s="229">
        <v>-0.34110000000000001</v>
      </c>
      <c r="BY214" s="230">
        <v>4103</v>
      </c>
      <c r="BZ214" s="230">
        <v>4005</v>
      </c>
      <c r="CA214" s="228">
        <v>98</v>
      </c>
      <c r="CB214" s="229">
        <v>2.4400000000000002E-2</v>
      </c>
      <c r="CC214" s="230">
        <v>3844</v>
      </c>
      <c r="CD214" s="230">
        <v>3801</v>
      </c>
      <c r="CE214" s="228">
        <v>44</v>
      </c>
      <c r="CF214" s="229">
        <v>1.15E-2</v>
      </c>
      <c r="CG214" s="228">
        <v>234</v>
      </c>
      <c r="CH214" s="228">
        <v>185</v>
      </c>
      <c r="CI214" s="228">
        <v>50</v>
      </c>
      <c r="CJ214" s="229">
        <v>0.26779999999999998</v>
      </c>
      <c r="CK214" s="228">
        <v>24</v>
      </c>
      <c r="CL214" s="228">
        <v>20</v>
      </c>
      <c r="CM214" s="228">
        <v>4</v>
      </c>
      <c r="CN214" s="229">
        <v>0.2258</v>
      </c>
      <c r="CO214" s="230">
        <v>2456</v>
      </c>
      <c r="CP214" s="230">
        <v>2310</v>
      </c>
      <c r="CQ214" s="228">
        <v>145</v>
      </c>
      <c r="CR214" s="229">
        <v>6.2899999999999998E-2</v>
      </c>
      <c r="CS214" s="230">
        <v>2416</v>
      </c>
      <c r="CT214" s="230">
        <v>2308</v>
      </c>
      <c r="CU214" s="228">
        <v>108</v>
      </c>
      <c r="CV214" s="229">
        <v>4.6699999999999998E-2</v>
      </c>
      <c r="CW214" s="230">
        <v>8974</v>
      </c>
      <c r="CX214" s="230">
        <v>8623</v>
      </c>
      <c r="CY214" s="228">
        <v>351</v>
      </c>
      <c r="CZ214" s="229">
        <v>4.07E-2</v>
      </c>
      <c r="DA214" s="228">
        <v>35.01</v>
      </c>
      <c r="DB214" s="228">
        <v>37.68</v>
      </c>
      <c r="DC214" s="228">
        <v>-2.67</v>
      </c>
      <c r="DD214" s="228">
        <v>-2.67</v>
      </c>
      <c r="DE214" s="228">
        <v>40.81</v>
      </c>
      <c r="DF214" s="228">
        <v>40.909999999999997</v>
      </c>
      <c r="DG214" s="228">
        <v>-5.8</v>
      </c>
      <c r="DH214" s="228">
        <v>-0.1</v>
      </c>
      <c r="DI214" s="228">
        <v>33.619999999999997</v>
      </c>
      <c r="DJ214" s="228">
        <v>36.44</v>
      </c>
      <c r="DK214" s="228">
        <v>-2.82</v>
      </c>
      <c r="DL214" s="228">
        <v>-2.82</v>
      </c>
      <c r="DM214" s="228">
        <v>37.01</v>
      </c>
      <c r="DN214" s="228">
        <v>39.65</v>
      </c>
      <c r="DO214" s="228">
        <v>-2.64</v>
      </c>
      <c r="DP214" s="228">
        <v>-2.64</v>
      </c>
      <c r="DQ214" s="228">
        <v>0.98</v>
      </c>
      <c r="DR214" s="228">
        <v>1</v>
      </c>
      <c r="DS214" s="228">
        <v>-0.02</v>
      </c>
      <c r="DT214" s="229">
        <v>-0.02</v>
      </c>
      <c r="DU214" s="228">
        <v>800</v>
      </c>
      <c r="DV214" s="228">
        <v>700</v>
      </c>
      <c r="DW214" s="228">
        <v>0.7</v>
      </c>
      <c r="DX214" s="228">
        <v>0.63</v>
      </c>
      <c r="DY214" s="228">
        <v>7.0000000000000007E-2</v>
      </c>
      <c r="DZ214" s="229">
        <v>0.1111</v>
      </c>
      <c r="EA214" s="229">
        <v>6.3E-2</v>
      </c>
      <c r="EB214" s="230">
        <v>2594400</v>
      </c>
      <c r="EC214" s="229">
        <v>3.8999999999999998E-3</v>
      </c>
      <c r="ED214" s="229">
        <v>6.3E-2</v>
      </c>
      <c r="EE214" s="228">
        <v>2.21</v>
      </c>
      <c r="EF214" s="229">
        <v>2.8E-3</v>
      </c>
      <c r="EG214" s="230">
        <v>4404559</v>
      </c>
      <c r="EH214" s="230">
        <v>5617606</v>
      </c>
      <c r="EI214" s="229">
        <v>-0.21590000000000001</v>
      </c>
      <c r="EJ214" s="229">
        <v>0.41770000000000002</v>
      </c>
      <c r="EK214" s="231">
        <v>3817.93</v>
      </c>
      <c r="EL214" s="231">
        <v>2451.63</v>
      </c>
      <c r="EM214" s="228">
        <v>876.98</v>
      </c>
      <c r="EN214" s="228">
        <v>111.36</v>
      </c>
      <c r="EO214" s="231">
        <v>7146.54</v>
      </c>
      <c r="EP214" s="231">
        <v>9018.44</v>
      </c>
      <c r="EQ214" s="231">
        <v>-1871.9</v>
      </c>
      <c r="ER214" s="229">
        <v>-0.20760000000000001</v>
      </c>
      <c r="ES214" s="231">
        <v>2370.29</v>
      </c>
      <c r="ET214" s="231">
        <v>2155.9499999999998</v>
      </c>
      <c r="EU214" s="231">
        <v>4103.83</v>
      </c>
      <c r="EV214" s="231">
        <v>255495438</v>
      </c>
      <c r="EW214" s="231">
        <v>8630.08</v>
      </c>
      <c r="EX214" s="231">
        <v>8232.81</v>
      </c>
      <c r="EY214" s="228">
        <v>397.27</v>
      </c>
      <c r="EZ214" s="229">
        <v>4.8300000000000003E-2</v>
      </c>
      <c r="FA214" s="229">
        <v>0.44529999999999997</v>
      </c>
      <c r="FB214" s="227" t="s">
        <v>555</v>
      </c>
      <c r="FC214">
        <f t="shared" si="4"/>
        <v>0</v>
      </c>
    </row>
    <row r="215" spans="1:159" ht="17.25" thickBot="1" x14ac:dyDescent="0.3">
      <c r="A215" s="226">
        <v>46129</v>
      </c>
      <c r="B215" s="227" t="s">
        <v>614</v>
      </c>
      <c r="C215" s="227" t="s">
        <v>697</v>
      </c>
      <c r="D215" s="228">
        <v>4850</v>
      </c>
      <c r="E215" s="228">
        <v>11</v>
      </c>
      <c r="F215" s="228">
        <v>118.85</v>
      </c>
      <c r="G215" s="228">
        <v>117.97</v>
      </c>
      <c r="H215" s="228">
        <v>0.88</v>
      </c>
      <c r="I215" s="229">
        <v>7.4999999999999997E-3</v>
      </c>
      <c r="J215" s="228">
        <v>118.95</v>
      </c>
      <c r="K215" s="228">
        <v>117.55</v>
      </c>
      <c r="L215" s="228">
        <v>1.4</v>
      </c>
      <c r="M215" s="229">
        <v>1.1900000000000001E-2</v>
      </c>
      <c r="N215" s="228">
        <v>118.85</v>
      </c>
      <c r="O215" s="228">
        <v>117.97</v>
      </c>
      <c r="P215" s="228">
        <v>0.88</v>
      </c>
      <c r="Q215" s="229">
        <v>7.4999999999999997E-3</v>
      </c>
      <c r="R215" s="228">
        <v>119.2</v>
      </c>
      <c r="S215" s="228">
        <v>118.23</v>
      </c>
      <c r="T215" s="228">
        <v>0.97</v>
      </c>
      <c r="U215" s="229">
        <v>8.2000000000000007E-3</v>
      </c>
      <c r="V215" s="228">
        <v>118.72</v>
      </c>
      <c r="W215" s="228">
        <v>118.51</v>
      </c>
      <c r="X215" s="228">
        <v>0.21</v>
      </c>
      <c r="Y215" s="229">
        <v>1.8E-3</v>
      </c>
      <c r="Z215" s="228">
        <v>-0.1</v>
      </c>
      <c r="AA215" s="228">
        <v>0.42</v>
      </c>
      <c r="AB215" s="228">
        <v>-0.52</v>
      </c>
      <c r="AC215" s="229">
        <v>-8.0000000000000004E-4</v>
      </c>
      <c r="AD215" s="228">
        <v>-0.1</v>
      </c>
      <c r="AE215" s="228">
        <v>0.42</v>
      </c>
      <c r="AF215" s="228">
        <v>-0.52</v>
      </c>
      <c r="AG215" s="229">
        <v>-8.0000000000000004E-4</v>
      </c>
      <c r="AH215" s="228">
        <v>0.25</v>
      </c>
      <c r="AI215" s="228">
        <v>0.68</v>
      </c>
      <c r="AJ215" s="228">
        <v>-0.43</v>
      </c>
      <c r="AK215" s="229">
        <v>2.0999999999999999E-3</v>
      </c>
      <c r="AL215" s="228">
        <v>-0.23</v>
      </c>
      <c r="AM215" s="228">
        <v>0.96</v>
      </c>
      <c r="AN215" s="228">
        <v>-1.19</v>
      </c>
      <c r="AO215" s="229">
        <v>-1.9E-3</v>
      </c>
      <c r="AP215" s="228">
        <v>118.58</v>
      </c>
      <c r="AQ215" s="228">
        <v>118.99</v>
      </c>
      <c r="AR215" s="228">
        <v>0</v>
      </c>
      <c r="AS215" s="228">
        <v>153</v>
      </c>
      <c r="AT215" s="228">
        <v>51</v>
      </c>
      <c r="AU215" s="228">
        <v>101</v>
      </c>
      <c r="AV215" s="229">
        <v>1.9641999999999999</v>
      </c>
      <c r="AW215" s="228">
        <v>144</v>
      </c>
      <c r="AX215" s="228">
        <v>49</v>
      </c>
      <c r="AY215" s="228">
        <v>95</v>
      </c>
      <c r="AZ215" s="229">
        <v>1.9365000000000001</v>
      </c>
      <c r="BA215" s="228">
        <v>8</v>
      </c>
      <c r="BB215" s="228">
        <v>2</v>
      </c>
      <c r="BC215" s="228">
        <v>6</v>
      </c>
      <c r="BD215" s="229">
        <v>3.4687999999999999</v>
      </c>
      <c r="BE215" s="228">
        <v>0</v>
      </c>
      <c r="BF215" s="228">
        <v>1</v>
      </c>
      <c r="BG215" s="228">
        <v>0</v>
      </c>
      <c r="BH215" s="229">
        <v>-0.5</v>
      </c>
      <c r="BI215" s="228">
        <v>152</v>
      </c>
      <c r="BJ215" s="228">
        <v>27</v>
      </c>
      <c r="BK215" s="228">
        <v>125</v>
      </c>
      <c r="BL215" s="229">
        <v>4.6509999999999998</v>
      </c>
      <c r="BM215" s="228">
        <v>26</v>
      </c>
      <c r="BN215" s="228">
        <v>13</v>
      </c>
      <c r="BO215" s="228">
        <v>14</v>
      </c>
      <c r="BP215" s="229">
        <v>1.0586</v>
      </c>
      <c r="BQ215" s="228">
        <v>331</v>
      </c>
      <c r="BR215" s="228">
        <v>91</v>
      </c>
      <c r="BS215" s="228">
        <v>240</v>
      </c>
      <c r="BT215" s="229">
        <v>2.6301999999999999</v>
      </c>
      <c r="BU215" s="230">
        <v>30756989</v>
      </c>
      <c r="BV215" s="230">
        <v>7881527</v>
      </c>
      <c r="BW215" s="230">
        <v>22875462</v>
      </c>
      <c r="BX215" s="229">
        <v>2.9024000000000001</v>
      </c>
      <c r="BY215" s="228">
        <v>328</v>
      </c>
      <c r="BZ215" s="228">
        <v>277</v>
      </c>
      <c r="CA215" s="228">
        <v>51</v>
      </c>
      <c r="CB215" s="229">
        <v>0.1832</v>
      </c>
      <c r="CC215" s="228">
        <v>318</v>
      </c>
      <c r="CD215" s="228">
        <v>270</v>
      </c>
      <c r="CE215" s="228">
        <v>47</v>
      </c>
      <c r="CF215" s="229">
        <v>0.1757</v>
      </c>
      <c r="CG215" s="228">
        <v>9</v>
      </c>
      <c r="CH215" s="228">
        <v>5</v>
      </c>
      <c r="CI215" s="228">
        <v>3</v>
      </c>
      <c r="CJ215" s="229">
        <v>0.56840000000000002</v>
      </c>
      <c r="CK215" s="228">
        <v>2</v>
      </c>
      <c r="CL215" s="228">
        <v>1</v>
      </c>
      <c r="CM215" s="228">
        <v>0</v>
      </c>
      <c r="CN215" s="229">
        <v>0.1154</v>
      </c>
      <c r="CO215" s="228">
        <v>78</v>
      </c>
      <c r="CP215" s="228">
        <v>65</v>
      </c>
      <c r="CQ215" s="228">
        <v>13</v>
      </c>
      <c r="CR215" s="229">
        <v>0.19450000000000001</v>
      </c>
      <c r="CS215" s="228">
        <v>47</v>
      </c>
      <c r="CT215" s="228">
        <v>46</v>
      </c>
      <c r="CU215" s="228">
        <v>2</v>
      </c>
      <c r="CV215" s="229">
        <v>4.2999999999999997E-2</v>
      </c>
      <c r="CW215" s="228">
        <v>453</v>
      </c>
      <c r="CX215" s="228">
        <v>388</v>
      </c>
      <c r="CY215" s="228">
        <v>65</v>
      </c>
      <c r="CZ215" s="229">
        <v>0.1686</v>
      </c>
      <c r="DA215" s="228">
        <v>41.09</v>
      </c>
      <c r="DB215" s="228">
        <v>46.1</v>
      </c>
      <c r="DC215" s="228">
        <v>-5.01</v>
      </c>
      <c r="DD215" s="228">
        <v>-5.01</v>
      </c>
      <c r="DE215" s="228">
        <v>38.21</v>
      </c>
      <c r="DF215" s="228">
        <v>38.270000000000003</v>
      </c>
      <c r="DG215" s="228">
        <v>2.88</v>
      </c>
      <c r="DH215" s="228">
        <v>-0.06</v>
      </c>
      <c r="DI215" s="228">
        <v>40.96</v>
      </c>
      <c r="DJ215" s="228">
        <v>42.99</v>
      </c>
      <c r="DK215" s="228">
        <v>-2.0299999999999998</v>
      </c>
      <c r="DL215" s="228">
        <v>-2.0299999999999998</v>
      </c>
      <c r="DM215" s="228">
        <v>41.85</v>
      </c>
      <c r="DN215" s="228">
        <v>52.66</v>
      </c>
      <c r="DO215" s="228">
        <v>-10.81</v>
      </c>
      <c r="DP215" s="228">
        <v>-10.81</v>
      </c>
      <c r="DQ215" s="228">
        <v>0.61</v>
      </c>
      <c r="DR215" s="228">
        <v>0.7</v>
      </c>
      <c r="DS215" s="228">
        <v>-0.09</v>
      </c>
      <c r="DT215" s="229">
        <v>-0.12859999999999999</v>
      </c>
      <c r="DU215" s="228">
        <v>120</v>
      </c>
      <c r="DV215" s="228">
        <v>105</v>
      </c>
      <c r="DW215" s="228">
        <v>0.17</v>
      </c>
      <c r="DX215" s="228">
        <v>0.48</v>
      </c>
      <c r="DY215" s="228">
        <v>-0.31</v>
      </c>
      <c r="DZ215" s="229">
        <v>-0.64580000000000004</v>
      </c>
      <c r="EA215" s="229">
        <v>3.1300000000000001E-2</v>
      </c>
      <c r="EB215" s="230">
        <v>586850</v>
      </c>
      <c r="EC215" s="229">
        <v>2.8999999999999998E-3</v>
      </c>
      <c r="ED215" s="229">
        <v>3.1300000000000001E-2</v>
      </c>
      <c r="EE215" s="228">
        <v>0.41</v>
      </c>
      <c r="EF215" s="229">
        <v>3.5000000000000001E-3</v>
      </c>
      <c r="EG215" s="230">
        <v>21281260</v>
      </c>
      <c r="EH215" s="230">
        <v>4221223</v>
      </c>
      <c r="EI215" s="229">
        <v>4.0415000000000001</v>
      </c>
      <c r="EJ215" s="229">
        <v>0.69189999999999996</v>
      </c>
      <c r="EK215" s="228">
        <v>157.93</v>
      </c>
      <c r="EL215" s="228">
        <v>25.74</v>
      </c>
      <c r="EM215" s="228">
        <v>152.25</v>
      </c>
      <c r="EN215" s="228">
        <v>9.57</v>
      </c>
      <c r="EO215" s="228">
        <v>335.93</v>
      </c>
      <c r="EP215" s="228">
        <v>90.34</v>
      </c>
      <c r="EQ215" s="228">
        <v>245.59</v>
      </c>
      <c r="ER215" s="229">
        <v>2.7185000000000001</v>
      </c>
      <c r="ES215" s="228">
        <v>75.17</v>
      </c>
      <c r="ET215" s="228">
        <v>43.35</v>
      </c>
      <c r="EU215" s="228">
        <v>328.07</v>
      </c>
      <c r="EV215" s="231">
        <v>321828727</v>
      </c>
      <c r="EW215" s="228">
        <v>446.59</v>
      </c>
      <c r="EX215" s="228">
        <v>378.57</v>
      </c>
      <c r="EY215" s="228">
        <v>68.02</v>
      </c>
      <c r="EZ215" s="229">
        <v>0.1797</v>
      </c>
      <c r="FA215" s="229">
        <v>0.11849999999999999</v>
      </c>
      <c r="FB215" s="227" t="s">
        <v>555</v>
      </c>
      <c r="FC215">
        <f t="shared" si="4"/>
        <v>0</v>
      </c>
    </row>
    <row r="216" spans="1:159" ht="17.25" thickBot="1" x14ac:dyDescent="0.3">
      <c r="A216" s="226">
        <v>46129</v>
      </c>
      <c r="B216" s="227" t="s">
        <v>184</v>
      </c>
      <c r="C216" s="227" t="s">
        <v>305</v>
      </c>
      <c r="D216" s="228">
        <v>375</v>
      </c>
      <c r="E216" s="228">
        <v>11</v>
      </c>
      <c r="F216" s="231">
        <v>1441.5</v>
      </c>
      <c r="G216" s="231">
        <v>1408.8</v>
      </c>
      <c r="H216" s="228">
        <v>32.700000000000003</v>
      </c>
      <c r="I216" s="229">
        <v>2.3199999999999998E-2</v>
      </c>
      <c r="J216" s="231">
        <v>1440.1</v>
      </c>
      <c r="K216" s="231">
        <v>1408.8</v>
      </c>
      <c r="L216" s="228">
        <v>31.3</v>
      </c>
      <c r="M216" s="229">
        <v>2.2200000000000001E-2</v>
      </c>
      <c r="N216" s="231">
        <v>1441.5</v>
      </c>
      <c r="O216" s="231">
        <v>1408.8</v>
      </c>
      <c r="P216" s="228">
        <v>32.700000000000003</v>
      </c>
      <c r="Q216" s="229">
        <v>2.3199999999999998E-2</v>
      </c>
      <c r="R216" s="231">
        <v>1418.7</v>
      </c>
      <c r="S216" s="231">
        <v>1386.9</v>
      </c>
      <c r="T216" s="228">
        <v>31.8</v>
      </c>
      <c r="U216" s="229">
        <v>2.29E-2</v>
      </c>
      <c r="V216" s="231">
        <v>1395.1</v>
      </c>
      <c r="W216" s="231">
        <v>1368.3</v>
      </c>
      <c r="X216" s="228">
        <v>26.8</v>
      </c>
      <c r="Y216" s="229">
        <v>1.9599999999999999E-2</v>
      </c>
      <c r="Z216" s="228">
        <v>1.4</v>
      </c>
      <c r="AA216" s="228">
        <v>0</v>
      </c>
      <c r="AB216" s="228">
        <v>1.4</v>
      </c>
      <c r="AC216" s="229">
        <v>1E-3</v>
      </c>
      <c r="AD216" s="228">
        <v>1.4</v>
      </c>
      <c r="AE216" s="228">
        <v>0</v>
      </c>
      <c r="AF216" s="228">
        <v>1.4</v>
      </c>
      <c r="AG216" s="229">
        <v>1E-3</v>
      </c>
      <c r="AH216" s="228">
        <v>-21.4</v>
      </c>
      <c r="AI216" s="228">
        <v>-21.9</v>
      </c>
      <c r="AJ216" s="228">
        <v>0.5</v>
      </c>
      <c r="AK216" s="229">
        <v>-1.49E-2</v>
      </c>
      <c r="AL216" s="228">
        <v>-45</v>
      </c>
      <c r="AM216" s="228">
        <v>-40.5</v>
      </c>
      <c r="AN216" s="228">
        <v>-4.5</v>
      </c>
      <c r="AO216" s="229">
        <v>-3.1199999999999999E-2</v>
      </c>
      <c r="AP216" s="231">
        <v>1424.05</v>
      </c>
      <c r="AQ216" s="231">
        <v>1401.45</v>
      </c>
      <c r="AR216" s="228">
        <v>0</v>
      </c>
      <c r="AS216" s="228">
        <v>274</v>
      </c>
      <c r="AT216" s="228">
        <v>314</v>
      </c>
      <c r="AU216" s="228">
        <v>-40</v>
      </c>
      <c r="AV216" s="229">
        <v>-0.1283</v>
      </c>
      <c r="AW216" s="228">
        <v>217</v>
      </c>
      <c r="AX216" s="228">
        <v>242</v>
      </c>
      <c r="AY216" s="228">
        <v>-24</v>
      </c>
      <c r="AZ216" s="229">
        <v>-0.1012</v>
      </c>
      <c r="BA216" s="228">
        <v>52</v>
      </c>
      <c r="BB216" s="228">
        <v>66</v>
      </c>
      <c r="BC216" s="228">
        <v>-13</v>
      </c>
      <c r="BD216" s="229">
        <v>-0.20150000000000001</v>
      </c>
      <c r="BE216" s="228">
        <v>4</v>
      </c>
      <c r="BF216" s="228">
        <v>6</v>
      </c>
      <c r="BG216" s="228">
        <v>-3</v>
      </c>
      <c r="BH216" s="229">
        <v>-0.4017</v>
      </c>
      <c r="BI216" s="230">
        <v>1248</v>
      </c>
      <c r="BJ216" s="230">
        <v>1051</v>
      </c>
      <c r="BK216" s="228">
        <v>197</v>
      </c>
      <c r="BL216" s="229">
        <v>0.18770000000000001</v>
      </c>
      <c r="BM216" s="228">
        <v>644</v>
      </c>
      <c r="BN216" s="228">
        <v>545</v>
      </c>
      <c r="BO216" s="228">
        <v>98</v>
      </c>
      <c r="BP216" s="229">
        <v>0.1804</v>
      </c>
      <c r="BQ216" s="230">
        <v>2165</v>
      </c>
      <c r="BR216" s="230">
        <v>1910</v>
      </c>
      <c r="BS216" s="228">
        <v>255</v>
      </c>
      <c r="BT216" s="229">
        <v>0.13370000000000001</v>
      </c>
      <c r="BU216" s="230">
        <v>1311372</v>
      </c>
      <c r="BV216" s="230">
        <v>1343158</v>
      </c>
      <c r="BW216" s="230">
        <v>-31786</v>
      </c>
      <c r="BX216" s="229">
        <v>-2.3699999999999999E-2</v>
      </c>
      <c r="BY216" s="230">
        <v>1779</v>
      </c>
      <c r="BZ216" s="230">
        <v>1770</v>
      </c>
      <c r="CA216" s="228">
        <v>9</v>
      </c>
      <c r="CB216" s="229">
        <v>5.0000000000000001E-3</v>
      </c>
      <c r="CC216" s="230">
        <v>1540</v>
      </c>
      <c r="CD216" s="230">
        <v>1543</v>
      </c>
      <c r="CE216" s="228">
        <v>-3</v>
      </c>
      <c r="CF216" s="229">
        <v>-1.8E-3</v>
      </c>
      <c r="CG216" s="228">
        <v>225</v>
      </c>
      <c r="CH216" s="228">
        <v>213</v>
      </c>
      <c r="CI216" s="228">
        <v>13</v>
      </c>
      <c r="CJ216" s="229">
        <v>5.8999999999999997E-2</v>
      </c>
      <c r="CK216" s="228">
        <v>14</v>
      </c>
      <c r="CL216" s="228">
        <v>15</v>
      </c>
      <c r="CM216" s="228">
        <v>-1</v>
      </c>
      <c r="CN216" s="229">
        <v>-5.7599999999999998E-2</v>
      </c>
      <c r="CO216" s="228">
        <v>617</v>
      </c>
      <c r="CP216" s="228">
        <v>680</v>
      </c>
      <c r="CQ216" s="228">
        <v>-63</v>
      </c>
      <c r="CR216" s="229">
        <v>-9.3299999999999994E-2</v>
      </c>
      <c r="CS216" s="228">
        <v>583</v>
      </c>
      <c r="CT216" s="228">
        <v>535</v>
      </c>
      <c r="CU216" s="228">
        <v>48</v>
      </c>
      <c r="CV216" s="229">
        <v>8.9800000000000005E-2</v>
      </c>
      <c r="CW216" s="230">
        <v>2979</v>
      </c>
      <c r="CX216" s="230">
        <v>2986</v>
      </c>
      <c r="CY216" s="228">
        <v>-7</v>
      </c>
      <c r="CZ216" s="229">
        <v>-2.2000000000000001E-3</v>
      </c>
      <c r="DA216" s="228">
        <v>38.28</v>
      </c>
      <c r="DB216" s="228">
        <v>39.65</v>
      </c>
      <c r="DC216" s="228">
        <v>-1.37</v>
      </c>
      <c r="DD216" s="228">
        <v>-1.37</v>
      </c>
      <c r="DE216" s="228">
        <v>40.090000000000003</v>
      </c>
      <c r="DF216" s="228">
        <v>40.07</v>
      </c>
      <c r="DG216" s="228">
        <v>-1.81</v>
      </c>
      <c r="DH216" s="228">
        <v>0.02</v>
      </c>
      <c r="DI216" s="228">
        <v>36.049999999999997</v>
      </c>
      <c r="DJ216" s="228">
        <v>38.020000000000003</v>
      </c>
      <c r="DK216" s="228">
        <v>-1.97</v>
      </c>
      <c r="DL216" s="228">
        <v>-1.97</v>
      </c>
      <c r="DM216" s="228">
        <v>42.58</v>
      </c>
      <c r="DN216" s="228">
        <v>42.78</v>
      </c>
      <c r="DO216" s="228">
        <v>-0.2</v>
      </c>
      <c r="DP216" s="228">
        <v>-0.2</v>
      </c>
      <c r="DQ216" s="228">
        <v>0.95</v>
      </c>
      <c r="DR216" s="228">
        <v>0.79</v>
      </c>
      <c r="DS216" s="228">
        <v>0.16</v>
      </c>
      <c r="DT216" s="229">
        <v>0.20250000000000001</v>
      </c>
      <c r="DU216" s="231">
        <v>1300</v>
      </c>
      <c r="DV216" s="231">
        <v>1200</v>
      </c>
      <c r="DW216" s="228">
        <v>0.52</v>
      </c>
      <c r="DX216" s="228">
        <v>0.52</v>
      </c>
      <c r="DY216" s="228">
        <v>0</v>
      </c>
      <c r="DZ216" s="229">
        <v>0</v>
      </c>
      <c r="EA216" s="229">
        <v>0.13450000000000001</v>
      </c>
      <c r="EB216" s="230">
        <v>1578750</v>
      </c>
      <c r="EC216" s="229">
        <v>-1.5800000000000002E-2</v>
      </c>
      <c r="ED216" s="229">
        <v>0.13450000000000001</v>
      </c>
      <c r="EE216" s="228">
        <v>-22.6</v>
      </c>
      <c r="EF216" s="229">
        <v>-1.5900000000000001E-2</v>
      </c>
      <c r="EG216" s="230">
        <v>743127</v>
      </c>
      <c r="EH216" s="230">
        <v>564430</v>
      </c>
      <c r="EI216" s="229">
        <v>0.31659999999999999</v>
      </c>
      <c r="EJ216" s="229">
        <v>0.56669999999999998</v>
      </c>
      <c r="EK216" s="231">
        <v>1288.1099999999999</v>
      </c>
      <c r="EL216" s="228">
        <v>612.71</v>
      </c>
      <c r="EM216" s="228">
        <v>269.45</v>
      </c>
      <c r="EN216" s="228">
        <v>88.27</v>
      </c>
      <c r="EO216" s="231">
        <v>2170.27</v>
      </c>
      <c r="EP216" s="231">
        <v>1893.82</v>
      </c>
      <c r="EQ216" s="228">
        <v>276.45999999999998</v>
      </c>
      <c r="ER216" s="229">
        <v>0.14599999999999999</v>
      </c>
      <c r="ES216" s="228">
        <v>603.59</v>
      </c>
      <c r="ET216" s="228">
        <v>515.85</v>
      </c>
      <c r="EU216" s="231">
        <v>1775.08</v>
      </c>
      <c r="EV216" s="231">
        <v>25134629</v>
      </c>
      <c r="EW216" s="231">
        <v>2894.52</v>
      </c>
      <c r="EX216" s="231">
        <v>2864.27</v>
      </c>
      <c r="EY216" s="228">
        <v>30.25</v>
      </c>
      <c r="EZ216" s="229">
        <v>1.06E-2</v>
      </c>
      <c r="FA216" s="229">
        <v>0.82230000000000003</v>
      </c>
      <c r="FB216" s="227" t="s">
        <v>555</v>
      </c>
      <c r="FC216">
        <f t="shared" si="4"/>
        <v>0</v>
      </c>
    </row>
    <row r="217" spans="1:159" ht="17.25" thickBot="1" x14ac:dyDescent="0.3">
      <c r="A217" s="226">
        <v>46129</v>
      </c>
      <c r="B217" s="227" t="s">
        <v>184</v>
      </c>
      <c r="C217" s="227" t="s">
        <v>690</v>
      </c>
      <c r="D217" s="228">
        <v>175</v>
      </c>
      <c r="E217" s="228">
        <v>11</v>
      </c>
      <c r="F217" s="231">
        <v>3470.3</v>
      </c>
      <c r="G217" s="231">
        <v>3450.9</v>
      </c>
      <c r="H217" s="228">
        <v>19.399999999999999</v>
      </c>
      <c r="I217" s="229">
        <v>5.5999999999999999E-3</v>
      </c>
      <c r="J217" s="231">
        <v>3466.2</v>
      </c>
      <c r="K217" s="231">
        <v>3438.8</v>
      </c>
      <c r="L217" s="228">
        <v>27.4</v>
      </c>
      <c r="M217" s="229">
        <v>8.0000000000000002E-3</v>
      </c>
      <c r="N217" s="231">
        <v>3470.3</v>
      </c>
      <c r="O217" s="231">
        <v>3450.9</v>
      </c>
      <c r="P217" s="228">
        <v>19.399999999999999</v>
      </c>
      <c r="Q217" s="229">
        <v>5.5999999999999999E-3</v>
      </c>
      <c r="R217" s="231">
        <v>3483.9</v>
      </c>
      <c r="S217" s="231">
        <v>3467.6</v>
      </c>
      <c r="T217" s="228">
        <v>16.3</v>
      </c>
      <c r="U217" s="229">
        <v>4.7000000000000002E-3</v>
      </c>
      <c r="V217" s="231">
        <v>3512.6</v>
      </c>
      <c r="W217" s="231">
        <v>3482.6</v>
      </c>
      <c r="X217" s="228">
        <v>30</v>
      </c>
      <c r="Y217" s="229">
        <v>8.6E-3</v>
      </c>
      <c r="Z217" s="228">
        <v>4.0999999999999996</v>
      </c>
      <c r="AA217" s="228">
        <v>12.1</v>
      </c>
      <c r="AB217" s="228">
        <v>-8</v>
      </c>
      <c r="AC217" s="229">
        <v>1.1999999999999999E-3</v>
      </c>
      <c r="AD217" s="228">
        <v>4.0999999999999996</v>
      </c>
      <c r="AE217" s="228">
        <v>12.1</v>
      </c>
      <c r="AF217" s="228">
        <v>-8</v>
      </c>
      <c r="AG217" s="229">
        <v>1.1999999999999999E-3</v>
      </c>
      <c r="AH217" s="228">
        <v>17.7</v>
      </c>
      <c r="AI217" s="228">
        <v>28.8</v>
      </c>
      <c r="AJ217" s="228">
        <v>-11.1</v>
      </c>
      <c r="AK217" s="229">
        <v>5.1000000000000004E-3</v>
      </c>
      <c r="AL217" s="228">
        <v>46.4</v>
      </c>
      <c r="AM217" s="228">
        <v>43.8</v>
      </c>
      <c r="AN217" s="228">
        <v>2.6</v>
      </c>
      <c r="AO217" s="229">
        <v>1.34E-2</v>
      </c>
      <c r="AP217" s="231">
        <v>3481</v>
      </c>
      <c r="AQ217" s="231">
        <v>3503.23</v>
      </c>
      <c r="AR217" s="228">
        <v>0</v>
      </c>
      <c r="AS217" s="228">
        <v>663</v>
      </c>
      <c r="AT217" s="228">
        <v>310</v>
      </c>
      <c r="AU217" s="228">
        <v>353</v>
      </c>
      <c r="AV217" s="229">
        <v>1.1374</v>
      </c>
      <c r="AW217" s="228">
        <v>570</v>
      </c>
      <c r="AX217" s="228">
        <v>256</v>
      </c>
      <c r="AY217" s="228">
        <v>314</v>
      </c>
      <c r="AZ217" s="229">
        <v>1.2256</v>
      </c>
      <c r="BA217" s="228">
        <v>88</v>
      </c>
      <c r="BB217" s="228">
        <v>51</v>
      </c>
      <c r="BC217" s="228">
        <v>36</v>
      </c>
      <c r="BD217" s="229">
        <v>0.71120000000000005</v>
      </c>
      <c r="BE217" s="228">
        <v>5</v>
      </c>
      <c r="BF217" s="228">
        <v>3</v>
      </c>
      <c r="BG217" s="228">
        <v>2</v>
      </c>
      <c r="BH217" s="229">
        <v>0.86670000000000003</v>
      </c>
      <c r="BI217" s="230">
        <v>2437</v>
      </c>
      <c r="BJ217" s="230">
        <v>1098</v>
      </c>
      <c r="BK217" s="230">
        <v>1339</v>
      </c>
      <c r="BL217" s="229">
        <v>1.2202</v>
      </c>
      <c r="BM217" s="230">
        <v>1205</v>
      </c>
      <c r="BN217" s="228">
        <v>793</v>
      </c>
      <c r="BO217" s="228">
        <v>412</v>
      </c>
      <c r="BP217" s="229">
        <v>0.51929999999999998</v>
      </c>
      <c r="BQ217" s="230">
        <v>4305</v>
      </c>
      <c r="BR217" s="230">
        <v>2201</v>
      </c>
      <c r="BS217" s="230">
        <v>2104</v>
      </c>
      <c r="BT217" s="229">
        <v>0.95599999999999996</v>
      </c>
      <c r="BU217" s="230">
        <v>3722006</v>
      </c>
      <c r="BV217" s="230">
        <v>1227960</v>
      </c>
      <c r="BW217" s="230">
        <v>2494046</v>
      </c>
      <c r="BX217" s="229">
        <v>2.0310000000000001</v>
      </c>
      <c r="BY217" s="230">
        <v>1662</v>
      </c>
      <c r="BZ217" s="230">
        <v>1695</v>
      </c>
      <c r="CA217" s="228">
        <v>-33</v>
      </c>
      <c r="CB217" s="229">
        <v>-1.9599999999999999E-2</v>
      </c>
      <c r="CC217" s="230">
        <v>1526</v>
      </c>
      <c r="CD217" s="230">
        <v>1596</v>
      </c>
      <c r="CE217" s="228">
        <v>-71</v>
      </c>
      <c r="CF217" s="229">
        <v>-4.4299999999999999E-2</v>
      </c>
      <c r="CG217" s="228">
        <v>129</v>
      </c>
      <c r="CH217" s="228">
        <v>94</v>
      </c>
      <c r="CI217" s="228">
        <v>35</v>
      </c>
      <c r="CJ217" s="229">
        <v>0.36909999999999998</v>
      </c>
      <c r="CK217" s="228">
        <v>7</v>
      </c>
      <c r="CL217" s="228">
        <v>4</v>
      </c>
      <c r="CM217" s="228">
        <v>3</v>
      </c>
      <c r="CN217" s="229">
        <v>0.64180000000000004</v>
      </c>
      <c r="CO217" s="228">
        <v>744</v>
      </c>
      <c r="CP217" s="228">
        <v>721</v>
      </c>
      <c r="CQ217" s="228">
        <v>23</v>
      </c>
      <c r="CR217" s="229">
        <v>3.2500000000000001E-2</v>
      </c>
      <c r="CS217" s="228">
        <v>548</v>
      </c>
      <c r="CT217" s="228">
        <v>589</v>
      </c>
      <c r="CU217" s="228">
        <v>-41</v>
      </c>
      <c r="CV217" s="229">
        <v>-6.9699999999999998E-2</v>
      </c>
      <c r="CW217" s="230">
        <v>2953</v>
      </c>
      <c r="CX217" s="230">
        <v>3004</v>
      </c>
      <c r="CY217" s="228">
        <v>-51</v>
      </c>
      <c r="CZ217" s="229">
        <v>-1.6899999999999998E-2</v>
      </c>
      <c r="DA217" s="228">
        <v>40.770000000000003</v>
      </c>
      <c r="DB217" s="228">
        <v>44.02</v>
      </c>
      <c r="DC217" s="228">
        <v>-3.25</v>
      </c>
      <c r="DD217" s="228">
        <v>-3.25</v>
      </c>
      <c r="DE217" s="228">
        <v>52.87</v>
      </c>
      <c r="DF217" s="228">
        <v>52.99</v>
      </c>
      <c r="DG217" s="228">
        <v>-12.1</v>
      </c>
      <c r="DH217" s="228">
        <v>-0.12</v>
      </c>
      <c r="DI217" s="228">
        <v>38.04</v>
      </c>
      <c r="DJ217" s="228">
        <v>41.05</v>
      </c>
      <c r="DK217" s="228">
        <v>-3.01</v>
      </c>
      <c r="DL217" s="228">
        <v>-3.01</v>
      </c>
      <c r="DM217" s="228">
        <v>46.3</v>
      </c>
      <c r="DN217" s="228">
        <v>48.14</v>
      </c>
      <c r="DO217" s="228">
        <v>-1.84</v>
      </c>
      <c r="DP217" s="228">
        <v>-1.84</v>
      </c>
      <c r="DQ217" s="228">
        <v>0.74</v>
      </c>
      <c r="DR217" s="228">
        <v>0.82</v>
      </c>
      <c r="DS217" s="228">
        <v>-0.08</v>
      </c>
      <c r="DT217" s="229">
        <v>-9.7600000000000006E-2</v>
      </c>
      <c r="DU217" s="231">
        <v>3500</v>
      </c>
      <c r="DV217" s="231">
        <v>3500</v>
      </c>
      <c r="DW217" s="228">
        <v>0.49</v>
      </c>
      <c r="DX217" s="228">
        <v>0.72</v>
      </c>
      <c r="DY217" s="228">
        <v>-0.23</v>
      </c>
      <c r="DZ217" s="229">
        <v>-0.31940000000000002</v>
      </c>
      <c r="EA217" s="229">
        <v>8.1799999999999998E-2</v>
      </c>
      <c r="EB217" s="230">
        <v>283850</v>
      </c>
      <c r="EC217" s="229">
        <v>3.8999999999999998E-3</v>
      </c>
      <c r="ED217" s="229">
        <v>8.1799999999999998E-2</v>
      </c>
      <c r="EE217" s="228">
        <v>22.23</v>
      </c>
      <c r="EF217" s="229">
        <v>6.4000000000000003E-3</v>
      </c>
      <c r="EG217" s="230">
        <v>1930884</v>
      </c>
      <c r="EH217" s="230">
        <v>316945</v>
      </c>
      <c r="EI217" s="229">
        <v>5.0922000000000001</v>
      </c>
      <c r="EJ217" s="229">
        <v>0.51880000000000004</v>
      </c>
      <c r="EK217" s="231">
        <v>2558.36</v>
      </c>
      <c r="EL217" s="231">
        <v>1131.06</v>
      </c>
      <c r="EM217" s="228">
        <v>665.85</v>
      </c>
      <c r="EN217" s="228">
        <v>81.77</v>
      </c>
      <c r="EO217" s="231">
        <v>4355.2700000000004</v>
      </c>
      <c r="EP217" s="231">
        <v>2169.7199999999998</v>
      </c>
      <c r="EQ217" s="231">
        <v>2185.5500000000002</v>
      </c>
      <c r="ER217" s="229">
        <v>1.0073000000000001</v>
      </c>
      <c r="ES217" s="228">
        <v>743.31</v>
      </c>
      <c r="ET217" s="228">
        <v>507.93</v>
      </c>
      <c r="EU217" s="231">
        <v>1662.17</v>
      </c>
      <c r="EV217" s="231">
        <v>15436318</v>
      </c>
      <c r="EW217" s="231">
        <v>2913.41</v>
      </c>
      <c r="EX217" s="231">
        <v>2943.26</v>
      </c>
      <c r="EY217" s="228">
        <v>-29.85</v>
      </c>
      <c r="EZ217" s="229">
        <v>-1.01E-2</v>
      </c>
      <c r="FA217" s="229">
        <v>0.55130000000000001</v>
      </c>
      <c r="FB217" s="227" t="s">
        <v>693</v>
      </c>
      <c r="FC217">
        <f t="shared" si="4"/>
        <v>0</v>
      </c>
    </row>
    <row r="218" spans="1:159" ht="17.25" thickBot="1" x14ac:dyDescent="0.3">
      <c r="A218" s="226">
        <v>46129</v>
      </c>
      <c r="B218" s="227" t="s">
        <v>221</v>
      </c>
      <c r="C218" s="227" t="s">
        <v>306</v>
      </c>
      <c r="D218" s="228">
        <v>3000</v>
      </c>
      <c r="E218" s="228">
        <v>11</v>
      </c>
      <c r="F218" s="228">
        <v>202.37</v>
      </c>
      <c r="G218" s="228">
        <v>204.81</v>
      </c>
      <c r="H218" s="228">
        <v>-2.44</v>
      </c>
      <c r="I218" s="229">
        <v>-1.1900000000000001E-2</v>
      </c>
      <c r="J218" s="228">
        <v>204.32</v>
      </c>
      <c r="K218" s="228">
        <v>210.26</v>
      </c>
      <c r="L218" s="228">
        <v>-5.94</v>
      </c>
      <c r="M218" s="229">
        <v>-2.8299999999999999E-2</v>
      </c>
      <c r="N218" s="228">
        <v>202.37</v>
      </c>
      <c r="O218" s="228">
        <v>204.81</v>
      </c>
      <c r="P218" s="228">
        <v>-2.44</v>
      </c>
      <c r="Q218" s="229">
        <v>-1.1900000000000001E-2</v>
      </c>
      <c r="R218" s="228">
        <v>199.72</v>
      </c>
      <c r="S218" s="228">
        <v>202.34</v>
      </c>
      <c r="T218" s="228">
        <v>-2.62</v>
      </c>
      <c r="U218" s="229">
        <v>-1.29E-2</v>
      </c>
      <c r="V218" s="228">
        <v>197.36</v>
      </c>
      <c r="W218" s="228">
        <v>200.58</v>
      </c>
      <c r="X218" s="228">
        <v>-3.22</v>
      </c>
      <c r="Y218" s="229">
        <v>-1.61E-2</v>
      </c>
      <c r="Z218" s="228">
        <v>-1.95</v>
      </c>
      <c r="AA218" s="228">
        <v>-5.45</v>
      </c>
      <c r="AB218" s="228">
        <v>3.5</v>
      </c>
      <c r="AC218" s="229">
        <v>-9.4999999999999998E-3</v>
      </c>
      <c r="AD218" s="228">
        <v>-1.95</v>
      </c>
      <c r="AE218" s="228">
        <v>-5.45</v>
      </c>
      <c r="AF218" s="228">
        <v>3.5</v>
      </c>
      <c r="AG218" s="229">
        <v>-9.4999999999999998E-3</v>
      </c>
      <c r="AH218" s="228">
        <v>-4.5999999999999996</v>
      </c>
      <c r="AI218" s="228">
        <v>-7.92</v>
      </c>
      <c r="AJ218" s="228">
        <v>3.32</v>
      </c>
      <c r="AK218" s="229">
        <v>-2.2499999999999999E-2</v>
      </c>
      <c r="AL218" s="228">
        <v>-6.96</v>
      </c>
      <c r="AM218" s="228">
        <v>-9.68</v>
      </c>
      <c r="AN218" s="228">
        <v>2.72</v>
      </c>
      <c r="AO218" s="229">
        <v>-3.4099999999999998E-2</v>
      </c>
      <c r="AP218" s="228">
        <v>200.22</v>
      </c>
      <c r="AQ218" s="228">
        <v>197.51</v>
      </c>
      <c r="AR218" s="228">
        <v>0</v>
      </c>
      <c r="AS218" s="230">
        <v>2309</v>
      </c>
      <c r="AT218" s="230">
        <v>1331</v>
      </c>
      <c r="AU218" s="228">
        <v>978</v>
      </c>
      <c r="AV218" s="229">
        <v>0.73450000000000004</v>
      </c>
      <c r="AW218" s="230">
        <v>1543</v>
      </c>
      <c r="AX218" s="228">
        <v>977</v>
      </c>
      <c r="AY218" s="228">
        <v>566</v>
      </c>
      <c r="AZ218" s="229">
        <v>0.57879999999999998</v>
      </c>
      <c r="BA218" s="228">
        <v>640</v>
      </c>
      <c r="BB218" s="228">
        <v>303</v>
      </c>
      <c r="BC218" s="228">
        <v>337</v>
      </c>
      <c r="BD218" s="229">
        <v>1.1101000000000001</v>
      </c>
      <c r="BE218" s="228">
        <v>126</v>
      </c>
      <c r="BF218" s="228">
        <v>50</v>
      </c>
      <c r="BG218" s="228">
        <v>75</v>
      </c>
      <c r="BH218" s="229">
        <v>1.494</v>
      </c>
      <c r="BI218" s="230">
        <v>9146</v>
      </c>
      <c r="BJ218" s="230">
        <v>5114</v>
      </c>
      <c r="BK218" s="230">
        <v>4032</v>
      </c>
      <c r="BL218" s="229">
        <v>0.78839999999999999</v>
      </c>
      <c r="BM218" s="230">
        <v>4715</v>
      </c>
      <c r="BN218" s="230">
        <v>2252</v>
      </c>
      <c r="BO218" s="230">
        <v>2464</v>
      </c>
      <c r="BP218" s="229">
        <v>1.0942000000000001</v>
      </c>
      <c r="BQ218" s="230">
        <v>16170</v>
      </c>
      <c r="BR218" s="230">
        <v>8697</v>
      </c>
      <c r="BS218" s="230">
        <v>7473</v>
      </c>
      <c r="BT218" s="229">
        <v>0.85929999999999995</v>
      </c>
      <c r="BU218" s="230">
        <v>84058228</v>
      </c>
      <c r="BV218" s="230">
        <v>38497660</v>
      </c>
      <c r="BW218" s="230">
        <v>45560568</v>
      </c>
      <c r="BX218" s="229">
        <v>1.1835</v>
      </c>
      <c r="BY218" s="230">
        <v>6513</v>
      </c>
      <c r="BZ218" s="230">
        <v>5791</v>
      </c>
      <c r="CA218" s="228">
        <v>723</v>
      </c>
      <c r="CB218" s="229">
        <v>0.12479999999999999</v>
      </c>
      <c r="CC218" s="230">
        <v>5063</v>
      </c>
      <c r="CD218" s="230">
        <v>4689</v>
      </c>
      <c r="CE218" s="228">
        <v>374</v>
      </c>
      <c r="CF218" s="229">
        <v>7.9799999999999996E-2</v>
      </c>
      <c r="CG218" s="230">
        <v>1269</v>
      </c>
      <c r="CH218" s="228">
        <v>986</v>
      </c>
      <c r="CI218" s="228">
        <v>283</v>
      </c>
      <c r="CJ218" s="229">
        <v>0.28699999999999998</v>
      </c>
      <c r="CK218" s="228">
        <v>181</v>
      </c>
      <c r="CL218" s="228">
        <v>115</v>
      </c>
      <c r="CM218" s="228">
        <v>66</v>
      </c>
      <c r="CN218" s="229">
        <v>0.56840000000000002</v>
      </c>
      <c r="CO218" s="230">
        <v>3445</v>
      </c>
      <c r="CP218" s="230">
        <v>2763</v>
      </c>
      <c r="CQ218" s="228">
        <v>682</v>
      </c>
      <c r="CR218" s="229">
        <v>0.24690000000000001</v>
      </c>
      <c r="CS218" s="230">
        <v>1691</v>
      </c>
      <c r="CT218" s="230">
        <v>1410</v>
      </c>
      <c r="CU218" s="228">
        <v>281</v>
      </c>
      <c r="CV218" s="229">
        <v>0.19939999999999999</v>
      </c>
      <c r="CW218" s="230">
        <v>11649</v>
      </c>
      <c r="CX218" s="230">
        <v>9964</v>
      </c>
      <c r="CY218" s="230">
        <v>1686</v>
      </c>
      <c r="CZ218" s="229">
        <v>0.16919999999999999</v>
      </c>
      <c r="DA218" s="228">
        <v>29.24</v>
      </c>
      <c r="DB218" s="228">
        <v>41.26</v>
      </c>
      <c r="DC218" s="228">
        <v>-12.02</v>
      </c>
      <c r="DD218" s="228">
        <v>-12.02</v>
      </c>
      <c r="DE218" s="228">
        <v>31.49</v>
      </c>
      <c r="DF218" s="228">
        <v>31.34</v>
      </c>
      <c r="DG218" s="228">
        <v>-2.25</v>
      </c>
      <c r="DH218" s="228">
        <v>0.15</v>
      </c>
      <c r="DI218" s="228">
        <v>29.66</v>
      </c>
      <c r="DJ218" s="228">
        <v>41.81</v>
      </c>
      <c r="DK218" s="228">
        <v>-12.15</v>
      </c>
      <c r="DL218" s="228">
        <v>-12.15</v>
      </c>
      <c r="DM218" s="228">
        <v>28.43</v>
      </c>
      <c r="DN218" s="228">
        <v>40.020000000000003</v>
      </c>
      <c r="DO218" s="228">
        <v>-11.59</v>
      </c>
      <c r="DP218" s="228">
        <v>-11.59</v>
      </c>
      <c r="DQ218" s="228">
        <v>0.49</v>
      </c>
      <c r="DR218" s="228">
        <v>0.51</v>
      </c>
      <c r="DS218" s="228">
        <v>-0.02</v>
      </c>
      <c r="DT218" s="229">
        <v>-3.9199999999999999E-2</v>
      </c>
      <c r="DU218" s="228">
        <v>210</v>
      </c>
      <c r="DV218" s="228">
        <v>200</v>
      </c>
      <c r="DW218" s="228">
        <v>0.52</v>
      </c>
      <c r="DX218" s="228">
        <v>0.44</v>
      </c>
      <c r="DY218" s="228">
        <v>0.08</v>
      </c>
      <c r="DZ218" s="229">
        <v>0.18179999999999999</v>
      </c>
      <c r="EA218" s="229">
        <v>0.22259999999999999</v>
      </c>
      <c r="EB218" s="230">
        <v>54426000</v>
      </c>
      <c r="EC218" s="229">
        <v>-1.3100000000000001E-2</v>
      </c>
      <c r="ED218" s="229">
        <v>0.22259999999999999</v>
      </c>
      <c r="EE218" s="228">
        <v>-2.71</v>
      </c>
      <c r="EF218" s="229">
        <v>-1.35E-2</v>
      </c>
      <c r="EG218" s="230">
        <v>40969364</v>
      </c>
      <c r="EH218" s="230">
        <v>18174433</v>
      </c>
      <c r="EI218" s="229">
        <v>1.2542</v>
      </c>
      <c r="EJ218" s="229">
        <v>0.4874</v>
      </c>
      <c r="EK218" s="231">
        <v>9659.48</v>
      </c>
      <c r="EL218" s="231">
        <v>4684.41</v>
      </c>
      <c r="EM218" s="231">
        <v>2272.94</v>
      </c>
      <c r="EN218" s="228">
        <v>218.29</v>
      </c>
      <c r="EO218" s="231">
        <v>16616.830000000002</v>
      </c>
      <c r="EP218" s="231">
        <v>9151.76</v>
      </c>
      <c r="EQ218" s="231">
        <v>7465.07</v>
      </c>
      <c r="ER218" s="229">
        <v>0.81569999999999998</v>
      </c>
      <c r="ES218" s="231">
        <v>3646.62</v>
      </c>
      <c r="ET218" s="231">
        <v>1646.34</v>
      </c>
      <c r="EU218" s="231">
        <v>6492.28</v>
      </c>
      <c r="EV218" s="231">
        <v>428710078</v>
      </c>
      <c r="EW218" s="231">
        <v>11785.24</v>
      </c>
      <c r="EX218" s="231">
        <v>10155.66</v>
      </c>
      <c r="EY218" s="231">
        <v>1629.58</v>
      </c>
      <c r="EZ218" s="229">
        <v>0.1605</v>
      </c>
      <c r="FA218" s="229">
        <v>1.3428</v>
      </c>
      <c r="FB218" s="227" t="s">
        <v>566</v>
      </c>
      <c r="FC218">
        <f t="shared" si="4"/>
        <v>0</v>
      </c>
    </row>
    <row r="219" spans="1:159" ht="17.25" thickBot="1" x14ac:dyDescent="0.3">
      <c r="A219" s="226">
        <v>46129</v>
      </c>
      <c r="B219" s="227" t="s">
        <v>172</v>
      </c>
      <c r="C219" s="227" t="s">
        <v>589</v>
      </c>
      <c r="D219" s="228">
        <v>31100</v>
      </c>
      <c r="E219" s="228">
        <v>11</v>
      </c>
      <c r="F219" s="228">
        <v>20.260000000000002</v>
      </c>
      <c r="G219" s="228">
        <v>20</v>
      </c>
      <c r="H219" s="228">
        <v>0.26</v>
      </c>
      <c r="I219" s="229">
        <v>1.2999999999999999E-2</v>
      </c>
      <c r="J219" s="228">
        <v>20.190000000000001</v>
      </c>
      <c r="K219" s="228">
        <v>19.95</v>
      </c>
      <c r="L219" s="228">
        <v>0.24</v>
      </c>
      <c r="M219" s="229">
        <v>1.2E-2</v>
      </c>
      <c r="N219" s="228">
        <v>20.260000000000002</v>
      </c>
      <c r="O219" s="228">
        <v>20</v>
      </c>
      <c r="P219" s="228">
        <v>0.26</v>
      </c>
      <c r="Q219" s="229">
        <v>1.2999999999999999E-2</v>
      </c>
      <c r="R219" s="228">
        <v>20.38</v>
      </c>
      <c r="S219" s="228">
        <v>20.12</v>
      </c>
      <c r="T219" s="228">
        <v>0.26</v>
      </c>
      <c r="U219" s="229">
        <v>1.29E-2</v>
      </c>
      <c r="V219" s="228">
        <v>20.48</v>
      </c>
      <c r="W219" s="228">
        <v>20.25</v>
      </c>
      <c r="X219" s="228">
        <v>0.23</v>
      </c>
      <c r="Y219" s="229">
        <v>1.14E-2</v>
      </c>
      <c r="Z219" s="228">
        <v>7.0000000000000007E-2</v>
      </c>
      <c r="AA219" s="228">
        <v>0.05</v>
      </c>
      <c r="AB219" s="228">
        <v>0.02</v>
      </c>
      <c r="AC219" s="229">
        <v>3.5000000000000001E-3</v>
      </c>
      <c r="AD219" s="228">
        <v>7.0000000000000007E-2</v>
      </c>
      <c r="AE219" s="228">
        <v>0.05</v>
      </c>
      <c r="AF219" s="228">
        <v>0.02</v>
      </c>
      <c r="AG219" s="229">
        <v>3.5000000000000001E-3</v>
      </c>
      <c r="AH219" s="228">
        <v>0.19</v>
      </c>
      <c r="AI219" s="228">
        <v>0.17</v>
      </c>
      <c r="AJ219" s="228">
        <v>0.02</v>
      </c>
      <c r="AK219" s="229">
        <v>9.4000000000000004E-3</v>
      </c>
      <c r="AL219" s="228">
        <v>0.28999999999999998</v>
      </c>
      <c r="AM219" s="228">
        <v>0.3</v>
      </c>
      <c r="AN219" s="228">
        <v>-0.01</v>
      </c>
      <c r="AO219" s="229">
        <v>1.44E-2</v>
      </c>
      <c r="AP219" s="228">
        <v>20.12</v>
      </c>
      <c r="AQ219" s="228">
        <v>20.18</v>
      </c>
      <c r="AR219" s="228">
        <v>0</v>
      </c>
      <c r="AS219" s="228">
        <v>568</v>
      </c>
      <c r="AT219" s="228">
        <v>554</v>
      </c>
      <c r="AU219" s="228">
        <v>14</v>
      </c>
      <c r="AV219" s="229">
        <v>2.4899999999999999E-2</v>
      </c>
      <c r="AW219" s="228">
        <v>475</v>
      </c>
      <c r="AX219" s="228">
        <v>441</v>
      </c>
      <c r="AY219" s="228">
        <v>34</v>
      </c>
      <c r="AZ219" s="229">
        <v>7.6700000000000004E-2</v>
      </c>
      <c r="BA219" s="228">
        <v>84</v>
      </c>
      <c r="BB219" s="228">
        <v>101</v>
      </c>
      <c r="BC219" s="228">
        <v>-17</v>
      </c>
      <c r="BD219" s="229">
        <v>-0.16750000000000001</v>
      </c>
      <c r="BE219" s="228">
        <v>9</v>
      </c>
      <c r="BF219" s="228">
        <v>12</v>
      </c>
      <c r="BG219" s="228">
        <v>-3</v>
      </c>
      <c r="BH219" s="229">
        <v>-0.25390000000000001</v>
      </c>
      <c r="BI219" s="230">
        <v>2559</v>
      </c>
      <c r="BJ219" s="230">
        <v>1651</v>
      </c>
      <c r="BK219" s="228">
        <v>909</v>
      </c>
      <c r="BL219" s="229">
        <v>0.55049999999999999</v>
      </c>
      <c r="BM219" s="228">
        <v>528</v>
      </c>
      <c r="BN219" s="228">
        <v>559</v>
      </c>
      <c r="BO219" s="228">
        <v>-31</v>
      </c>
      <c r="BP219" s="229">
        <v>-5.5100000000000003E-2</v>
      </c>
      <c r="BQ219" s="230">
        <v>3656</v>
      </c>
      <c r="BR219" s="230">
        <v>2764</v>
      </c>
      <c r="BS219" s="228">
        <v>892</v>
      </c>
      <c r="BT219" s="229">
        <v>0.3226</v>
      </c>
      <c r="BU219" s="230">
        <v>140556768</v>
      </c>
      <c r="BV219" s="230">
        <v>172557876</v>
      </c>
      <c r="BW219" s="230">
        <v>-32001108</v>
      </c>
      <c r="BX219" s="229">
        <v>-0.1855</v>
      </c>
      <c r="BY219" s="230">
        <v>2556</v>
      </c>
      <c r="BZ219" s="230">
        <v>2411</v>
      </c>
      <c r="CA219" s="228">
        <v>145</v>
      </c>
      <c r="CB219" s="229">
        <v>6.0299999999999999E-2</v>
      </c>
      <c r="CC219" s="230">
        <v>2210</v>
      </c>
      <c r="CD219" s="230">
        <v>2107</v>
      </c>
      <c r="CE219" s="228">
        <v>103</v>
      </c>
      <c r="CF219" s="229">
        <v>4.8800000000000003E-2</v>
      </c>
      <c r="CG219" s="228">
        <v>312</v>
      </c>
      <c r="CH219" s="228">
        <v>272</v>
      </c>
      <c r="CI219" s="228">
        <v>40</v>
      </c>
      <c r="CJ219" s="229">
        <v>0.1469</v>
      </c>
      <c r="CK219" s="228">
        <v>34</v>
      </c>
      <c r="CL219" s="228">
        <v>32</v>
      </c>
      <c r="CM219" s="228">
        <v>2</v>
      </c>
      <c r="CN219" s="229">
        <v>7.5999999999999998E-2</v>
      </c>
      <c r="CO219" s="228">
        <v>989</v>
      </c>
      <c r="CP219" s="228">
        <v>643</v>
      </c>
      <c r="CQ219" s="228">
        <v>346</v>
      </c>
      <c r="CR219" s="229">
        <v>0.5383</v>
      </c>
      <c r="CS219" s="228">
        <v>625</v>
      </c>
      <c r="CT219" s="228">
        <v>552</v>
      </c>
      <c r="CU219" s="228">
        <v>73</v>
      </c>
      <c r="CV219" s="229">
        <v>0.13220000000000001</v>
      </c>
      <c r="CW219" s="230">
        <v>4170</v>
      </c>
      <c r="CX219" s="230">
        <v>3606</v>
      </c>
      <c r="CY219" s="228">
        <v>564</v>
      </c>
      <c r="CZ219" s="229">
        <v>0.1565</v>
      </c>
      <c r="DA219" s="228">
        <v>46.38</v>
      </c>
      <c r="DB219" s="228">
        <v>40.869999999999997</v>
      </c>
      <c r="DC219" s="228">
        <v>5.51</v>
      </c>
      <c r="DD219" s="228">
        <v>5.51</v>
      </c>
      <c r="DE219" s="228">
        <v>38.64</v>
      </c>
      <c r="DF219" s="228">
        <v>38.700000000000003</v>
      </c>
      <c r="DG219" s="228">
        <v>7.74</v>
      </c>
      <c r="DH219" s="228">
        <v>-0.06</v>
      </c>
      <c r="DI219" s="228">
        <v>47.4</v>
      </c>
      <c r="DJ219" s="228">
        <v>39.96</v>
      </c>
      <c r="DK219" s="228">
        <v>7.44</v>
      </c>
      <c r="DL219" s="228">
        <v>7.44</v>
      </c>
      <c r="DM219" s="228">
        <v>41.4</v>
      </c>
      <c r="DN219" s="228">
        <v>43.54</v>
      </c>
      <c r="DO219" s="228">
        <v>-2.14</v>
      </c>
      <c r="DP219" s="228">
        <v>-2.14</v>
      </c>
      <c r="DQ219" s="228">
        <v>0.63</v>
      </c>
      <c r="DR219" s="228">
        <v>0.86</v>
      </c>
      <c r="DS219" s="228">
        <v>-0.23</v>
      </c>
      <c r="DT219" s="229">
        <v>-0.26740000000000003</v>
      </c>
      <c r="DU219" s="228">
        <v>21</v>
      </c>
      <c r="DV219" s="228">
        <v>20</v>
      </c>
      <c r="DW219" s="228">
        <v>0.21</v>
      </c>
      <c r="DX219" s="228">
        <v>0.34</v>
      </c>
      <c r="DY219" s="228">
        <v>-0.13</v>
      </c>
      <c r="DZ219" s="229">
        <v>-0.38240000000000002</v>
      </c>
      <c r="EA219" s="229">
        <v>0.13550000000000001</v>
      </c>
      <c r="EB219" s="230">
        <v>149995300</v>
      </c>
      <c r="EC219" s="229">
        <v>5.8999999999999999E-3</v>
      </c>
      <c r="ED219" s="229">
        <v>0.13550000000000001</v>
      </c>
      <c r="EE219" s="228">
        <v>0.06</v>
      </c>
      <c r="EF219" s="229">
        <v>3.0000000000000001E-3</v>
      </c>
      <c r="EG219" s="230">
        <v>56233517</v>
      </c>
      <c r="EH219" s="230">
        <v>56181777</v>
      </c>
      <c r="EI219" s="229">
        <v>8.9999999999999998E-4</v>
      </c>
      <c r="EJ219" s="229">
        <v>0.40010000000000001</v>
      </c>
      <c r="EK219" s="231">
        <v>2804.05</v>
      </c>
      <c r="EL219" s="228">
        <v>504.38</v>
      </c>
      <c r="EM219" s="228">
        <v>564.62</v>
      </c>
      <c r="EN219" s="228">
        <v>47.08</v>
      </c>
      <c r="EO219" s="231">
        <v>3873.05</v>
      </c>
      <c r="EP219" s="231">
        <v>2805.96</v>
      </c>
      <c r="EQ219" s="231">
        <v>1067.08</v>
      </c>
      <c r="ER219" s="229">
        <v>0.38030000000000003</v>
      </c>
      <c r="ES219" s="231">
        <v>1040.3800000000001</v>
      </c>
      <c r="ET219" s="228">
        <v>564.30999999999995</v>
      </c>
      <c r="EU219" s="231">
        <v>2558.54</v>
      </c>
      <c r="EV219" s="231">
        <v>3425130022</v>
      </c>
      <c r="EW219" s="231">
        <v>4163.2299999999996</v>
      </c>
      <c r="EX219" s="231">
        <v>3531.84</v>
      </c>
      <c r="EY219" s="228">
        <v>631.39</v>
      </c>
      <c r="EZ219" s="229">
        <v>0.17879999999999999</v>
      </c>
      <c r="FA219" s="229">
        <v>0.60089999999999999</v>
      </c>
      <c r="FB219" s="227" t="s">
        <v>555</v>
      </c>
      <c r="FC219">
        <f t="shared" si="4"/>
        <v>0</v>
      </c>
    </row>
    <row r="220" spans="1:159" ht="17.25" thickBot="1" x14ac:dyDescent="0.3">
      <c r="A220" s="226">
        <v>46129</v>
      </c>
      <c r="B220" s="227" t="s">
        <v>170</v>
      </c>
      <c r="C220" s="227" t="s">
        <v>556</v>
      </c>
      <c r="D220" s="228">
        <v>900</v>
      </c>
      <c r="E220" s="228">
        <v>11</v>
      </c>
      <c r="F220" s="228">
        <v>946.25</v>
      </c>
      <c r="G220" s="228">
        <v>939.15</v>
      </c>
      <c r="H220" s="228">
        <v>7.1</v>
      </c>
      <c r="I220" s="229">
        <v>7.6E-3</v>
      </c>
      <c r="J220" s="228">
        <v>943.95</v>
      </c>
      <c r="K220" s="228">
        <v>939.1</v>
      </c>
      <c r="L220" s="228">
        <v>4.8499999999999996</v>
      </c>
      <c r="M220" s="229">
        <v>5.1999999999999998E-3</v>
      </c>
      <c r="N220" s="228">
        <v>946.25</v>
      </c>
      <c r="O220" s="228">
        <v>939.15</v>
      </c>
      <c r="P220" s="228">
        <v>7.1</v>
      </c>
      <c r="Q220" s="229">
        <v>7.6E-3</v>
      </c>
      <c r="R220" s="228">
        <v>951.6</v>
      </c>
      <c r="S220" s="228">
        <v>943.85</v>
      </c>
      <c r="T220" s="228">
        <v>7.75</v>
      </c>
      <c r="U220" s="229">
        <v>8.2000000000000007E-3</v>
      </c>
      <c r="V220" s="228">
        <v>956.55</v>
      </c>
      <c r="W220" s="228">
        <v>950</v>
      </c>
      <c r="X220" s="228">
        <v>6.55</v>
      </c>
      <c r="Y220" s="229">
        <v>6.8999999999999999E-3</v>
      </c>
      <c r="Z220" s="228">
        <v>2.2999999999999998</v>
      </c>
      <c r="AA220" s="228">
        <v>0.05</v>
      </c>
      <c r="AB220" s="228">
        <v>2.25</v>
      </c>
      <c r="AC220" s="229">
        <v>2.3999999999999998E-3</v>
      </c>
      <c r="AD220" s="228">
        <v>2.2999999999999998</v>
      </c>
      <c r="AE220" s="228">
        <v>0.05</v>
      </c>
      <c r="AF220" s="228">
        <v>2.25</v>
      </c>
      <c r="AG220" s="229">
        <v>2.3999999999999998E-3</v>
      </c>
      <c r="AH220" s="228">
        <v>7.65</v>
      </c>
      <c r="AI220" s="228">
        <v>4.75</v>
      </c>
      <c r="AJ220" s="228">
        <v>2.9</v>
      </c>
      <c r="AK220" s="229">
        <v>8.0999999999999996E-3</v>
      </c>
      <c r="AL220" s="228">
        <v>12.6</v>
      </c>
      <c r="AM220" s="228">
        <v>10.9</v>
      </c>
      <c r="AN220" s="228">
        <v>1.7</v>
      </c>
      <c r="AO220" s="229">
        <v>1.3299999999999999E-2</v>
      </c>
      <c r="AP220" s="228">
        <v>944.47</v>
      </c>
      <c r="AQ220" s="228">
        <v>950.4</v>
      </c>
      <c r="AR220" s="228">
        <v>0</v>
      </c>
      <c r="AS220" s="228">
        <v>77</v>
      </c>
      <c r="AT220" s="228">
        <v>131</v>
      </c>
      <c r="AU220" s="228">
        <v>-54</v>
      </c>
      <c r="AV220" s="229">
        <v>-0.40970000000000001</v>
      </c>
      <c r="AW220" s="228">
        <v>68</v>
      </c>
      <c r="AX220" s="228">
        <v>121</v>
      </c>
      <c r="AY220" s="228">
        <v>-53</v>
      </c>
      <c r="AZ220" s="229">
        <v>-0.43859999999999999</v>
      </c>
      <c r="BA220" s="228">
        <v>9</v>
      </c>
      <c r="BB220" s="228">
        <v>9</v>
      </c>
      <c r="BC220" s="228">
        <v>0</v>
      </c>
      <c r="BD220" s="229">
        <v>9.2999999999999992E-3</v>
      </c>
      <c r="BE220" s="228">
        <v>0</v>
      </c>
      <c r="BF220" s="228">
        <v>1</v>
      </c>
      <c r="BG220" s="228">
        <v>-1</v>
      </c>
      <c r="BH220" s="229">
        <v>-0.71430000000000005</v>
      </c>
      <c r="BI220" s="228">
        <v>344</v>
      </c>
      <c r="BJ220" s="228">
        <v>252</v>
      </c>
      <c r="BK220" s="228">
        <v>93</v>
      </c>
      <c r="BL220" s="229">
        <v>0.36770000000000003</v>
      </c>
      <c r="BM220" s="228">
        <v>125</v>
      </c>
      <c r="BN220" s="228">
        <v>75</v>
      </c>
      <c r="BO220" s="228">
        <v>50</v>
      </c>
      <c r="BP220" s="229">
        <v>0.67430000000000001</v>
      </c>
      <c r="BQ220" s="228">
        <v>546</v>
      </c>
      <c r="BR220" s="228">
        <v>457</v>
      </c>
      <c r="BS220" s="228">
        <v>89</v>
      </c>
      <c r="BT220" s="229">
        <v>0.19470000000000001</v>
      </c>
      <c r="BU220" s="230">
        <v>534467</v>
      </c>
      <c r="BV220" s="230">
        <v>592604</v>
      </c>
      <c r="BW220" s="230">
        <v>-58137</v>
      </c>
      <c r="BX220" s="229">
        <v>-9.8100000000000007E-2</v>
      </c>
      <c r="BY220" s="228">
        <v>879</v>
      </c>
      <c r="BZ220" s="228">
        <v>877</v>
      </c>
      <c r="CA220" s="228">
        <v>2</v>
      </c>
      <c r="CB220" s="229">
        <v>2.5999999999999999E-3</v>
      </c>
      <c r="CC220" s="228">
        <v>851</v>
      </c>
      <c r="CD220" s="228">
        <v>855</v>
      </c>
      <c r="CE220" s="228">
        <v>-4</v>
      </c>
      <c r="CF220" s="229">
        <v>-4.5999999999999999E-3</v>
      </c>
      <c r="CG220" s="228">
        <v>25</v>
      </c>
      <c r="CH220" s="228">
        <v>19</v>
      </c>
      <c r="CI220" s="228">
        <v>6</v>
      </c>
      <c r="CJ220" s="229">
        <v>0.31140000000000001</v>
      </c>
      <c r="CK220" s="228">
        <v>2</v>
      </c>
      <c r="CL220" s="228">
        <v>2</v>
      </c>
      <c r="CM220" s="228">
        <v>0</v>
      </c>
      <c r="CN220" s="229">
        <v>0.08</v>
      </c>
      <c r="CO220" s="228">
        <v>279</v>
      </c>
      <c r="CP220" s="228">
        <v>291</v>
      </c>
      <c r="CQ220" s="228">
        <v>-12</v>
      </c>
      <c r="CR220" s="229">
        <v>-4.24E-2</v>
      </c>
      <c r="CS220" s="228">
        <v>214</v>
      </c>
      <c r="CT220" s="228">
        <v>228</v>
      </c>
      <c r="CU220" s="228">
        <v>-15</v>
      </c>
      <c r="CV220" s="229">
        <v>-6.3799999999999996E-2</v>
      </c>
      <c r="CW220" s="230">
        <v>1372</v>
      </c>
      <c r="CX220" s="230">
        <v>1396</v>
      </c>
      <c r="CY220" s="228">
        <v>-25</v>
      </c>
      <c r="CZ220" s="229">
        <v>-1.7600000000000001E-2</v>
      </c>
      <c r="DA220" s="228">
        <v>25.82</v>
      </c>
      <c r="DB220" s="228">
        <v>24.99</v>
      </c>
      <c r="DC220" s="228">
        <v>0.83</v>
      </c>
      <c r="DD220" s="228">
        <v>0.83</v>
      </c>
      <c r="DE220" s="228">
        <v>28.15</v>
      </c>
      <c r="DF220" s="228">
        <v>28.2</v>
      </c>
      <c r="DG220" s="228">
        <v>-2.33</v>
      </c>
      <c r="DH220" s="228">
        <v>-0.05</v>
      </c>
      <c r="DI220" s="228">
        <v>24.44</v>
      </c>
      <c r="DJ220" s="228">
        <v>24.19</v>
      </c>
      <c r="DK220" s="228">
        <v>0.25</v>
      </c>
      <c r="DL220" s="228">
        <v>0.25</v>
      </c>
      <c r="DM220" s="228">
        <v>29.62</v>
      </c>
      <c r="DN220" s="228">
        <v>27.72</v>
      </c>
      <c r="DO220" s="228">
        <v>1.9</v>
      </c>
      <c r="DP220" s="228">
        <v>1.9</v>
      </c>
      <c r="DQ220" s="228">
        <v>0.77</v>
      </c>
      <c r="DR220" s="228">
        <v>0.78</v>
      </c>
      <c r="DS220" s="228">
        <v>-0.01</v>
      </c>
      <c r="DT220" s="229">
        <v>-1.2800000000000001E-2</v>
      </c>
      <c r="DU220" s="228">
        <v>960</v>
      </c>
      <c r="DV220" s="228">
        <v>900</v>
      </c>
      <c r="DW220" s="228">
        <v>0.36</v>
      </c>
      <c r="DX220" s="228">
        <v>0.3</v>
      </c>
      <c r="DY220" s="228">
        <v>0.06</v>
      </c>
      <c r="DZ220" s="229">
        <v>0.2</v>
      </c>
      <c r="EA220" s="229">
        <v>3.1600000000000003E-2</v>
      </c>
      <c r="EB220" s="230">
        <v>227700</v>
      </c>
      <c r="EC220" s="229">
        <v>5.7000000000000002E-3</v>
      </c>
      <c r="ED220" s="229">
        <v>3.1600000000000003E-2</v>
      </c>
      <c r="EE220" s="228">
        <v>5.93</v>
      </c>
      <c r="EF220" s="229">
        <v>6.3E-3</v>
      </c>
      <c r="EG220" s="230">
        <v>285049</v>
      </c>
      <c r="EH220" s="230">
        <v>253668</v>
      </c>
      <c r="EI220" s="229">
        <v>0.1237</v>
      </c>
      <c r="EJ220" s="229">
        <v>0.5333</v>
      </c>
      <c r="EK220" s="228">
        <v>353.7</v>
      </c>
      <c r="EL220" s="228">
        <v>118.92</v>
      </c>
      <c r="EM220" s="228">
        <v>77.33</v>
      </c>
      <c r="EN220" s="228">
        <v>14.95</v>
      </c>
      <c r="EO220" s="228">
        <v>549.94000000000005</v>
      </c>
      <c r="EP220" s="228">
        <v>460.29</v>
      </c>
      <c r="EQ220" s="228">
        <v>89.65</v>
      </c>
      <c r="ER220" s="229">
        <v>0.1948</v>
      </c>
      <c r="ES220" s="228">
        <v>278.77</v>
      </c>
      <c r="ET220" s="228">
        <v>203.03</v>
      </c>
      <c r="EU220" s="228">
        <v>879.22</v>
      </c>
      <c r="EV220" s="231">
        <v>25160867</v>
      </c>
      <c r="EW220" s="231">
        <v>1361.02</v>
      </c>
      <c r="EX220" s="231">
        <v>1377.05</v>
      </c>
      <c r="EY220" s="228">
        <v>-16.03</v>
      </c>
      <c r="EZ220" s="229">
        <v>-1.1599999999999999E-2</v>
      </c>
      <c r="FA220" s="229">
        <v>0.57620000000000005</v>
      </c>
      <c r="FB220" s="227" t="s">
        <v>555</v>
      </c>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BY330-CC330</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BY394-CC394</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C2" sqref="C2:C220"/>
    </sheetView>
  </sheetViews>
  <sheetFormatPr defaultRowHeight="15" x14ac:dyDescent="0.25"/>
  <cols>
    <col min="1" max="1" width="12"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85546875" customWidth="1"/>
    <col min="80" max="81" width="15.5703125" customWidth="1"/>
    <col min="82" max="82" width="14.85546875" customWidth="1"/>
    <col min="83" max="83" width="11.42578125" customWidth="1"/>
    <col min="84" max="84" width="14" customWidth="1"/>
    <col min="85" max="85" width="14.42578125" customWidth="1"/>
    <col min="86" max="86" width="14" customWidth="1"/>
    <col min="87" max="87" width="11.42578125" customWidth="1"/>
    <col min="88" max="90" width="12.7109375" customWidth="1"/>
    <col min="91" max="91" width="12.42578125" customWidth="1"/>
    <col min="92" max="93" width="15.5703125" customWidth="1"/>
    <col min="94" max="94" width="14" customWidth="1"/>
    <col min="95" max="95" width="10.42578125" customWidth="1"/>
    <col min="96" max="97" width="14" customWidth="1"/>
    <col min="98" max="98" width="12.7109375"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7" width="8.855468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46129</v>
      </c>
      <c r="B2" s="227" t="s">
        <v>175</v>
      </c>
      <c r="C2" s="227" t="s">
        <v>680</v>
      </c>
      <c r="D2" s="228">
        <v>500</v>
      </c>
      <c r="E2" s="231">
        <v>1114.6500000000001</v>
      </c>
      <c r="F2" s="231">
        <v>1074.8499999999999</v>
      </c>
      <c r="G2" s="228">
        <v>39.799999999999997</v>
      </c>
      <c r="H2" s="229">
        <v>3.6999999999999998E-2</v>
      </c>
      <c r="I2" s="231">
        <v>1113.3</v>
      </c>
      <c r="J2" s="231">
        <v>1076.45</v>
      </c>
      <c r="K2" s="228">
        <v>36.85</v>
      </c>
      <c r="L2" s="229">
        <v>3.4200000000000001E-2</v>
      </c>
      <c r="M2" s="231">
        <v>1114.6500000000001</v>
      </c>
      <c r="N2" s="231">
        <v>1074.8499999999999</v>
      </c>
      <c r="O2" s="228">
        <v>39.799999999999997</v>
      </c>
      <c r="P2" s="229">
        <v>3.6999999999999998E-2</v>
      </c>
      <c r="Q2" s="231">
        <v>1114.3499999999999</v>
      </c>
      <c r="R2" s="231">
        <v>1072.3499999999999</v>
      </c>
      <c r="S2" s="228">
        <v>42</v>
      </c>
      <c r="T2" s="229">
        <v>3.9199999999999999E-2</v>
      </c>
      <c r="U2" s="231">
        <v>1114.5999999999999</v>
      </c>
      <c r="V2" s="231">
        <v>1072.75</v>
      </c>
      <c r="W2" s="228">
        <v>41.85</v>
      </c>
      <c r="X2" s="229">
        <v>3.9E-2</v>
      </c>
      <c r="Y2" s="228">
        <v>1.35</v>
      </c>
      <c r="Z2" s="228">
        <v>-1.6</v>
      </c>
      <c r="AA2" s="228">
        <v>2.95</v>
      </c>
      <c r="AB2" s="229">
        <v>1.1999999999999999E-3</v>
      </c>
      <c r="AC2" s="228">
        <v>1.35</v>
      </c>
      <c r="AD2" s="228">
        <v>-1.6</v>
      </c>
      <c r="AE2" s="228">
        <v>2.95</v>
      </c>
      <c r="AF2" s="229">
        <v>1.1999999999999999E-3</v>
      </c>
      <c r="AG2" s="228">
        <v>1.05</v>
      </c>
      <c r="AH2" s="228">
        <v>-4.0999999999999996</v>
      </c>
      <c r="AI2" s="228">
        <v>5.15</v>
      </c>
      <c r="AJ2" s="229">
        <v>8.9999999999999998E-4</v>
      </c>
      <c r="AK2" s="228">
        <v>1.3</v>
      </c>
      <c r="AL2" s="228">
        <v>-3.7</v>
      </c>
      <c r="AM2" s="228">
        <v>5</v>
      </c>
      <c r="AN2" s="229">
        <v>1.1999999999999999E-3</v>
      </c>
      <c r="AO2" s="231">
        <v>1105.6400000000001</v>
      </c>
      <c r="AP2" s="231">
        <v>1105.02</v>
      </c>
      <c r="AQ2" s="228">
        <v>0</v>
      </c>
      <c r="AR2" s="230">
        <v>2520500</v>
      </c>
      <c r="AS2" s="230">
        <v>1270000</v>
      </c>
      <c r="AT2" s="230">
        <v>1250500</v>
      </c>
      <c r="AU2" s="229">
        <v>0.98460000000000003</v>
      </c>
      <c r="AV2" s="230">
        <v>2398000</v>
      </c>
      <c r="AW2" s="230">
        <v>1125000</v>
      </c>
      <c r="AX2" s="230">
        <v>1273000</v>
      </c>
      <c r="AY2" s="229">
        <v>1.1315999999999999</v>
      </c>
      <c r="AZ2" s="230">
        <v>118000</v>
      </c>
      <c r="BA2" s="230">
        <v>139500</v>
      </c>
      <c r="BB2" s="230">
        <v>-21500</v>
      </c>
      <c r="BC2" s="229">
        <v>-0.15409999999999999</v>
      </c>
      <c r="BD2" s="230">
        <v>4500</v>
      </c>
      <c r="BE2" s="230">
        <v>5500</v>
      </c>
      <c r="BF2" s="230">
        <v>-1000</v>
      </c>
      <c r="BG2" s="229">
        <v>-0.18179999999999999</v>
      </c>
      <c r="BH2" s="230">
        <v>5152500</v>
      </c>
      <c r="BI2" s="230">
        <v>2148500</v>
      </c>
      <c r="BJ2" s="230">
        <v>3004000</v>
      </c>
      <c r="BK2" s="229">
        <v>1.3982000000000001</v>
      </c>
      <c r="BL2" s="230">
        <v>2794500</v>
      </c>
      <c r="BM2" s="230">
        <v>2105500</v>
      </c>
      <c r="BN2" s="230">
        <v>689000</v>
      </c>
      <c r="BO2" s="229">
        <v>0.32719999999999999</v>
      </c>
      <c r="BP2" s="230">
        <v>10467500</v>
      </c>
      <c r="BQ2" s="230">
        <v>5524000</v>
      </c>
      <c r="BR2" s="230">
        <v>4943500</v>
      </c>
      <c r="BS2" s="229">
        <v>0.89490000000000003</v>
      </c>
      <c r="BT2" s="230">
        <v>2736312</v>
      </c>
      <c r="BU2" s="230">
        <v>818150</v>
      </c>
      <c r="BV2" s="230">
        <v>1918162</v>
      </c>
      <c r="BW2" s="229">
        <v>2.3445</v>
      </c>
      <c r="BX2" s="230">
        <v>5905500</v>
      </c>
      <c r="BY2" s="230">
        <v>5665500</v>
      </c>
      <c r="BZ2" s="230">
        <v>240000</v>
      </c>
      <c r="CA2" s="229">
        <v>4.24E-2</v>
      </c>
      <c r="CB2" s="230">
        <v>5379500</v>
      </c>
      <c r="CC2" s="230">
        <v>5144000</v>
      </c>
      <c r="CD2" s="230">
        <v>235500</v>
      </c>
      <c r="CE2" s="229">
        <v>4.58E-2</v>
      </c>
      <c r="CF2" s="230">
        <v>521000</v>
      </c>
      <c r="CG2" s="230">
        <v>515000</v>
      </c>
      <c r="CH2" s="230">
        <v>6000</v>
      </c>
      <c r="CI2" s="229">
        <v>1.17E-2</v>
      </c>
      <c r="CJ2" s="230">
        <v>5000</v>
      </c>
      <c r="CK2" s="230">
        <v>6500</v>
      </c>
      <c r="CL2" s="230">
        <v>-1500</v>
      </c>
      <c r="CM2" s="229">
        <v>-0.23080000000000001</v>
      </c>
      <c r="CN2" s="230">
        <v>1780500</v>
      </c>
      <c r="CO2" s="230">
        <v>1470500</v>
      </c>
      <c r="CP2" s="230">
        <v>310000</v>
      </c>
      <c r="CQ2" s="229">
        <v>0.21079999999999999</v>
      </c>
      <c r="CR2" s="230">
        <v>2182000</v>
      </c>
      <c r="CS2" s="230">
        <v>1863000</v>
      </c>
      <c r="CT2" s="230">
        <v>319000</v>
      </c>
      <c r="CU2" s="229">
        <v>0.17119999999999999</v>
      </c>
      <c r="CV2" s="230">
        <v>9868000</v>
      </c>
      <c r="CW2" s="230">
        <v>8999000</v>
      </c>
      <c r="CX2" s="230">
        <v>869000</v>
      </c>
      <c r="CY2" s="229">
        <v>9.6600000000000005E-2</v>
      </c>
      <c r="CZ2" s="228">
        <v>43</v>
      </c>
      <c r="DA2" s="228">
        <v>43.15</v>
      </c>
      <c r="DB2" s="228">
        <v>-0.15</v>
      </c>
      <c r="DC2" s="228">
        <v>-0.15</v>
      </c>
      <c r="DD2" s="228">
        <v>42.18</v>
      </c>
      <c r="DE2" s="228">
        <v>42.01</v>
      </c>
      <c r="DF2" s="228">
        <v>0.82</v>
      </c>
      <c r="DG2" s="228">
        <v>0.17</v>
      </c>
      <c r="DH2" s="228">
        <v>42.41</v>
      </c>
      <c r="DI2" s="228">
        <v>41.09</v>
      </c>
      <c r="DJ2" s="228">
        <v>1.32</v>
      </c>
      <c r="DK2" s="228">
        <v>1.32</v>
      </c>
      <c r="DL2" s="228">
        <v>44.08</v>
      </c>
      <c r="DM2" s="228">
        <v>45.24</v>
      </c>
      <c r="DN2" s="228">
        <v>-1.1599999999999999</v>
      </c>
      <c r="DO2" s="228">
        <v>-1.1599999999999999</v>
      </c>
      <c r="DP2" s="228">
        <v>1.23</v>
      </c>
      <c r="DQ2" s="228">
        <v>1.27</v>
      </c>
      <c r="DR2" s="228">
        <v>-0.04</v>
      </c>
      <c r="DS2" s="229">
        <v>-3.15E-2</v>
      </c>
      <c r="DT2" s="231">
        <v>1100</v>
      </c>
      <c r="DU2" s="231">
        <v>1000</v>
      </c>
      <c r="DV2" s="228">
        <v>0.54</v>
      </c>
      <c r="DW2" s="228">
        <v>0.98</v>
      </c>
      <c r="DX2" s="228">
        <v>-0.44</v>
      </c>
      <c r="DY2" s="229">
        <v>-0.44900000000000001</v>
      </c>
      <c r="DZ2" s="229">
        <v>8.9099999999999999E-2</v>
      </c>
      <c r="EA2" s="230">
        <v>521500</v>
      </c>
      <c r="EB2" s="229">
        <v>-2.9999999999999997E-4</v>
      </c>
      <c r="EC2" s="229">
        <v>8.9099999999999999E-2</v>
      </c>
      <c r="ED2" s="228">
        <v>-0.62</v>
      </c>
      <c r="EE2" s="229">
        <v>-5.9999999999999995E-4</v>
      </c>
      <c r="EF2" s="230">
        <v>1560255</v>
      </c>
      <c r="EG2" s="230">
        <v>353477</v>
      </c>
      <c r="EH2" s="229">
        <v>3.4140000000000001</v>
      </c>
      <c r="EI2" s="229">
        <v>0.57020000000000004</v>
      </c>
      <c r="EJ2" s="231">
        <v>59745.4</v>
      </c>
      <c r="EK2" s="231">
        <v>29090.15</v>
      </c>
      <c r="EL2" s="231">
        <v>27866.62</v>
      </c>
      <c r="EM2" s="231">
        <v>2611</v>
      </c>
      <c r="EN2" s="231">
        <v>116702.17</v>
      </c>
      <c r="EO2" s="231">
        <v>59605.31</v>
      </c>
      <c r="EP2" s="231">
        <v>57096.86</v>
      </c>
      <c r="EQ2" s="229">
        <v>0.95789999999999997</v>
      </c>
      <c r="ER2" s="231">
        <v>19764</v>
      </c>
      <c r="ES2" s="231">
        <v>22047</v>
      </c>
      <c r="ET2" s="231">
        <v>65824</v>
      </c>
      <c r="EU2" s="231">
        <v>37756901</v>
      </c>
      <c r="EV2" s="231">
        <v>107635</v>
      </c>
      <c r="EW2" s="231">
        <v>95294</v>
      </c>
      <c r="EX2" s="231">
        <v>12341</v>
      </c>
      <c r="EY2" s="229">
        <v>0.1295</v>
      </c>
      <c r="EZ2" s="229">
        <v>0.26140000000000002</v>
      </c>
      <c r="FA2" s="227" t="s">
        <v>555</v>
      </c>
      <c r="FB2" s="161">
        <f>BX2-CB2</f>
        <v>526000</v>
      </c>
    </row>
    <row r="3" spans="1:158" ht="17.25" thickBot="1" x14ac:dyDescent="0.3">
      <c r="A3" s="226">
        <v>46129</v>
      </c>
      <c r="B3" s="227" t="s">
        <v>184</v>
      </c>
      <c r="C3" s="227" t="s">
        <v>553</v>
      </c>
      <c r="D3" s="228">
        <v>125</v>
      </c>
      <c r="E3" s="231">
        <v>7037</v>
      </c>
      <c r="F3" s="231">
        <v>6885</v>
      </c>
      <c r="G3" s="228">
        <v>152</v>
      </c>
      <c r="H3" s="229">
        <v>2.2100000000000002E-2</v>
      </c>
      <c r="I3" s="231">
        <v>7029.5</v>
      </c>
      <c r="J3" s="231">
        <v>6883.5</v>
      </c>
      <c r="K3" s="228">
        <v>146</v>
      </c>
      <c r="L3" s="229">
        <v>2.12E-2</v>
      </c>
      <c r="M3" s="231">
        <v>7037</v>
      </c>
      <c r="N3" s="231">
        <v>6885</v>
      </c>
      <c r="O3" s="228">
        <v>152</v>
      </c>
      <c r="P3" s="229">
        <v>2.2100000000000002E-2</v>
      </c>
      <c r="Q3" s="231">
        <v>6985</v>
      </c>
      <c r="R3" s="231">
        <v>6841.5</v>
      </c>
      <c r="S3" s="228">
        <v>143.5</v>
      </c>
      <c r="T3" s="229">
        <v>2.1000000000000001E-2</v>
      </c>
      <c r="U3" s="231">
        <v>6969</v>
      </c>
      <c r="V3" s="231">
        <v>6815</v>
      </c>
      <c r="W3" s="228">
        <v>154</v>
      </c>
      <c r="X3" s="229">
        <v>2.2599999999999999E-2</v>
      </c>
      <c r="Y3" s="228">
        <v>7.5</v>
      </c>
      <c r="Z3" s="228">
        <v>1.5</v>
      </c>
      <c r="AA3" s="228">
        <v>6</v>
      </c>
      <c r="AB3" s="229">
        <v>1.1000000000000001E-3</v>
      </c>
      <c r="AC3" s="228">
        <v>7.5</v>
      </c>
      <c r="AD3" s="228">
        <v>1.5</v>
      </c>
      <c r="AE3" s="228">
        <v>6</v>
      </c>
      <c r="AF3" s="229">
        <v>1.1000000000000001E-3</v>
      </c>
      <c r="AG3" s="228">
        <v>-44.5</v>
      </c>
      <c r="AH3" s="228">
        <v>-42</v>
      </c>
      <c r="AI3" s="228">
        <v>-2.5</v>
      </c>
      <c r="AJ3" s="229">
        <v>-6.3E-3</v>
      </c>
      <c r="AK3" s="228">
        <v>-60.5</v>
      </c>
      <c r="AL3" s="228">
        <v>-68.5</v>
      </c>
      <c r="AM3" s="228">
        <v>8</v>
      </c>
      <c r="AN3" s="229">
        <v>-8.6E-3</v>
      </c>
      <c r="AO3" s="231">
        <v>7012.19</v>
      </c>
      <c r="AP3" s="231">
        <v>6962.88</v>
      </c>
      <c r="AQ3" s="228">
        <v>0</v>
      </c>
      <c r="AR3" s="230">
        <v>624875</v>
      </c>
      <c r="AS3" s="230">
        <v>641750</v>
      </c>
      <c r="AT3" s="230">
        <v>-16875</v>
      </c>
      <c r="AU3" s="229">
        <v>-2.63E-2</v>
      </c>
      <c r="AV3" s="230">
        <v>543375</v>
      </c>
      <c r="AW3" s="230">
        <v>527750</v>
      </c>
      <c r="AX3" s="230">
        <v>15625</v>
      </c>
      <c r="AY3" s="229">
        <v>2.9600000000000001E-2</v>
      </c>
      <c r="AZ3" s="230">
        <v>75375</v>
      </c>
      <c r="BA3" s="230">
        <v>110125</v>
      </c>
      <c r="BB3" s="230">
        <v>-34750</v>
      </c>
      <c r="BC3" s="229">
        <v>-0.31559999999999999</v>
      </c>
      <c r="BD3" s="230">
        <v>6125</v>
      </c>
      <c r="BE3" s="230">
        <v>3875</v>
      </c>
      <c r="BF3" s="230">
        <v>2250</v>
      </c>
      <c r="BG3" s="229">
        <v>0.5806</v>
      </c>
      <c r="BH3" s="230">
        <v>4190375</v>
      </c>
      <c r="BI3" s="230">
        <v>2119625</v>
      </c>
      <c r="BJ3" s="230">
        <v>2070750</v>
      </c>
      <c r="BK3" s="229">
        <v>0.97689999999999999</v>
      </c>
      <c r="BL3" s="230">
        <v>1996875</v>
      </c>
      <c r="BM3" s="230">
        <v>1738750</v>
      </c>
      <c r="BN3" s="230">
        <v>258125</v>
      </c>
      <c r="BO3" s="229">
        <v>0.14849999999999999</v>
      </c>
      <c r="BP3" s="230">
        <v>6812125</v>
      </c>
      <c r="BQ3" s="230">
        <v>4500125</v>
      </c>
      <c r="BR3" s="230">
        <v>2312000</v>
      </c>
      <c r="BS3" s="229">
        <v>0.51380000000000003</v>
      </c>
      <c r="BT3" s="230">
        <v>576988</v>
      </c>
      <c r="BU3" s="230">
        <v>559911</v>
      </c>
      <c r="BV3" s="230">
        <v>17077</v>
      </c>
      <c r="BW3" s="229">
        <v>3.0499999999999999E-2</v>
      </c>
      <c r="BX3" s="230">
        <v>2403125</v>
      </c>
      <c r="BY3" s="230">
        <v>2392625</v>
      </c>
      <c r="BZ3" s="230">
        <v>10500</v>
      </c>
      <c r="CA3" s="229">
        <v>4.4000000000000003E-3</v>
      </c>
      <c r="CB3" s="230">
        <v>2247250</v>
      </c>
      <c r="CC3" s="230">
        <v>2249750</v>
      </c>
      <c r="CD3" s="230">
        <v>-2500</v>
      </c>
      <c r="CE3" s="229">
        <v>-1.1000000000000001E-3</v>
      </c>
      <c r="CF3" s="230">
        <v>137625</v>
      </c>
      <c r="CG3" s="230">
        <v>125625</v>
      </c>
      <c r="CH3" s="230">
        <v>12000</v>
      </c>
      <c r="CI3" s="229">
        <v>9.5500000000000002E-2</v>
      </c>
      <c r="CJ3" s="230">
        <v>18250</v>
      </c>
      <c r="CK3" s="230">
        <v>17250</v>
      </c>
      <c r="CL3" s="230">
        <v>1000</v>
      </c>
      <c r="CM3" s="229">
        <v>5.8000000000000003E-2</v>
      </c>
      <c r="CN3" s="230">
        <v>999500</v>
      </c>
      <c r="CO3" s="230">
        <v>979250</v>
      </c>
      <c r="CP3" s="230">
        <v>20250</v>
      </c>
      <c r="CQ3" s="229">
        <v>2.07E-2</v>
      </c>
      <c r="CR3" s="230">
        <v>1131500</v>
      </c>
      <c r="CS3" s="230">
        <v>1047250</v>
      </c>
      <c r="CT3" s="230">
        <v>84250</v>
      </c>
      <c r="CU3" s="229">
        <v>8.0399999999999999E-2</v>
      </c>
      <c r="CV3" s="230">
        <v>4534125</v>
      </c>
      <c r="CW3" s="230">
        <v>4419125</v>
      </c>
      <c r="CX3" s="230">
        <v>115000</v>
      </c>
      <c r="CY3" s="229">
        <v>2.5999999999999999E-2</v>
      </c>
      <c r="CZ3" s="228">
        <v>33.28</v>
      </c>
      <c r="DA3" s="228">
        <v>34.29</v>
      </c>
      <c r="DB3" s="228">
        <v>-1.01</v>
      </c>
      <c r="DC3" s="228">
        <v>-1.01</v>
      </c>
      <c r="DD3" s="228">
        <v>37.11</v>
      </c>
      <c r="DE3" s="228">
        <v>37.090000000000003</v>
      </c>
      <c r="DF3" s="228">
        <v>-3.83</v>
      </c>
      <c r="DG3" s="228">
        <v>0.02</v>
      </c>
      <c r="DH3" s="228">
        <v>31.92</v>
      </c>
      <c r="DI3" s="228">
        <v>32.79</v>
      </c>
      <c r="DJ3" s="228">
        <v>-0.87</v>
      </c>
      <c r="DK3" s="228">
        <v>-0.87</v>
      </c>
      <c r="DL3" s="228">
        <v>36.119999999999997</v>
      </c>
      <c r="DM3" s="228">
        <v>36.119999999999997</v>
      </c>
      <c r="DN3" s="228">
        <v>0</v>
      </c>
      <c r="DO3" s="228">
        <v>0</v>
      </c>
      <c r="DP3" s="228">
        <v>1.1299999999999999</v>
      </c>
      <c r="DQ3" s="228">
        <v>1.07</v>
      </c>
      <c r="DR3" s="228">
        <v>0.06</v>
      </c>
      <c r="DS3" s="229">
        <v>5.6099999999999997E-2</v>
      </c>
      <c r="DT3" s="231">
        <v>7000</v>
      </c>
      <c r="DU3" s="231">
        <v>6000</v>
      </c>
      <c r="DV3" s="228">
        <v>0.48</v>
      </c>
      <c r="DW3" s="228">
        <v>0.82</v>
      </c>
      <c r="DX3" s="228">
        <v>-0.34</v>
      </c>
      <c r="DY3" s="229">
        <v>-0.41460000000000002</v>
      </c>
      <c r="DZ3" s="229">
        <v>6.4899999999999999E-2</v>
      </c>
      <c r="EA3" s="230">
        <v>142875</v>
      </c>
      <c r="EB3" s="229">
        <v>-7.4000000000000003E-3</v>
      </c>
      <c r="EC3" s="229">
        <v>6.4899999999999999E-2</v>
      </c>
      <c r="ED3" s="228">
        <v>-49.31</v>
      </c>
      <c r="EE3" s="229">
        <v>-7.0000000000000001E-3</v>
      </c>
      <c r="EF3" s="230">
        <v>246166</v>
      </c>
      <c r="EG3" s="230">
        <v>278021</v>
      </c>
      <c r="EH3" s="229">
        <v>-0.11459999999999999</v>
      </c>
      <c r="EI3" s="229">
        <v>0.42659999999999998</v>
      </c>
      <c r="EJ3" s="231">
        <v>304208.7</v>
      </c>
      <c r="EK3" s="231">
        <v>135173.26999999999</v>
      </c>
      <c r="EL3" s="231">
        <v>43776.46</v>
      </c>
      <c r="EM3" s="231">
        <v>4853</v>
      </c>
      <c r="EN3" s="231">
        <v>483158.43</v>
      </c>
      <c r="EO3" s="231">
        <v>313395.83</v>
      </c>
      <c r="EP3" s="231">
        <v>169762.6</v>
      </c>
      <c r="EQ3" s="229">
        <v>0.54169999999999996</v>
      </c>
      <c r="ER3" s="231">
        <v>69233</v>
      </c>
      <c r="ES3" s="231">
        <v>72429</v>
      </c>
      <c r="ET3" s="231">
        <v>169024</v>
      </c>
      <c r="EU3" s="231">
        <v>7946564</v>
      </c>
      <c r="EV3" s="231">
        <v>310686</v>
      </c>
      <c r="EW3" s="231">
        <v>298186</v>
      </c>
      <c r="EX3" s="231">
        <v>12500</v>
      </c>
      <c r="EY3" s="229">
        <v>4.19E-2</v>
      </c>
      <c r="EZ3" s="229">
        <v>0.5706</v>
      </c>
      <c r="FA3" s="227" t="s">
        <v>555</v>
      </c>
      <c r="FB3" s="161">
        <f t="shared" ref="FB3:FB66" si="0">BX3-CB3</f>
        <v>155875</v>
      </c>
    </row>
    <row r="4" spans="1:158" ht="17.25" thickBot="1" x14ac:dyDescent="0.3">
      <c r="A4" s="226">
        <v>46129</v>
      </c>
      <c r="B4" s="227" t="s">
        <v>175</v>
      </c>
      <c r="C4" s="227" t="s">
        <v>544</v>
      </c>
      <c r="D4" s="228">
        <v>3100</v>
      </c>
      <c r="E4" s="228">
        <v>340.8</v>
      </c>
      <c r="F4" s="228">
        <v>338.05</v>
      </c>
      <c r="G4" s="228">
        <v>2.75</v>
      </c>
      <c r="H4" s="229">
        <v>8.0999999999999996E-3</v>
      </c>
      <c r="I4" s="228">
        <v>340.4</v>
      </c>
      <c r="J4" s="228">
        <v>337.95</v>
      </c>
      <c r="K4" s="228">
        <v>2.4500000000000002</v>
      </c>
      <c r="L4" s="229">
        <v>7.1999999999999998E-3</v>
      </c>
      <c r="M4" s="228">
        <v>340.8</v>
      </c>
      <c r="N4" s="228">
        <v>338.05</v>
      </c>
      <c r="O4" s="228">
        <v>2.75</v>
      </c>
      <c r="P4" s="229">
        <v>8.0999999999999996E-3</v>
      </c>
      <c r="Q4" s="228">
        <v>343.1</v>
      </c>
      <c r="R4" s="228">
        <v>340.2</v>
      </c>
      <c r="S4" s="228">
        <v>2.9</v>
      </c>
      <c r="T4" s="229">
        <v>8.5000000000000006E-3</v>
      </c>
      <c r="U4" s="228">
        <v>345.15</v>
      </c>
      <c r="V4" s="228">
        <v>342.25</v>
      </c>
      <c r="W4" s="228">
        <v>2.9</v>
      </c>
      <c r="X4" s="229">
        <v>8.5000000000000006E-3</v>
      </c>
      <c r="Y4" s="228">
        <v>0.4</v>
      </c>
      <c r="Z4" s="228">
        <v>0.1</v>
      </c>
      <c r="AA4" s="228">
        <v>0.3</v>
      </c>
      <c r="AB4" s="229">
        <v>1.1999999999999999E-3</v>
      </c>
      <c r="AC4" s="228">
        <v>0.4</v>
      </c>
      <c r="AD4" s="228">
        <v>0.1</v>
      </c>
      <c r="AE4" s="228">
        <v>0.3</v>
      </c>
      <c r="AF4" s="229">
        <v>1.1999999999999999E-3</v>
      </c>
      <c r="AG4" s="228">
        <v>2.7</v>
      </c>
      <c r="AH4" s="228">
        <v>2.25</v>
      </c>
      <c r="AI4" s="228">
        <v>0.45</v>
      </c>
      <c r="AJ4" s="229">
        <v>7.9000000000000008E-3</v>
      </c>
      <c r="AK4" s="228">
        <v>4.75</v>
      </c>
      <c r="AL4" s="228">
        <v>4.3</v>
      </c>
      <c r="AM4" s="228">
        <v>0.45</v>
      </c>
      <c r="AN4" s="229">
        <v>1.4E-2</v>
      </c>
      <c r="AO4" s="228">
        <v>338.67</v>
      </c>
      <c r="AP4" s="228">
        <v>340.93</v>
      </c>
      <c r="AQ4" s="228">
        <v>0</v>
      </c>
      <c r="AR4" s="230">
        <v>6472800</v>
      </c>
      <c r="AS4" s="230">
        <v>9222500</v>
      </c>
      <c r="AT4" s="230">
        <v>-2749700</v>
      </c>
      <c r="AU4" s="229">
        <v>-0.29820000000000002</v>
      </c>
      <c r="AV4" s="230">
        <v>6017100</v>
      </c>
      <c r="AW4" s="230">
        <v>8735800</v>
      </c>
      <c r="AX4" s="230">
        <v>-2718700</v>
      </c>
      <c r="AY4" s="229">
        <v>-0.31119999999999998</v>
      </c>
      <c r="AZ4" s="230">
        <v>396800</v>
      </c>
      <c r="BA4" s="230">
        <v>430900</v>
      </c>
      <c r="BB4" s="230">
        <v>-34100</v>
      </c>
      <c r="BC4" s="229">
        <v>-7.9100000000000004E-2</v>
      </c>
      <c r="BD4" s="230">
        <v>58900</v>
      </c>
      <c r="BE4" s="230">
        <v>55800</v>
      </c>
      <c r="BF4" s="230">
        <v>3100</v>
      </c>
      <c r="BG4" s="229">
        <v>5.5599999999999997E-2</v>
      </c>
      <c r="BH4" s="230">
        <v>53651700</v>
      </c>
      <c r="BI4" s="230">
        <v>15366700</v>
      </c>
      <c r="BJ4" s="230">
        <v>38285000</v>
      </c>
      <c r="BK4" s="229">
        <v>2.4914000000000001</v>
      </c>
      <c r="BL4" s="230">
        <v>12703800</v>
      </c>
      <c r="BM4" s="230">
        <v>9163600</v>
      </c>
      <c r="BN4" s="230">
        <v>3540200</v>
      </c>
      <c r="BO4" s="229">
        <v>0.38629999999999998</v>
      </c>
      <c r="BP4" s="230">
        <v>72828300</v>
      </c>
      <c r="BQ4" s="230">
        <v>33752800</v>
      </c>
      <c r="BR4" s="230">
        <v>39075500</v>
      </c>
      <c r="BS4" s="229">
        <v>1.1577</v>
      </c>
      <c r="BT4" s="230">
        <v>2816760</v>
      </c>
      <c r="BU4" s="230">
        <v>4308479</v>
      </c>
      <c r="BV4" s="230">
        <v>-1491719</v>
      </c>
      <c r="BW4" s="229">
        <v>-0.34620000000000001</v>
      </c>
      <c r="BX4" s="230">
        <v>43542600</v>
      </c>
      <c r="BY4" s="230">
        <v>44029300</v>
      </c>
      <c r="BZ4" s="230">
        <v>-486700</v>
      </c>
      <c r="CA4" s="229">
        <v>-1.11E-2</v>
      </c>
      <c r="CB4" s="230">
        <v>42559900</v>
      </c>
      <c r="CC4" s="230">
        <v>43189200</v>
      </c>
      <c r="CD4" s="230">
        <v>-629300</v>
      </c>
      <c r="CE4" s="229">
        <v>-1.46E-2</v>
      </c>
      <c r="CF4" s="230">
        <v>864900</v>
      </c>
      <c r="CG4" s="230">
        <v>709900</v>
      </c>
      <c r="CH4" s="230">
        <v>155000</v>
      </c>
      <c r="CI4" s="229">
        <v>0.21829999999999999</v>
      </c>
      <c r="CJ4" s="230">
        <v>117800</v>
      </c>
      <c r="CK4" s="230">
        <v>130200</v>
      </c>
      <c r="CL4" s="230">
        <v>-12400</v>
      </c>
      <c r="CM4" s="229">
        <v>-9.5200000000000007E-2</v>
      </c>
      <c r="CN4" s="230">
        <v>16433100</v>
      </c>
      <c r="CO4" s="230">
        <v>11358400</v>
      </c>
      <c r="CP4" s="230">
        <v>5074700</v>
      </c>
      <c r="CQ4" s="229">
        <v>0.44679999999999997</v>
      </c>
      <c r="CR4" s="230">
        <v>10099800</v>
      </c>
      <c r="CS4" s="230">
        <v>8878400</v>
      </c>
      <c r="CT4" s="230">
        <v>1221400</v>
      </c>
      <c r="CU4" s="229">
        <v>0.1376</v>
      </c>
      <c r="CV4" s="230">
        <v>70075500</v>
      </c>
      <c r="CW4" s="230">
        <v>64266100</v>
      </c>
      <c r="CX4" s="230">
        <v>5809400</v>
      </c>
      <c r="CY4" s="229">
        <v>9.0399999999999994E-2</v>
      </c>
      <c r="CZ4" s="228">
        <v>40.07</v>
      </c>
      <c r="DA4" s="228">
        <v>41.96</v>
      </c>
      <c r="DB4" s="228">
        <v>-1.89</v>
      </c>
      <c r="DC4" s="228">
        <v>-1.89</v>
      </c>
      <c r="DD4" s="228">
        <v>41.5</v>
      </c>
      <c r="DE4" s="228">
        <v>41.58</v>
      </c>
      <c r="DF4" s="228">
        <v>-1.43</v>
      </c>
      <c r="DG4" s="228">
        <v>-0.08</v>
      </c>
      <c r="DH4" s="228">
        <v>39.83</v>
      </c>
      <c r="DI4" s="228">
        <v>41.44</v>
      </c>
      <c r="DJ4" s="228">
        <v>-1.61</v>
      </c>
      <c r="DK4" s="228">
        <v>-1.61</v>
      </c>
      <c r="DL4" s="228">
        <v>41.09</v>
      </c>
      <c r="DM4" s="228">
        <v>42.84</v>
      </c>
      <c r="DN4" s="228">
        <v>-1.75</v>
      </c>
      <c r="DO4" s="228">
        <v>-1.75</v>
      </c>
      <c r="DP4" s="228">
        <v>0.61</v>
      </c>
      <c r="DQ4" s="228">
        <v>0.78</v>
      </c>
      <c r="DR4" s="228">
        <v>-0.17</v>
      </c>
      <c r="DS4" s="229">
        <v>-0.21790000000000001</v>
      </c>
      <c r="DT4" s="228">
        <v>355</v>
      </c>
      <c r="DU4" s="228">
        <v>320</v>
      </c>
      <c r="DV4" s="228">
        <v>0.24</v>
      </c>
      <c r="DW4" s="228">
        <v>0.6</v>
      </c>
      <c r="DX4" s="228">
        <v>-0.36</v>
      </c>
      <c r="DY4" s="229">
        <v>-0.6</v>
      </c>
      <c r="DZ4" s="229">
        <v>2.2599999999999999E-2</v>
      </c>
      <c r="EA4" s="230">
        <v>840100</v>
      </c>
      <c r="EB4" s="229">
        <v>6.7000000000000002E-3</v>
      </c>
      <c r="EC4" s="229">
        <v>2.2599999999999999E-2</v>
      </c>
      <c r="ED4" s="228">
        <v>2.2599999999999998</v>
      </c>
      <c r="EE4" s="229">
        <v>6.7000000000000002E-3</v>
      </c>
      <c r="EF4" s="230">
        <v>1159984</v>
      </c>
      <c r="EG4" s="230">
        <v>1979696</v>
      </c>
      <c r="EH4" s="229">
        <v>-0.41410000000000002</v>
      </c>
      <c r="EI4" s="229">
        <v>0.4118</v>
      </c>
      <c r="EJ4" s="231">
        <v>191206.98</v>
      </c>
      <c r="EK4" s="231">
        <v>42378.79</v>
      </c>
      <c r="EL4" s="231">
        <v>21932.81</v>
      </c>
      <c r="EM4" s="231">
        <v>2349</v>
      </c>
      <c r="EN4" s="231">
        <v>255518.58</v>
      </c>
      <c r="EO4" s="231">
        <v>117305.54</v>
      </c>
      <c r="EP4" s="231">
        <v>138213.04</v>
      </c>
      <c r="EQ4" s="229">
        <v>1.1781999999999999</v>
      </c>
      <c r="ER4" s="231">
        <v>56897</v>
      </c>
      <c r="ES4" s="231">
        <v>31834</v>
      </c>
      <c r="ET4" s="231">
        <v>148418</v>
      </c>
      <c r="EU4" s="231">
        <v>123369777</v>
      </c>
      <c r="EV4" s="231">
        <v>237149</v>
      </c>
      <c r="EW4" s="231">
        <v>215440</v>
      </c>
      <c r="EX4" s="231">
        <v>21709</v>
      </c>
      <c r="EY4" s="229">
        <v>0.1008</v>
      </c>
      <c r="EZ4" s="229">
        <v>0.56799999999999995</v>
      </c>
      <c r="FA4" s="227" t="s">
        <v>693</v>
      </c>
      <c r="FB4" s="161">
        <f t="shared" si="0"/>
        <v>982700</v>
      </c>
    </row>
    <row r="5" spans="1:158" ht="17.25" thickBot="1" x14ac:dyDescent="0.3">
      <c r="A5" s="226">
        <v>46129</v>
      </c>
      <c r="B5" s="227" t="s">
        <v>161</v>
      </c>
      <c r="C5" s="227" t="s">
        <v>578</v>
      </c>
      <c r="D5" s="228">
        <v>675</v>
      </c>
      <c r="E5" s="231">
        <v>1261.7</v>
      </c>
      <c r="F5" s="231">
        <v>1227.75</v>
      </c>
      <c r="G5" s="228">
        <v>33.950000000000003</v>
      </c>
      <c r="H5" s="229">
        <v>2.7699999999999999E-2</v>
      </c>
      <c r="I5" s="231">
        <v>1259.8</v>
      </c>
      <c r="J5" s="231">
        <v>1222.5999999999999</v>
      </c>
      <c r="K5" s="228">
        <v>37.200000000000003</v>
      </c>
      <c r="L5" s="229">
        <v>3.04E-2</v>
      </c>
      <c r="M5" s="231">
        <v>1261.7</v>
      </c>
      <c r="N5" s="231">
        <v>1227.75</v>
      </c>
      <c r="O5" s="228">
        <v>33.950000000000003</v>
      </c>
      <c r="P5" s="229">
        <v>2.7699999999999999E-2</v>
      </c>
      <c r="Q5" s="231">
        <v>1267.7</v>
      </c>
      <c r="R5" s="231">
        <v>1233.6500000000001</v>
      </c>
      <c r="S5" s="228">
        <v>34.049999999999997</v>
      </c>
      <c r="T5" s="229">
        <v>2.76E-2</v>
      </c>
      <c r="U5" s="231">
        <v>1272.6500000000001</v>
      </c>
      <c r="V5" s="231">
        <v>1238</v>
      </c>
      <c r="W5" s="228">
        <v>34.65</v>
      </c>
      <c r="X5" s="229">
        <v>2.8000000000000001E-2</v>
      </c>
      <c r="Y5" s="228">
        <v>1.9</v>
      </c>
      <c r="Z5" s="228">
        <v>5.15</v>
      </c>
      <c r="AA5" s="228">
        <v>-3.25</v>
      </c>
      <c r="AB5" s="229">
        <v>1.5E-3</v>
      </c>
      <c r="AC5" s="228">
        <v>1.9</v>
      </c>
      <c r="AD5" s="228">
        <v>5.15</v>
      </c>
      <c r="AE5" s="228">
        <v>-3.25</v>
      </c>
      <c r="AF5" s="229">
        <v>1.5E-3</v>
      </c>
      <c r="AG5" s="228">
        <v>7.9</v>
      </c>
      <c r="AH5" s="228">
        <v>11.05</v>
      </c>
      <c r="AI5" s="228">
        <v>-3.15</v>
      </c>
      <c r="AJ5" s="229">
        <v>6.3E-3</v>
      </c>
      <c r="AK5" s="228">
        <v>12.85</v>
      </c>
      <c r="AL5" s="228">
        <v>15.4</v>
      </c>
      <c r="AM5" s="228">
        <v>-2.5499999999999998</v>
      </c>
      <c r="AN5" s="229">
        <v>1.0200000000000001E-2</v>
      </c>
      <c r="AO5" s="231">
        <v>1251.75</v>
      </c>
      <c r="AP5" s="231">
        <v>1254.44</v>
      </c>
      <c r="AQ5" s="228">
        <v>0</v>
      </c>
      <c r="AR5" s="230">
        <v>6612300</v>
      </c>
      <c r="AS5" s="230">
        <v>4284225</v>
      </c>
      <c r="AT5" s="230">
        <v>2328075</v>
      </c>
      <c r="AU5" s="229">
        <v>0.54339999999999999</v>
      </c>
      <c r="AV5" s="230">
        <v>6301800</v>
      </c>
      <c r="AW5" s="230">
        <v>4123575</v>
      </c>
      <c r="AX5" s="230">
        <v>2178225</v>
      </c>
      <c r="AY5" s="229">
        <v>0.5282</v>
      </c>
      <c r="AZ5" s="230">
        <v>291600</v>
      </c>
      <c r="BA5" s="230">
        <v>149850</v>
      </c>
      <c r="BB5" s="230">
        <v>141750</v>
      </c>
      <c r="BC5" s="229">
        <v>0.94589999999999996</v>
      </c>
      <c r="BD5" s="230">
        <v>18900</v>
      </c>
      <c r="BE5" s="230">
        <v>10800</v>
      </c>
      <c r="BF5" s="230">
        <v>8100</v>
      </c>
      <c r="BG5" s="229">
        <v>0.75</v>
      </c>
      <c r="BH5" s="230">
        <v>12719025</v>
      </c>
      <c r="BI5" s="230">
        <v>11061900</v>
      </c>
      <c r="BJ5" s="230">
        <v>1657125</v>
      </c>
      <c r="BK5" s="229">
        <v>0.14979999999999999</v>
      </c>
      <c r="BL5" s="230">
        <v>6996375</v>
      </c>
      <c r="BM5" s="230">
        <v>4657500</v>
      </c>
      <c r="BN5" s="230">
        <v>2338875</v>
      </c>
      <c r="BO5" s="229">
        <v>0.50219999999999998</v>
      </c>
      <c r="BP5" s="230">
        <v>26327700</v>
      </c>
      <c r="BQ5" s="230">
        <v>20003625</v>
      </c>
      <c r="BR5" s="230">
        <v>6324075</v>
      </c>
      <c r="BS5" s="229">
        <v>0.31609999999999999</v>
      </c>
      <c r="BT5" s="230">
        <v>5133355</v>
      </c>
      <c r="BU5" s="230">
        <v>3377032</v>
      </c>
      <c r="BV5" s="230">
        <v>1756323</v>
      </c>
      <c r="BW5" s="229">
        <v>0.52010000000000001</v>
      </c>
      <c r="BX5" s="230">
        <v>23224725</v>
      </c>
      <c r="BY5" s="230">
        <v>21622275</v>
      </c>
      <c r="BZ5" s="230">
        <v>1602450</v>
      </c>
      <c r="CA5" s="229">
        <v>7.4099999999999999E-2</v>
      </c>
      <c r="CB5" s="230">
        <v>19971225</v>
      </c>
      <c r="CC5" s="230">
        <v>18393750</v>
      </c>
      <c r="CD5" s="230">
        <v>1577475</v>
      </c>
      <c r="CE5" s="229">
        <v>8.5800000000000001E-2</v>
      </c>
      <c r="CF5" s="230">
        <v>3222450</v>
      </c>
      <c r="CG5" s="230">
        <v>3200175</v>
      </c>
      <c r="CH5" s="230">
        <v>22275</v>
      </c>
      <c r="CI5" s="229">
        <v>7.0000000000000001E-3</v>
      </c>
      <c r="CJ5" s="230">
        <v>31050</v>
      </c>
      <c r="CK5" s="230">
        <v>28350</v>
      </c>
      <c r="CL5" s="230">
        <v>2700</v>
      </c>
      <c r="CM5" s="229">
        <v>9.5200000000000007E-2</v>
      </c>
      <c r="CN5" s="230">
        <v>3996675</v>
      </c>
      <c r="CO5" s="230">
        <v>3739500</v>
      </c>
      <c r="CP5" s="230">
        <v>257175</v>
      </c>
      <c r="CQ5" s="229">
        <v>6.88E-2</v>
      </c>
      <c r="CR5" s="230">
        <v>2743875</v>
      </c>
      <c r="CS5" s="230">
        <v>2624400</v>
      </c>
      <c r="CT5" s="230">
        <v>119475</v>
      </c>
      <c r="CU5" s="229">
        <v>4.5499999999999999E-2</v>
      </c>
      <c r="CV5" s="230">
        <v>29965275</v>
      </c>
      <c r="CW5" s="230">
        <v>27986175</v>
      </c>
      <c r="CX5" s="230">
        <v>1979100</v>
      </c>
      <c r="CY5" s="229">
        <v>7.0699999999999999E-2</v>
      </c>
      <c r="CZ5" s="228">
        <v>49.08</v>
      </c>
      <c r="DA5" s="228">
        <v>50.86</v>
      </c>
      <c r="DB5" s="228">
        <v>-1.78</v>
      </c>
      <c r="DC5" s="228">
        <v>-1.78</v>
      </c>
      <c r="DD5" s="228">
        <v>55.81</v>
      </c>
      <c r="DE5" s="228">
        <v>55.82</v>
      </c>
      <c r="DF5" s="228">
        <v>-6.73</v>
      </c>
      <c r="DG5" s="228">
        <v>-0.01</v>
      </c>
      <c r="DH5" s="228">
        <v>47.23</v>
      </c>
      <c r="DI5" s="228">
        <v>49.99</v>
      </c>
      <c r="DJ5" s="228">
        <v>-2.76</v>
      </c>
      <c r="DK5" s="228">
        <v>-2.76</v>
      </c>
      <c r="DL5" s="228">
        <v>52.43</v>
      </c>
      <c r="DM5" s="228">
        <v>52.92</v>
      </c>
      <c r="DN5" s="228">
        <v>-0.49</v>
      </c>
      <c r="DO5" s="228">
        <v>-0.49</v>
      </c>
      <c r="DP5" s="228">
        <v>0.69</v>
      </c>
      <c r="DQ5" s="228">
        <v>0.7</v>
      </c>
      <c r="DR5" s="228">
        <v>-0.01</v>
      </c>
      <c r="DS5" s="229">
        <v>-1.43E-2</v>
      </c>
      <c r="DT5" s="231">
        <v>1200</v>
      </c>
      <c r="DU5" s="231">
        <v>1200</v>
      </c>
      <c r="DV5" s="228">
        <v>0.55000000000000004</v>
      </c>
      <c r="DW5" s="228">
        <v>0.42</v>
      </c>
      <c r="DX5" s="228">
        <v>0.13</v>
      </c>
      <c r="DY5" s="229">
        <v>0.3095</v>
      </c>
      <c r="DZ5" s="229">
        <v>0.1401</v>
      </c>
      <c r="EA5" s="230">
        <v>3228525</v>
      </c>
      <c r="EB5" s="229">
        <v>4.7999999999999996E-3</v>
      </c>
      <c r="EC5" s="229">
        <v>0.1401</v>
      </c>
      <c r="ED5" s="228">
        <v>2.69</v>
      </c>
      <c r="EE5" s="229">
        <v>2.0999999999999999E-3</v>
      </c>
      <c r="EF5" s="230">
        <v>2719746</v>
      </c>
      <c r="EG5" s="230">
        <v>1337696</v>
      </c>
      <c r="EH5" s="229">
        <v>1.0331999999999999</v>
      </c>
      <c r="EI5" s="229">
        <v>0.52980000000000005</v>
      </c>
      <c r="EJ5" s="231">
        <v>166010.34</v>
      </c>
      <c r="EK5" s="231">
        <v>83885.8</v>
      </c>
      <c r="EL5" s="231">
        <v>82779.009999999995</v>
      </c>
      <c r="EM5" s="231">
        <v>5808</v>
      </c>
      <c r="EN5" s="231">
        <v>332675.15000000002</v>
      </c>
      <c r="EO5" s="231">
        <v>246629.66</v>
      </c>
      <c r="EP5" s="231">
        <v>86045.49</v>
      </c>
      <c r="EQ5" s="229">
        <v>0.34889999999999999</v>
      </c>
      <c r="ER5" s="231">
        <v>46060</v>
      </c>
      <c r="ES5" s="231">
        <v>29604</v>
      </c>
      <c r="ET5" s="231">
        <v>293223</v>
      </c>
      <c r="EU5" s="231">
        <v>35196587</v>
      </c>
      <c r="EV5" s="231">
        <v>368888</v>
      </c>
      <c r="EW5" s="231">
        <v>335651</v>
      </c>
      <c r="EX5" s="231">
        <v>33237</v>
      </c>
      <c r="EY5" s="229">
        <v>9.9000000000000005E-2</v>
      </c>
      <c r="EZ5" s="229">
        <v>0.85140000000000005</v>
      </c>
      <c r="FA5" s="227" t="s">
        <v>555</v>
      </c>
      <c r="FB5" s="161">
        <f t="shared" si="0"/>
        <v>3253500</v>
      </c>
    </row>
    <row r="6" spans="1:158" ht="17.25" thickBot="1" x14ac:dyDescent="0.3">
      <c r="A6" s="226">
        <v>46129</v>
      </c>
      <c r="B6" s="227" t="s">
        <v>215</v>
      </c>
      <c r="C6" s="227" t="s">
        <v>159</v>
      </c>
      <c r="D6" s="228">
        <v>309</v>
      </c>
      <c r="E6" s="231">
        <v>2224.9</v>
      </c>
      <c r="F6" s="231">
        <v>2211.1</v>
      </c>
      <c r="G6" s="228">
        <v>13.8</v>
      </c>
      <c r="H6" s="229">
        <v>6.1999999999999998E-3</v>
      </c>
      <c r="I6" s="231">
        <v>2218.3000000000002</v>
      </c>
      <c r="J6" s="231">
        <v>2203.6999999999998</v>
      </c>
      <c r="K6" s="228">
        <v>14.6</v>
      </c>
      <c r="L6" s="229">
        <v>6.6E-3</v>
      </c>
      <c r="M6" s="231">
        <v>2224.9</v>
      </c>
      <c r="N6" s="231">
        <v>2211.1</v>
      </c>
      <c r="O6" s="228">
        <v>13.8</v>
      </c>
      <c r="P6" s="229">
        <v>6.1999999999999998E-3</v>
      </c>
      <c r="Q6" s="231">
        <v>2237.6999999999998</v>
      </c>
      <c r="R6" s="231">
        <v>2222.4</v>
      </c>
      <c r="S6" s="228">
        <v>15.3</v>
      </c>
      <c r="T6" s="229">
        <v>6.8999999999999999E-3</v>
      </c>
      <c r="U6" s="231">
        <v>2249.9</v>
      </c>
      <c r="V6" s="231">
        <v>2233</v>
      </c>
      <c r="W6" s="228">
        <v>16.899999999999999</v>
      </c>
      <c r="X6" s="229">
        <v>7.6E-3</v>
      </c>
      <c r="Y6" s="228">
        <v>6.6</v>
      </c>
      <c r="Z6" s="228">
        <v>7.4</v>
      </c>
      <c r="AA6" s="228">
        <v>-0.8</v>
      </c>
      <c r="AB6" s="229">
        <v>3.0000000000000001E-3</v>
      </c>
      <c r="AC6" s="228">
        <v>6.6</v>
      </c>
      <c r="AD6" s="228">
        <v>7.4</v>
      </c>
      <c r="AE6" s="228">
        <v>-0.8</v>
      </c>
      <c r="AF6" s="229">
        <v>3.0000000000000001E-3</v>
      </c>
      <c r="AG6" s="228">
        <v>19.399999999999999</v>
      </c>
      <c r="AH6" s="228">
        <v>18.7</v>
      </c>
      <c r="AI6" s="228">
        <v>0.7</v>
      </c>
      <c r="AJ6" s="229">
        <v>8.6999999999999994E-3</v>
      </c>
      <c r="AK6" s="228">
        <v>31.6</v>
      </c>
      <c r="AL6" s="228">
        <v>29.3</v>
      </c>
      <c r="AM6" s="228">
        <v>2.2999999999999998</v>
      </c>
      <c r="AN6" s="229">
        <v>1.4200000000000001E-2</v>
      </c>
      <c r="AO6" s="231">
        <v>2211.38</v>
      </c>
      <c r="AP6" s="231">
        <v>2223.83</v>
      </c>
      <c r="AQ6" s="228">
        <v>0</v>
      </c>
      <c r="AR6" s="230">
        <v>3433608</v>
      </c>
      <c r="AS6" s="230">
        <v>3427428</v>
      </c>
      <c r="AT6" s="230">
        <v>6180</v>
      </c>
      <c r="AU6" s="229">
        <v>1.8E-3</v>
      </c>
      <c r="AV6" s="230">
        <v>2808810</v>
      </c>
      <c r="AW6" s="230">
        <v>2697261</v>
      </c>
      <c r="AX6" s="230">
        <v>111549</v>
      </c>
      <c r="AY6" s="229">
        <v>4.1399999999999999E-2</v>
      </c>
      <c r="AZ6" s="230">
        <v>578757</v>
      </c>
      <c r="BA6" s="230">
        <v>690924</v>
      </c>
      <c r="BB6" s="230">
        <v>-112167</v>
      </c>
      <c r="BC6" s="229">
        <v>-0.1623</v>
      </c>
      <c r="BD6" s="230">
        <v>46041</v>
      </c>
      <c r="BE6" s="230">
        <v>39243</v>
      </c>
      <c r="BF6" s="230">
        <v>6798</v>
      </c>
      <c r="BG6" s="229">
        <v>0.17319999999999999</v>
      </c>
      <c r="BH6" s="230">
        <v>14176302</v>
      </c>
      <c r="BI6" s="230">
        <v>12141537</v>
      </c>
      <c r="BJ6" s="230">
        <v>2034765</v>
      </c>
      <c r="BK6" s="229">
        <v>0.1676</v>
      </c>
      <c r="BL6" s="230">
        <v>6814068</v>
      </c>
      <c r="BM6" s="230">
        <v>5670150</v>
      </c>
      <c r="BN6" s="230">
        <v>1143918</v>
      </c>
      <c r="BO6" s="229">
        <v>0.20169999999999999</v>
      </c>
      <c r="BP6" s="230">
        <v>24423978</v>
      </c>
      <c r="BQ6" s="230">
        <v>21239115</v>
      </c>
      <c r="BR6" s="230">
        <v>3184863</v>
      </c>
      <c r="BS6" s="229">
        <v>0.15</v>
      </c>
      <c r="BT6" s="230">
        <v>2625958</v>
      </c>
      <c r="BU6" s="230">
        <v>2404309</v>
      </c>
      <c r="BV6" s="230">
        <v>221649</v>
      </c>
      <c r="BW6" s="229">
        <v>9.2200000000000004E-2</v>
      </c>
      <c r="BX6" s="230">
        <v>17311107</v>
      </c>
      <c r="BY6" s="230">
        <v>17058963</v>
      </c>
      <c r="BZ6" s="230">
        <v>252144</v>
      </c>
      <c r="CA6" s="229">
        <v>1.4800000000000001E-2</v>
      </c>
      <c r="CB6" s="230">
        <v>15672480</v>
      </c>
      <c r="CC6" s="230">
        <v>15653013</v>
      </c>
      <c r="CD6" s="230">
        <v>19467</v>
      </c>
      <c r="CE6" s="229">
        <v>1.1999999999999999E-3</v>
      </c>
      <c r="CF6" s="230">
        <v>1543455</v>
      </c>
      <c r="CG6" s="230">
        <v>1317576</v>
      </c>
      <c r="CH6" s="230">
        <v>225879</v>
      </c>
      <c r="CI6" s="229">
        <v>0.1714</v>
      </c>
      <c r="CJ6" s="230">
        <v>95172</v>
      </c>
      <c r="CK6" s="230">
        <v>88374</v>
      </c>
      <c r="CL6" s="230">
        <v>6798</v>
      </c>
      <c r="CM6" s="229">
        <v>7.6899999999999996E-2</v>
      </c>
      <c r="CN6" s="230">
        <v>7272315</v>
      </c>
      <c r="CO6" s="230">
        <v>6888537</v>
      </c>
      <c r="CP6" s="230">
        <v>383778</v>
      </c>
      <c r="CQ6" s="229">
        <v>5.57E-2</v>
      </c>
      <c r="CR6" s="230">
        <v>6807270</v>
      </c>
      <c r="CS6" s="230">
        <v>6799236</v>
      </c>
      <c r="CT6" s="230">
        <v>8034</v>
      </c>
      <c r="CU6" s="229">
        <v>1.1999999999999999E-3</v>
      </c>
      <c r="CV6" s="230">
        <v>31390692</v>
      </c>
      <c r="CW6" s="230">
        <v>30746736</v>
      </c>
      <c r="CX6" s="230">
        <v>643956</v>
      </c>
      <c r="CY6" s="229">
        <v>2.0899999999999998E-2</v>
      </c>
      <c r="CZ6" s="228">
        <v>40.03</v>
      </c>
      <c r="DA6" s="228">
        <v>41.29</v>
      </c>
      <c r="DB6" s="228">
        <v>-1.26</v>
      </c>
      <c r="DC6" s="228">
        <v>-1.26</v>
      </c>
      <c r="DD6" s="228">
        <v>49.63</v>
      </c>
      <c r="DE6" s="228">
        <v>49.75</v>
      </c>
      <c r="DF6" s="228">
        <v>-9.6</v>
      </c>
      <c r="DG6" s="228">
        <v>-0.12</v>
      </c>
      <c r="DH6" s="228">
        <v>38.51</v>
      </c>
      <c r="DI6" s="228">
        <v>40.03</v>
      </c>
      <c r="DJ6" s="228">
        <v>-1.52</v>
      </c>
      <c r="DK6" s="228">
        <v>-1.52</v>
      </c>
      <c r="DL6" s="228">
        <v>43.19</v>
      </c>
      <c r="DM6" s="228">
        <v>43.97</v>
      </c>
      <c r="DN6" s="228">
        <v>-0.78</v>
      </c>
      <c r="DO6" s="228">
        <v>-0.78</v>
      </c>
      <c r="DP6" s="228">
        <v>0.94</v>
      </c>
      <c r="DQ6" s="228">
        <v>0.99</v>
      </c>
      <c r="DR6" s="228">
        <v>-0.05</v>
      </c>
      <c r="DS6" s="229">
        <v>-5.0500000000000003E-2</v>
      </c>
      <c r="DT6" s="231">
        <v>2200</v>
      </c>
      <c r="DU6" s="231">
        <v>2200</v>
      </c>
      <c r="DV6" s="228">
        <v>0.48</v>
      </c>
      <c r="DW6" s="228">
        <v>0.47</v>
      </c>
      <c r="DX6" s="228">
        <v>0.01</v>
      </c>
      <c r="DY6" s="229">
        <v>2.1299999999999999E-2</v>
      </c>
      <c r="DZ6" s="229">
        <v>9.4700000000000006E-2</v>
      </c>
      <c r="EA6" s="230">
        <v>1405950</v>
      </c>
      <c r="EB6" s="229">
        <v>5.7999999999999996E-3</v>
      </c>
      <c r="EC6" s="229">
        <v>9.4700000000000006E-2</v>
      </c>
      <c r="ED6" s="228">
        <v>12.45</v>
      </c>
      <c r="EE6" s="229">
        <v>5.5999999999999999E-3</v>
      </c>
      <c r="EF6" s="230">
        <v>651709</v>
      </c>
      <c r="EG6" s="230">
        <v>636594</v>
      </c>
      <c r="EH6" s="229">
        <v>2.3699999999999999E-2</v>
      </c>
      <c r="EI6" s="229">
        <v>0.2482</v>
      </c>
      <c r="EJ6" s="231">
        <v>328200.25</v>
      </c>
      <c r="EK6" s="231">
        <v>146446.12</v>
      </c>
      <c r="EL6" s="231">
        <v>76012.3</v>
      </c>
      <c r="EM6" s="231">
        <v>10254</v>
      </c>
      <c r="EN6" s="231">
        <v>550658.67000000004</v>
      </c>
      <c r="EO6" s="231">
        <v>474885.71</v>
      </c>
      <c r="EP6" s="231">
        <v>75772.960000000006</v>
      </c>
      <c r="EQ6" s="229">
        <v>0.15959999999999999</v>
      </c>
      <c r="ER6" s="231">
        <v>154995</v>
      </c>
      <c r="ES6" s="231">
        <v>137166</v>
      </c>
      <c r="ET6" s="231">
        <v>385376</v>
      </c>
      <c r="EU6" s="231">
        <v>33645895</v>
      </c>
      <c r="EV6" s="231">
        <v>677537</v>
      </c>
      <c r="EW6" s="231">
        <v>660580</v>
      </c>
      <c r="EX6" s="231">
        <v>16957</v>
      </c>
      <c r="EY6" s="229">
        <v>2.5700000000000001E-2</v>
      </c>
      <c r="EZ6" s="229">
        <v>0.93300000000000005</v>
      </c>
      <c r="FA6" s="227" t="s">
        <v>555</v>
      </c>
      <c r="FB6" s="161">
        <f t="shared" si="0"/>
        <v>1638627</v>
      </c>
    </row>
    <row r="7" spans="1:158" ht="17.25" thickBot="1" x14ac:dyDescent="0.3">
      <c r="A7" s="226">
        <v>46129</v>
      </c>
      <c r="B7" s="227" t="s">
        <v>161</v>
      </c>
      <c r="C7" s="227" t="s">
        <v>605</v>
      </c>
      <c r="D7" s="228">
        <v>600</v>
      </c>
      <c r="E7" s="231">
        <v>1129.1500000000001</v>
      </c>
      <c r="F7" s="231">
        <v>1122.3</v>
      </c>
      <c r="G7" s="228">
        <v>6.85</v>
      </c>
      <c r="H7" s="229">
        <v>6.1000000000000004E-3</v>
      </c>
      <c r="I7" s="231">
        <v>1127.3</v>
      </c>
      <c r="J7" s="231">
        <v>1118.9000000000001</v>
      </c>
      <c r="K7" s="228">
        <v>8.4</v>
      </c>
      <c r="L7" s="229">
        <v>7.4999999999999997E-3</v>
      </c>
      <c r="M7" s="231">
        <v>1129.1500000000001</v>
      </c>
      <c r="N7" s="231">
        <v>1122.3</v>
      </c>
      <c r="O7" s="228">
        <v>6.85</v>
      </c>
      <c r="P7" s="229">
        <v>6.1000000000000004E-3</v>
      </c>
      <c r="Q7" s="231">
        <v>1135.45</v>
      </c>
      <c r="R7" s="231">
        <v>1129.8</v>
      </c>
      <c r="S7" s="228">
        <v>5.65</v>
      </c>
      <c r="T7" s="229">
        <v>5.0000000000000001E-3</v>
      </c>
      <c r="U7" s="231">
        <v>1140</v>
      </c>
      <c r="V7" s="231">
        <v>1135.9000000000001</v>
      </c>
      <c r="W7" s="228">
        <v>4.0999999999999996</v>
      </c>
      <c r="X7" s="229">
        <v>3.5999999999999999E-3</v>
      </c>
      <c r="Y7" s="228">
        <v>1.85</v>
      </c>
      <c r="Z7" s="228">
        <v>3.4</v>
      </c>
      <c r="AA7" s="228">
        <v>-1.55</v>
      </c>
      <c r="AB7" s="229">
        <v>1.6000000000000001E-3</v>
      </c>
      <c r="AC7" s="228">
        <v>1.85</v>
      </c>
      <c r="AD7" s="228">
        <v>3.4</v>
      </c>
      <c r="AE7" s="228">
        <v>-1.55</v>
      </c>
      <c r="AF7" s="229">
        <v>1.6000000000000001E-3</v>
      </c>
      <c r="AG7" s="228">
        <v>8.15</v>
      </c>
      <c r="AH7" s="228">
        <v>10.9</v>
      </c>
      <c r="AI7" s="228">
        <v>-2.75</v>
      </c>
      <c r="AJ7" s="229">
        <v>7.1999999999999998E-3</v>
      </c>
      <c r="AK7" s="228">
        <v>12.7</v>
      </c>
      <c r="AL7" s="228">
        <v>17</v>
      </c>
      <c r="AM7" s="228">
        <v>-4.3</v>
      </c>
      <c r="AN7" s="229">
        <v>1.1299999999999999E-2</v>
      </c>
      <c r="AO7" s="231">
        <v>1122.48</v>
      </c>
      <c r="AP7" s="231">
        <v>1129.4100000000001</v>
      </c>
      <c r="AQ7" s="228">
        <v>0</v>
      </c>
      <c r="AR7" s="230">
        <v>3750000</v>
      </c>
      <c r="AS7" s="230">
        <v>3578400</v>
      </c>
      <c r="AT7" s="230">
        <v>171600</v>
      </c>
      <c r="AU7" s="229">
        <v>4.8000000000000001E-2</v>
      </c>
      <c r="AV7" s="230">
        <v>3225600</v>
      </c>
      <c r="AW7" s="230">
        <v>3297000</v>
      </c>
      <c r="AX7" s="230">
        <v>-71400</v>
      </c>
      <c r="AY7" s="229">
        <v>-2.1700000000000001E-2</v>
      </c>
      <c r="AZ7" s="230">
        <v>478200</v>
      </c>
      <c r="BA7" s="230">
        <v>240000</v>
      </c>
      <c r="BB7" s="230">
        <v>238200</v>
      </c>
      <c r="BC7" s="229">
        <v>0.99250000000000005</v>
      </c>
      <c r="BD7" s="230">
        <v>46200</v>
      </c>
      <c r="BE7" s="230">
        <v>41400</v>
      </c>
      <c r="BF7" s="230">
        <v>4800</v>
      </c>
      <c r="BG7" s="229">
        <v>0.1159</v>
      </c>
      <c r="BH7" s="230">
        <v>13622400</v>
      </c>
      <c r="BI7" s="230">
        <v>13009200</v>
      </c>
      <c r="BJ7" s="230">
        <v>613200</v>
      </c>
      <c r="BK7" s="229">
        <v>4.7100000000000003E-2</v>
      </c>
      <c r="BL7" s="230">
        <v>6788400</v>
      </c>
      <c r="BM7" s="230">
        <v>6967200</v>
      </c>
      <c r="BN7" s="230">
        <v>-178800</v>
      </c>
      <c r="BO7" s="229">
        <v>-2.5700000000000001E-2</v>
      </c>
      <c r="BP7" s="230">
        <v>24160800</v>
      </c>
      <c r="BQ7" s="230">
        <v>23554800</v>
      </c>
      <c r="BR7" s="230">
        <v>606000</v>
      </c>
      <c r="BS7" s="229">
        <v>2.5700000000000001E-2</v>
      </c>
      <c r="BT7" s="230">
        <v>6250982</v>
      </c>
      <c r="BU7" s="230">
        <v>3106294</v>
      </c>
      <c r="BV7" s="230">
        <v>3144688</v>
      </c>
      <c r="BW7" s="229">
        <v>1.0124</v>
      </c>
      <c r="BX7" s="230">
        <v>21190200</v>
      </c>
      <c r="BY7" s="230">
        <v>21049200</v>
      </c>
      <c r="BZ7" s="230">
        <v>141000</v>
      </c>
      <c r="CA7" s="229">
        <v>6.7000000000000002E-3</v>
      </c>
      <c r="CB7" s="230">
        <v>20438400</v>
      </c>
      <c r="CC7" s="230">
        <v>20408400</v>
      </c>
      <c r="CD7" s="230">
        <v>30000</v>
      </c>
      <c r="CE7" s="229">
        <v>1.5E-3</v>
      </c>
      <c r="CF7" s="230">
        <v>667800</v>
      </c>
      <c r="CG7" s="230">
        <v>566400</v>
      </c>
      <c r="CH7" s="230">
        <v>101400</v>
      </c>
      <c r="CI7" s="229">
        <v>0.17899999999999999</v>
      </c>
      <c r="CJ7" s="230">
        <v>84000</v>
      </c>
      <c r="CK7" s="230">
        <v>74400</v>
      </c>
      <c r="CL7" s="230">
        <v>9600</v>
      </c>
      <c r="CM7" s="229">
        <v>0.129</v>
      </c>
      <c r="CN7" s="230">
        <v>8115600</v>
      </c>
      <c r="CO7" s="230">
        <v>7868400</v>
      </c>
      <c r="CP7" s="230">
        <v>247200</v>
      </c>
      <c r="CQ7" s="229">
        <v>3.1399999999999997E-2</v>
      </c>
      <c r="CR7" s="230">
        <v>6835800</v>
      </c>
      <c r="CS7" s="230">
        <v>6759000</v>
      </c>
      <c r="CT7" s="230">
        <v>76800</v>
      </c>
      <c r="CU7" s="229">
        <v>1.14E-2</v>
      </c>
      <c r="CV7" s="230">
        <v>36141600</v>
      </c>
      <c r="CW7" s="230">
        <v>35676600</v>
      </c>
      <c r="CX7" s="230">
        <v>465000</v>
      </c>
      <c r="CY7" s="229">
        <v>1.2999999999999999E-2</v>
      </c>
      <c r="CZ7" s="228">
        <v>48.08</v>
      </c>
      <c r="DA7" s="228">
        <v>49.18</v>
      </c>
      <c r="DB7" s="228">
        <v>-1.1000000000000001</v>
      </c>
      <c r="DC7" s="228">
        <v>-1.1000000000000001</v>
      </c>
      <c r="DD7" s="228">
        <v>59.29</v>
      </c>
      <c r="DE7" s="228">
        <v>59.43</v>
      </c>
      <c r="DF7" s="228">
        <v>-11.21</v>
      </c>
      <c r="DG7" s="228">
        <v>-0.14000000000000001</v>
      </c>
      <c r="DH7" s="228">
        <v>46.58</v>
      </c>
      <c r="DI7" s="228">
        <v>47.67</v>
      </c>
      <c r="DJ7" s="228">
        <v>-1.0900000000000001</v>
      </c>
      <c r="DK7" s="228">
        <v>-1.0900000000000001</v>
      </c>
      <c r="DL7" s="228">
        <v>51.09</v>
      </c>
      <c r="DM7" s="228">
        <v>51.99</v>
      </c>
      <c r="DN7" s="228">
        <v>-0.9</v>
      </c>
      <c r="DO7" s="228">
        <v>-0.9</v>
      </c>
      <c r="DP7" s="228">
        <v>0.84</v>
      </c>
      <c r="DQ7" s="228">
        <v>0.86</v>
      </c>
      <c r="DR7" s="228">
        <v>-0.02</v>
      </c>
      <c r="DS7" s="229">
        <v>-2.3300000000000001E-2</v>
      </c>
      <c r="DT7" s="231">
        <v>1100</v>
      </c>
      <c r="DU7" s="231">
        <v>1000</v>
      </c>
      <c r="DV7" s="228">
        <v>0.5</v>
      </c>
      <c r="DW7" s="228">
        <v>0.54</v>
      </c>
      <c r="DX7" s="228">
        <v>-0.04</v>
      </c>
      <c r="DY7" s="229">
        <v>-7.4099999999999999E-2</v>
      </c>
      <c r="DZ7" s="229">
        <v>3.5499999999999997E-2</v>
      </c>
      <c r="EA7" s="230">
        <v>640800</v>
      </c>
      <c r="EB7" s="229">
        <v>5.5999999999999999E-3</v>
      </c>
      <c r="EC7" s="229">
        <v>3.5499999999999997E-2</v>
      </c>
      <c r="ED7" s="228">
        <v>6.93</v>
      </c>
      <c r="EE7" s="229">
        <v>6.1999999999999998E-3</v>
      </c>
      <c r="EF7" s="230">
        <v>1893136</v>
      </c>
      <c r="EG7" s="230">
        <v>892702</v>
      </c>
      <c r="EH7" s="229">
        <v>1.1207</v>
      </c>
      <c r="EI7" s="229">
        <v>0.3029</v>
      </c>
      <c r="EJ7" s="231">
        <v>160560.57999999999</v>
      </c>
      <c r="EK7" s="231">
        <v>74234.64</v>
      </c>
      <c r="EL7" s="231">
        <v>42131.09</v>
      </c>
      <c r="EM7" s="231">
        <v>6104</v>
      </c>
      <c r="EN7" s="231">
        <v>276926.31</v>
      </c>
      <c r="EO7" s="231">
        <v>267554.06</v>
      </c>
      <c r="EP7" s="231">
        <v>9372.25</v>
      </c>
      <c r="EQ7" s="229">
        <v>3.5000000000000003E-2</v>
      </c>
      <c r="ER7" s="231">
        <v>85257</v>
      </c>
      <c r="ES7" s="231">
        <v>67873</v>
      </c>
      <c r="ET7" s="231">
        <v>239320</v>
      </c>
      <c r="EU7" s="231">
        <v>64724093</v>
      </c>
      <c r="EV7" s="231">
        <v>392451</v>
      </c>
      <c r="EW7" s="231">
        <v>385018</v>
      </c>
      <c r="EX7" s="231">
        <v>7433</v>
      </c>
      <c r="EY7" s="229">
        <v>1.9300000000000001E-2</v>
      </c>
      <c r="EZ7" s="229">
        <v>0.55840000000000001</v>
      </c>
      <c r="FA7" s="227" t="s">
        <v>555</v>
      </c>
      <c r="FB7" s="161">
        <f t="shared" si="0"/>
        <v>751800</v>
      </c>
    </row>
    <row r="8" spans="1:158" ht="17.25" thickBot="1" x14ac:dyDescent="0.3">
      <c r="A8" s="226">
        <v>46129</v>
      </c>
      <c r="B8" s="227" t="s">
        <v>215</v>
      </c>
      <c r="C8" s="227" t="s">
        <v>160</v>
      </c>
      <c r="D8" s="228">
        <v>475</v>
      </c>
      <c r="E8" s="231">
        <v>1573.2</v>
      </c>
      <c r="F8" s="231">
        <v>1550.7</v>
      </c>
      <c r="G8" s="228">
        <v>22.5</v>
      </c>
      <c r="H8" s="229">
        <v>1.4500000000000001E-2</v>
      </c>
      <c r="I8" s="231">
        <v>1573.4</v>
      </c>
      <c r="J8" s="231">
        <v>1549.8</v>
      </c>
      <c r="K8" s="228">
        <v>23.6</v>
      </c>
      <c r="L8" s="229">
        <v>1.52E-2</v>
      </c>
      <c r="M8" s="231">
        <v>1573.2</v>
      </c>
      <c r="N8" s="231">
        <v>1550.7</v>
      </c>
      <c r="O8" s="228">
        <v>22.5</v>
      </c>
      <c r="P8" s="229">
        <v>1.4500000000000001E-2</v>
      </c>
      <c r="Q8" s="231">
        <v>1582.3</v>
      </c>
      <c r="R8" s="231">
        <v>1558.7</v>
      </c>
      <c r="S8" s="228">
        <v>23.6</v>
      </c>
      <c r="T8" s="229">
        <v>1.5100000000000001E-2</v>
      </c>
      <c r="U8" s="231">
        <v>1585</v>
      </c>
      <c r="V8" s="231">
        <v>1559.2</v>
      </c>
      <c r="W8" s="228">
        <v>25.8</v>
      </c>
      <c r="X8" s="229">
        <v>1.6500000000000001E-2</v>
      </c>
      <c r="Y8" s="228">
        <v>-0.2</v>
      </c>
      <c r="Z8" s="228">
        <v>0.9</v>
      </c>
      <c r="AA8" s="228">
        <v>-1.1000000000000001</v>
      </c>
      <c r="AB8" s="229">
        <v>-1E-4</v>
      </c>
      <c r="AC8" s="228">
        <v>-0.2</v>
      </c>
      <c r="AD8" s="228">
        <v>0.9</v>
      </c>
      <c r="AE8" s="228">
        <v>-1.1000000000000001</v>
      </c>
      <c r="AF8" s="229">
        <v>-1E-4</v>
      </c>
      <c r="AG8" s="228">
        <v>8.9</v>
      </c>
      <c r="AH8" s="228">
        <v>8.9</v>
      </c>
      <c r="AI8" s="228">
        <v>0</v>
      </c>
      <c r="AJ8" s="229">
        <v>5.7000000000000002E-3</v>
      </c>
      <c r="AK8" s="228">
        <v>11.6</v>
      </c>
      <c r="AL8" s="228">
        <v>9.4</v>
      </c>
      <c r="AM8" s="228">
        <v>2.2000000000000002</v>
      </c>
      <c r="AN8" s="229">
        <v>7.4000000000000003E-3</v>
      </c>
      <c r="AO8" s="231">
        <v>1567.91</v>
      </c>
      <c r="AP8" s="231">
        <v>1577.3</v>
      </c>
      <c r="AQ8" s="228">
        <v>0</v>
      </c>
      <c r="AR8" s="230">
        <v>3988100</v>
      </c>
      <c r="AS8" s="230">
        <v>5053525</v>
      </c>
      <c r="AT8" s="230">
        <v>-1065425</v>
      </c>
      <c r="AU8" s="229">
        <v>-0.21079999999999999</v>
      </c>
      <c r="AV8" s="230">
        <v>3581025</v>
      </c>
      <c r="AW8" s="230">
        <v>4331050</v>
      </c>
      <c r="AX8" s="230">
        <v>-750025</v>
      </c>
      <c r="AY8" s="229">
        <v>-0.17319999999999999</v>
      </c>
      <c r="AZ8" s="230">
        <v>351500</v>
      </c>
      <c r="BA8" s="230">
        <v>614650</v>
      </c>
      <c r="BB8" s="230">
        <v>-263150</v>
      </c>
      <c r="BC8" s="229">
        <v>-0.42809999999999998</v>
      </c>
      <c r="BD8" s="230">
        <v>55575</v>
      </c>
      <c r="BE8" s="230">
        <v>107825</v>
      </c>
      <c r="BF8" s="230">
        <v>-52250</v>
      </c>
      <c r="BG8" s="229">
        <v>-0.48459999999999998</v>
      </c>
      <c r="BH8" s="230">
        <v>25247200</v>
      </c>
      <c r="BI8" s="230">
        <v>27591800</v>
      </c>
      <c r="BJ8" s="230">
        <v>-2344600</v>
      </c>
      <c r="BK8" s="229">
        <v>-8.5000000000000006E-2</v>
      </c>
      <c r="BL8" s="230">
        <v>12141950</v>
      </c>
      <c r="BM8" s="230">
        <v>11993750</v>
      </c>
      <c r="BN8" s="230">
        <v>148200</v>
      </c>
      <c r="BO8" s="229">
        <v>1.24E-2</v>
      </c>
      <c r="BP8" s="230">
        <v>41377250</v>
      </c>
      <c r="BQ8" s="230">
        <v>44639075</v>
      </c>
      <c r="BR8" s="230">
        <v>-3261825</v>
      </c>
      <c r="BS8" s="229">
        <v>-7.3099999999999998E-2</v>
      </c>
      <c r="BT8" s="230">
        <v>6270922</v>
      </c>
      <c r="BU8" s="230">
        <v>7717756</v>
      </c>
      <c r="BV8" s="230">
        <v>-1446834</v>
      </c>
      <c r="BW8" s="229">
        <v>-0.1875</v>
      </c>
      <c r="BX8" s="230">
        <v>19844075</v>
      </c>
      <c r="BY8" s="230">
        <v>19922450</v>
      </c>
      <c r="BZ8" s="230">
        <v>-78375</v>
      </c>
      <c r="CA8" s="229">
        <v>-3.8999999999999998E-3</v>
      </c>
      <c r="CB8" s="230">
        <v>16932325</v>
      </c>
      <c r="CC8" s="230">
        <v>17108550</v>
      </c>
      <c r="CD8" s="230">
        <v>-176225</v>
      </c>
      <c r="CE8" s="229">
        <v>-1.03E-2</v>
      </c>
      <c r="CF8" s="230">
        <v>2783500</v>
      </c>
      <c r="CG8" s="230">
        <v>2691825</v>
      </c>
      <c r="CH8" s="230">
        <v>91675</v>
      </c>
      <c r="CI8" s="229">
        <v>3.4099999999999998E-2</v>
      </c>
      <c r="CJ8" s="230">
        <v>128250</v>
      </c>
      <c r="CK8" s="230">
        <v>122075</v>
      </c>
      <c r="CL8" s="230">
        <v>6175</v>
      </c>
      <c r="CM8" s="229">
        <v>5.0599999999999999E-2</v>
      </c>
      <c r="CN8" s="230">
        <v>9410225</v>
      </c>
      <c r="CO8" s="230">
        <v>8416525</v>
      </c>
      <c r="CP8" s="230">
        <v>993700</v>
      </c>
      <c r="CQ8" s="229">
        <v>0.1181</v>
      </c>
      <c r="CR8" s="230">
        <v>7909225</v>
      </c>
      <c r="CS8" s="230">
        <v>7062300</v>
      </c>
      <c r="CT8" s="230">
        <v>846925</v>
      </c>
      <c r="CU8" s="229">
        <v>0.11990000000000001</v>
      </c>
      <c r="CV8" s="230">
        <v>37163525</v>
      </c>
      <c r="CW8" s="230">
        <v>35401275</v>
      </c>
      <c r="CX8" s="230">
        <v>1762250</v>
      </c>
      <c r="CY8" s="229">
        <v>4.9799999999999997E-2</v>
      </c>
      <c r="CZ8" s="228">
        <v>33.14</v>
      </c>
      <c r="DA8" s="228">
        <v>32.92</v>
      </c>
      <c r="DB8" s="228">
        <v>0.22</v>
      </c>
      <c r="DC8" s="228">
        <v>0.22</v>
      </c>
      <c r="DD8" s="228">
        <v>40.31</v>
      </c>
      <c r="DE8" s="228">
        <v>40.36</v>
      </c>
      <c r="DF8" s="228">
        <v>-7.17</v>
      </c>
      <c r="DG8" s="228">
        <v>-0.05</v>
      </c>
      <c r="DH8" s="228">
        <v>31.94</v>
      </c>
      <c r="DI8" s="228">
        <v>31.5</v>
      </c>
      <c r="DJ8" s="228">
        <v>0.44</v>
      </c>
      <c r="DK8" s="228">
        <v>0.44</v>
      </c>
      <c r="DL8" s="228">
        <v>35.630000000000003</v>
      </c>
      <c r="DM8" s="228">
        <v>36.18</v>
      </c>
      <c r="DN8" s="228">
        <v>-0.55000000000000004</v>
      </c>
      <c r="DO8" s="228">
        <v>-0.55000000000000004</v>
      </c>
      <c r="DP8" s="228">
        <v>0.84</v>
      </c>
      <c r="DQ8" s="228">
        <v>0.84</v>
      </c>
      <c r="DR8" s="228">
        <v>0</v>
      </c>
      <c r="DS8" s="229">
        <v>0</v>
      </c>
      <c r="DT8" s="231">
        <v>1500</v>
      </c>
      <c r="DU8" s="231">
        <v>1500</v>
      </c>
      <c r="DV8" s="228">
        <v>0.48</v>
      </c>
      <c r="DW8" s="228">
        <v>0.43</v>
      </c>
      <c r="DX8" s="228">
        <v>0.05</v>
      </c>
      <c r="DY8" s="229">
        <v>0.1163</v>
      </c>
      <c r="DZ8" s="229">
        <v>0.1467</v>
      </c>
      <c r="EA8" s="230">
        <v>2813900</v>
      </c>
      <c r="EB8" s="229">
        <v>5.7999999999999996E-3</v>
      </c>
      <c r="EC8" s="229">
        <v>0.1467</v>
      </c>
      <c r="ED8" s="228">
        <v>9.39</v>
      </c>
      <c r="EE8" s="229">
        <v>6.0000000000000001E-3</v>
      </c>
      <c r="EF8" s="230">
        <v>3966999</v>
      </c>
      <c r="EG8" s="230">
        <v>4802681</v>
      </c>
      <c r="EH8" s="229">
        <v>-0.17399999999999999</v>
      </c>
      <c r="EI8" s="229">
        <v>0.63260000000000005</v>
      </c>
      <c r="EJ8" s="231">
        <v>411137.95</v>
      </c>
      <c r="EK8" s="231">
        <v>185800.25</v>
      </c>
      <c r="EL8" s="231">
        <v>62570.01</v>
      </c>
      <c r="EM8" s="231">
        <v>8202</v>
      </c>
      <c r="EN8" s="231">
        <v>659508.21</v>
      </c>
      <c r="EO8" s="231">
        <v>698465.26</v>
      </c>
      <c r="EP8" s="231">
        <v>-38957.050000000003</v>
      </c>
      <c r="EQ8" s="229">
        <v>-5.5800000000000002E-2</v>
      </c>
      <c r="ER8" s="231">
        <v>144223</v>
      </c>
      <c r="ES8" s="231">
        <v>113025</v>
      </c>
      <c r="ET8" s="231">
        <v>312455</v>
      </c>
      <c r="EU8" s="231">
        <v>88142691</v>
      </c>
      <c r="EV8" s="231">
        <v>569704</v>
      </c>
      <c r="EW8" s="231">
        <v>536218</v>
      </c>
      <c r="EX8" s="231">
        <v>33486</v>
      </c>
      <c r="EY8" s="229">
        <v>6.2399999999999997E-2</v>
      </c>
      <c r="EZ8" s="229">
        <v>0.42159999999999997</v>
      </c>
      <c r="FA8" s="227" t="s">
        <v>693</v>
      </c>
      <c r="FB8" s="161">
        <f t="shared" si="0"/>
        <v>2911750</v>
      </c>
    </row>
    <row r="9" spans="1:158" ht="17.25" thickBot="1" x14ac:dyDescent="0.3">
      <c r="A9" s="226">
        <v>46129</v>
      </c>
      <c r="B9" s="227" t="s">
        <v>161</v>
      </c>
      <c r="C9" s="227" t="s">
        <v>695</v>
      </c>
      <c r="D9" s="228">
        <v>3550</v>
      </c>
      <c r="E9" s="228">
        <v>199.23</v>
      </c>
      <c r="F9" s="228">
        <v>193.68</v>
      </c>
      <c r="G9" s="228">
        <v>5.55</v>
      </c>
      <c r="H9" s="229">
        <v>2.87E-2</v>
      </c>
      <c r="I9" s="228">
        <v>198.5</v>
      </c>
      <c r="J9" s="228">
        <v>193.19</v>
      </c>
      <c r="K9" s="228">
        <v>5.31</v>
      </c>
      <c r="L9" s="229">
        <v>2.75E-2</v>
      </c>
      <c r="M9" s="228">
        <v>199.23</v>
      </c>
      <c r="N9" s="228">
        <v>193.68</v>
      </c>
      <c r="O9" s="228">
        <v>5.55</v>
      </c>
      <c r="P9" s="229">
        <v>2.87E-2</v>
      </c>
      <c r="Q9" s="228">
        <v>199.81</v>
      </c>
      <c r="R9" s="228">
        <v>194.65</v>
      </c>
      <c r="S9" s="228">
        <v>5.16</v>
      </c>
      <c r="T9" s="229">
        <v>2.6499999999999999E-2</v>
      </c>
      <c r="U9" s="228">
        <v>200.52</v>
      </c>
      <c r="V9" s="228">
        <v>195.37</v>
      </c>
      <c r="W9" s="228">
        <v>5.15</v>
      </c>
      <c r="X9" s="229">
        <v>2.64E-2</v>
      </c>
      <c r="Y9" s="228">
        <v>0.73</v>
      </c>
      <c r="Z9" s="228">
        <v>0.49</v>
      </c>
      <c r="AA9" s="228">
        <v>0.24</v>
      </c>
      <c r="AB9" s="229">
        <v>3.7000000000000002E-3</v>
      </c>
      <c r="AC9" s="228">
        <v>0.73</v>
      </c>
      <c r="AD9" s="228">
        <v>0.49</v>
      </c>
      <c r="AE9" s="228">
        <v>0.24</v>
      </c>
      <c r="AF9" s="229">
        <v>3.7000000000000002E-3</v>
      </c>
      <c r="AG9" s="228">
        <v>1.31</v>
      </c>
      <c r="AH9" s="228">
        <v>1.46</v>
      </c>
      <c r="AI9" s="228">
        <v>-0.15</v>
      </c>
      <c r="AJ9" s="229">
        <v>6.6E-3</v>
      </c>
      <c r="AK9" s="228">
        <v>2.02</v>
      </c>
      <c r="AL9" s="228">
        <v>2.1800000000000002</v>
      </c>
      <c r="AM9" s="228">
        <v>-0.16</v>
      </c>
      <c r="AN9" s="229">
        <v>1.0200000000000001E-2</v>
      </c>
      <c r="AO9" s="228">
        <v>196.23</v>
      </c>
      <c r="AP9" s="228">
        <v>196.27</v>
      </c>
      <c r="AQ9" s="228">
        <v>0</v>
      </c>
      <c r="AR9" s="230">
        <v>62948600</v>
      </c>
      <c r="AS9" s="230">
        <v>44822300</v>
      </c>
      <c r="AT9" s="230">
        <v>18126300</v>
      </c>
      <c r="AU9" s="229">
        <v>0.40439999999999998</v>
      </c>
      <c r="AV9" s="230">
        <v>56480500</v>
      </c>
      <c r="AW9" s="230">
        <v>38322250</v>
      </c>
      <c r="AX9" s="230">
        <v>18158250</v>
      </c>
      <c r="AY9" s="229">
        <v>0.4738</v>
      </c>
      <c r="AZ9" s="230">
        <v>5910750</v>
      </c>
      <c r="BA9" s="230">
        <v>5999500</v>
      </c>
      <c r="BB9" s="230">
        <v>-88750</v>
      </c>
      <c r="BC9" s="229">
        <v>-1.4800000000000001E-2</v>
      </c>
      <c r="BD9" s="230">
        <v>557350</v>
      </c>
      <c r="BE9" s="230">
        <v>500550</v>
      </c>
      <c r="BF9" s="230">
        <v>56800</v>
      </c>
      <c r="BG9" s="229">
        <v>0.1135</v>
      </c>
      <c r="BH9" s="230">
        <v>129862550</v>
      </c>
      <c r="BI9" s="230">
        <v>108338900</v>
      </c>
      <c r="BJ9" s="230">
        <v>21523650</v>
      </c>
      <c r="BK9" s="229">
        <v>0.19869999999999999</v>
      </c>
      <c r="BL9" s="230">
        <v>47917900</v>
      </c>
      <c r="BM9" s="230">
        <v>37424100</v>
      </c>
      <c r="BN9" s="230">
        <v>10493800</v>
      </c>
      <c r="BO9" s="229">
        <v>0.28039999999999998</v>
      </c>
      <c r="BP9" s="230">
        <v>240729050</v>
      </c>
      <c r="BQ9" s="230">
        <v>190585300</v>
      </c>
      <c r="BR9" s="230">
        <v>50143750</v>
      </c>
      <c r="BS9" s="229">
        <v>0.2631</v>
      </c>
      <c r="BT9" s="230">
        <v>98947986</v>
      </c>
      <c r="BU9" s="230">
        <v>72919102</v>
      </c>
      <c r="BV9" s="230">
        <v>26028884</v>
      </c>
      <c r="BW9" s="229">
        <v>0.35699999999999998</v>
      </c>
      <c r="BX9" s="230">
        <v>83325600</v>
      </c>
      <c r="BY9" s="230">
        <v>70652100</v>
      </c>
      <c r="BZ9" s="230">
        <v>12673500</v>
      </c>
      <c r="CA9" s="229">
        <v>0.1794</v>
      </c>
      <c r="CB9" s="230">
        <v>77184100</v>
      </c>
      <c r="CC9" s="230">
        <v>65259650</v>
      </c>
      <c r="CD9" s="230">
        <v>11924450</v>
      </c>
      <c r="CE9" s="229">
        <v>0.1827</v>
      </c>
      <c r="CF9" s="230">
        <v>5658700</v>
      </c>
      <c r="CG9" s="230">
        <v>4984200</v>
      </c>
      <c r="CH9" s="230">
        <v>674500</v>
      </c>
      <c r="CI9" s="229">
        <v>0.1353</v>
      </c>
      <c r="CJ9" s="230">
        <v>482800</v>
      </c>
      <c r="CK9" s="230">
        <v>408250</v>
      </c>
      <c r="CL9" s="230">
        <v>74550</v>
      </c>
      <c r="CM9" s="229">
        <v>0.18260000000000001</v>
      </c>
      <c r="CN9" s="230">
        <v>29564400</v>
      </c>
      <c r="CO9" s="230">
        <v>27892350</v>
      </c>
      <c r="CP9" s="230">
        <v>1672050</v>
      </c>
      <c r="CQ9" s="229">
        <v>5.9900000000000002E-2</v>
      </c>
      <c r="CR9" s="230">
        <v>21921250</v>
      </c>
      <c r="CS9" s="230">
        <v>17785500</v>
      </c>
      <c r="CT9" s="230">
        <v>4135750</v>
      </c>
      <c r="CU9" s="229">
        <v>0.23250000000000001</v>
      </c>
      <c r="CV9" s="230">
        <v>134811250</v>
      </c>
      <c r="CW9" s="230">
        <v>116329950</v>
      </c>
      <c r="CX9" s="230">
        <v>18481300</v>
      </c>
      <c r="CY9" s="229">
        <v>0.15890000000000001</v>
      </c>
      <c r="CZ9" s="228">
        <v>53.27</v>
      </c>
      <c r="DA9" s="228">
        <v>54.75</v>
      </c>
      <c r="DB9" s="228">
        <v>-1.48</v>
      </c>
      <c r="DC9" s="228">
        <v>-1.48</v>
      </c>
      <c r="DD9" s="228">
        <v>52.67</v>
      </c>
      <c r="DE9" s="228">
        <v>52.67</v>
      </c>
      <c r="DF9" s="228">
        <v>0.6</v>
      </c>
      <c r="DG9" s="228">
        <v>0</v>
      </c>
      <c r="DH9" s="228">
        <v>52.55</v>
      </c>
      <c r="DI9" s="228">
        <v>54.27</v>
      </c>
      <c r="DJ9" s="228">
        <v>-1.72</v>
      </c>
      <c r="DK9" s="228">
        <v>-1.72</v>
      </c>
      <c r="DL9" s="228">
        <v>55.23</v>
      </c>
      <c r="DM9" s="228">
        <v>56.16</v>
      </c>
      <c r="DN9" s="228">
        <v>-0.93</v>
      </c>
      <c r="DO9" s="228">
        <v>-0.93</v>
      </c>
      <c r="DP9" s="228">
        <v>0.74</v>
      </c>
      <c r="DQ9" s="228">
        <v>0.64</v>
      </c>
      <c r="DR9" s="228">
        <v>0.1</v>
      </c>
      <c r="DS9" s="229">
        <v>0.15620000000000001</v>
      </c>
      <c r="DT9" s="228">
        <v>180</v>
      </c>
      <c r="DU9" s="228">
        <v>185</v>
      </c>
      <c r="DV9" s="228">
        <v>0.37</v>
      </c>
      <c r="DW9" s="228">
        <v>0.35</v>
      </c>
      <c r="DX9" s="228">
        <v>0.02</v>
      </c>
      <c r="DY9" s="229">
        <v>5.7099999999999998E-2</v>
      </c>
      <c r="DZ9" s="229">
        <v>7.3700000000000002E-2</v>
      </c>
      <c r="EA9" s="230">
        <v>5392450</v>
      </c>
      <c r="EB9" s="229">
        <v>2.8999999999999998E-3</v>
      </c>
      <c r="EC9" s="229">
        <v>7.3700000000000002E-2</v>
      </c>
      <c r="ED9" s="228">
        <v>0.04</v>
      </c>
      <c r="EE9" s="229">
        <v>2.0000000000000001E-4</v>
      </c>
      <c r="EF9" s="230">
        <v>26866341</v>
      </c>
      <c r="EG9" s="230">
        <v>21159168</v>
      </c>
      <c r="EH9" s="229">
        <v>0.2697</v>
      </c>
      <c r="EI9" s="229">
        <v>0.27150000000000002</v>
      </c>
      <c r="EJ9" s="231">
        <v>268757.90999999997</v>
      </c>
      <c r="EK9" s="231">
        <v>90411.35</v>
      </c>
      <c r="EL9" s="231">
        <v>123531.45</v>
      </c>
      <c r="EM9" s="231">
        <v>10208</v>
      </c>
      <c r="EN9" s="231">
        <v>482700.71</v>
      </c>
      <c r="EO9" s="231">
        <v>371092.23</v>
      </c>
      <c r="EP9" s="231">
        <v>111608.48</v>
      </c>
      <c r="EQ9" s="229">
        <v>0.30080000000000001</v>
      </c>
      <c r="ER9" s="231">
        <v>56017</v>
      </c>
      <c r="ES9" s="231">
        <v>38958</v>
      </c>
      <c r="ET9" s="231">
        <v>166049</v>
      </c>
      <c r="EU9" s="231">
        <v>482906787</v>
      </c>
      <c r="EV9" s="231">
        <v>261024</v>
      </c>
      <c r="EW9" s="231">
        <v>219865</v>
      </c>
      <c r="EX9" s="231">
        <v>41159</v>
      </c>
      <c r="EY9" s="229">
        <v>0.18720000000000001</v>
      </c>
      <c r="EZ9" s="229">
        <v>0.2792</v>
      </c>
      <c r="FA9" s="227" t="s">
        <v>555</v>
      </c>
      <c r="FB9" s="161">
        <f t="shared" si="0"/>
        <v>6141500</v>
      </c>
    </row>
    <row r="10" spans="1:158" ht="17.25" thickBot="1" x14ac:dyDescent="0.3">
      <c r="A10" s="226">
        <v>46129</v>
      </c>
      <c r="B10" s="227" t="s">
        <v>170</v>
      </c>
      <c r="C10" s="227" t="s">
        <v>497</v>
      </c>
      <c r="D10" s="228">
        <v>125</v>
      </c>
      <c r="E10" s="231">
        <v>5579</v>
      </c>
      <c r="F10" s="231">
        <v>5565.5</v>
      </c>
      <c r="G10" s="228">
        <v>13.5</v>
      </c>
      <c r="H10" s="229">
        <v>2.3999999999999998E-3</v>
      </c>
      <c r="I10" s="231">
        <v>5582</v>
      </c>
      <c r="J10" s="231">
        <v>5570</v>
      </c>
      <c r="K10" s="228">
        <v>12</v>
      </c>
      <c r="L10" s="229">
        <v>2.2000000000000001E-3</v>
      </c>
      <c r="M10" s="231">
        <v>5579</v>
      </c>
      <c r="N10" s="231">
        <v>5565.5</v>
      </c>
      <c r="O10" s="228">
        <v>13.5</v>
      </c>
      <c r="P10" s="229">
        <v>2.3999999999999998E-3</v>
      </c>
      <c r="Q10" s="231">
        <v>5608.5</v>
      </c>
      <c r="R10" s="231">
        <v>5591.5</v>
      </c>
      <c r="S10" s="228">
        <v>17</v>
      </c>
      <c r="T10" s="229">
        <v>3.0000000000000001E-3</v>
      </c>
      <c r="U10" s="231">
        <v>5482</v>
      </c>
      <c r="V10" s="231">
        <v>5482</v>
      </c>
      <c r="W10" s="228">
        <v>0</v>
      </c>
      <c r="X10" s="229">
        <v>0</v>
      </c>
      <c r="Y10" s="228">
        <v>-3</v>
      </c>
      <c r="Z10" s="228">
        <v>-4.5</v>
      </c>
      <c r="AA10" s="228">
        <v>1.5</v>
      </c>
      <c r="AB10" s="229">
        <v>-5.0000000000000001E-4</v>
      </c>
      <c r="AC10" s="228">
        <v>-3</v>
      </c>
      <c r="AD10" s="228">
        <v>-4.5</v>
      </c>
      <c r="AE10" s="228">
        <v>1.5</v>
      </c>
      <c r="AF10" s="229">
        <v>-5.0000000000000001E-4</v>
      </c>
      <c r="AG10" s="228">
        <v>26.5</v>
      </c>
      <c r="AH10" s="228">
        <v>21.5</v>
      </c>
      <c r="AI10" s="228">
        <v>5</v>
      </c>
      <c r="AJ10" s="229">
        <v>4.7000000000000002E-3</v>
      </c>
      <c r="AK10" s="228">
        <v>-100</v>
      </c>
      <c r="AL10" s="228">
        <v>-88</v>
      </c>
      <c r="AM10" s="228">
        <v>-12</v>
      </c>
      <c r="AN10" s="229">
        <v>-1.7899999999999999E-2</v>
      </c>
      <c r="AO10" s="231">
        <v>5566.65</v>
      </c>
      <c r="AP10" s="231">
        <v>5588</v>
      </c>
      <c r="AQ10" s="228">
        <v>0</v>
      </c>
      <c r="AR10" s="230">
        <v>103875</v>
      </c>
      <c r="AS10" s="230">
        <v>172125</v>
      </c>
      <c r="AT10" s="230">
        <v>-68250</v>
      </c>
      <c r="AU10" s="229">
        <v>-0.39650000000000002</v>
      </c>
      <c r="AV10" s="230">
        <v>98125</v>
      </c>
      <c r="AW10" s="230">
        <v>165125</v>
      </c>
      <c r="AX10" s="230">
        <v>-67000</v>
      </c>
      <c r="AY10" s="229">
        <v>-0.40579999999999999</v>
      </c>
      <c r="AZ10" s="230">
        <v>5750</v>
      </c>
      <c r="BA10" s="230">
        <v>7000</v>
      </c>
      <c r="BB10" s="230">
        <v>-1250</v>
      </c>
      <c r="BC10" s="229">
        <v>-0.17860000000000001</v>
      </c>
      <c r="BD10" s="228">
        <v>0</v>
      </c>
      <c r="BE10" s="228">
        <v>0</v>
      </c>
      <c r="BF10" s="228">
        <v>0</v>
      </c>
      <c r="BG10" s="229">
        <v>0</v>
      </c>
      <c r="BH10" s="230">
        <v>282250</v>
      </c>
      <c r="BI10" s="230">
        <v>399375</v>
      </c>
      <c r="BJ10" s="230">
        <v>-117125</v>
      </c>
      <c r="BK10" s="229">
        <v>-0.29330000000000001</v>
      </c>
      <c r="BL10" s="230">
        <v>92875</v>
      </c>
      <c r="BM10" s="230">
        <v>145625</v>
      </c>
      <c r="BN10" s="230">
        <v>-52750</v>
      </c>
      <c r="BO10" s="229">
        <v>-0.36220000000000002</v>
      </c>
      <c r="BP10" s="230">
        <v>479000</v>
      </c>
      <c r="BQ10" s="230">
        <v>717125</v>
      </c>
      <c r="BR10" s="230">
        <v>-238125</v>
      </c>
      <c r="BS10" s="229">
        <v>-0.33210000000000001</v>
      </c>
      <c r="BT10" s="230">
        <v>126859</v>
      </c>
      <c r="BU10" s="230">
        <v>117529</v>
      </c>
      <c r="BV10" s="230">
        <v>9330</v>
      </c>
      <c r="BW10" s="229">
        <v>7.9399999999999998E-2</v>
      </c>
      <c r="BX10" s="230">
        <v>1174750</v>
      </c>
      <c r="BY10" s="230">
        <v>1157125</v>
      </c>
      <c r="BZ10" s="230">
        <v>17625</v>
      </c>
      <c r="CA10" s="229">
        <v>1.52E-2</v>
      </c>
      <c r="CB10" s="230">
        <v>1163375</v>
      </c>
      <c r="CC10" s="230">
        <v>1147000</v>
      </c>
      <c r="CD10" s="230">
        <v>16375</v>
      </c>
      <c r="CE10" s="229">
        <v>1.43E-2</v>
      </c>
      <c r="CF10" s="230">
        <v>11250</v>
      </c>
      <c r="CG10" s="230">
        <v>10000</v>
      </c>
      <c r="CH10" s="230">
        <v>1250</v>
      </c>
      <c r="CI10" s="229">
        <v>0.125</v>
      </c>
      <c r="CJ10" s="228">
        <v>125</v>
      </c>
      <c r="CK10" s="228">
        <v>125</v>
      </c>
      <c r="CL10" s="228">
        <v>0</v>
      </c>
      <c r="CM10" s="229">
        <v>0</v>
      </c>
      <c r="CN10" s="230">
        <v>280000</v>
      </c>
      <c r="CO10" s="230">
        <v>249750</v>
      </c>
      <c r="CP10" s="230">
        <v>30250</v>
      </c>
      <c r="CQ10" s="229">
        <v>0.1211</v>
      </c>
      <c r="CR10" s="230">
        <v>152000</v>
      </c>
      <c r="CS10" s="230">
        <v>150250</v>
      </c>
      <c r="CT10" s="230">
        <v>1750</v>
      </c>
      <c r="CU10" s="229">
        <v>1.1599999999999999E-2</v>
      </c>
      <c r="CV10" s="230">
        <v>1606750</v>
      </c>
      <c r="CW10" s="230">
        <v>1557125</v>
      </c>
      <c r="CX10" s="230">
        <v>49625</v>
      </c>
      <c r="CY10" s="229">
        <v>3.1899999999999998E-2</v>
      </c>
      <c r="CZ10" s="228">
        <v>25.99</v>
      </c>
      <c r="DA10" s="228">
        <v>26.88</v>
      </c>
      <c r="DB10" s="228">
        <v>-0.89</v>
      </c>
      <c r="DC10" s="228">
        <v>-0.89</v>
      </c>
      <c r="DD10" s="228">
        <v>28.53</v>
      </c>
      <c r="DE10" s="228">
        <v>28.6</v>
      </c>
      <c r="DF10" s="228">
        <v>-2.54</v>
      </c>
      <c r="DG10" s="228">
        <v>-7.0000000000000007E-2</v>
      </c>
      <c r="DH10" s="228">
        <v>25.6</v>
      </c>
      <c r="DI10" s="228">
        <v>26.58</v>
      </c>
      <c r="DJ10" s="228">
        <v>-0.98</v>
      </c>
      <c r="DK10" s="228">
        <v>-0.98</v>
      </c>
      <c r="DL10" s="228">
        <v>27.19</v>
      </c>
      <c r="DM10" s="228">
        <v>27.7</v>
      </c>
      <c r="DN10" s="228">
        <v>-0.51</v>
      </c>
      <c r="DO10" s="228">
        <v>-0.51</v>
      </c>
      <c r="DP10" s="228">
        <v>0.54</v>
      </c>
      <c r="DQ10" s="228">
        <v>0.6</v>
      </c>
      <c r="DR10" s="228">
        <v>-0.06</v>
      </c>
      <c r="DS10" s="229">
        <v>-0.1</v>
      </c>
      <c r="DT10" s="231">
        <v>5900</v>
      </c>
      <c r="DU10" s="231">
        <v>5200</v>
      </c>
      <c r="DV10" s="228">
        <v>0.33</v>
      </c>
      <c r="DW10" s="228">
        <v>0.36</v>
      </c>
      <c r="DX10" s="228">
        <v>-0.03</v>
      </c>
      <c r="DY10" s="229">
        <v>-8.3299999999999999E-2</v>
      </c>
      <c r="DZ10" s="229">
        <v>9.7000000000000003E-3</v>
      </c>
      <c r="EA10" s="230">
        <v>10125</v>
      </c>
      <c r="EB10" s="229">
        <v>5.3E-3</v>
      </c>
      <c r="EC10" s="229">
        <v>9.7000000000000003E-3</v>
      </c>
      <c r="ED10" s="228">
        <v>21.35</v>
      </c>
      <c r="EE10" s="229">
        <v>3.8E-3</v>
      </c>
      <c r="EF10" s="230">
        <v>85180</v>
      </c>
      <c r="EG10" s="230">
        <v>67181</v>
      </c>
      <c r="EH10" s="229">
        <v>0.26790000000000003</v>
      </c>
      <c r="EI10" s="229">
        <v>0.67149999999999999</v>
      </c>
      <c r="EJ10" s="231">
        <v>16255.5</v>
      </c>
      <c r="EK10" s="231">
        <v>5083.91</v>
      </c>
      <c r="EL10" s="231">
        <v>5783.59</v>
      </c>
      <c r="EM10" s="231">
        <v>1159</v>
      </c>
      <c r="EN10" s="231">
        <v>27123</v>
      </c>
      <c r="EO10" s="231">
        <v>40850.92</v>
      </c>
      <c r="EP10" s="231">
        <v>-13727.92</v>
      </c>
      <c r="EQ10" s="229">
        <v>-0.33600000000000002</v>
      </c>
      <c r="ER10" s="231">
        <v>15810</v>
      </c>
      <c r="ES10" s="231">
        <v>8005</v>
      </c>
      <c r="ET10" s="231">
        <v>65542</v>
      </c>
      <c r="EU10" s="231">
        <v>5873365</v>
      </c>
      <c r="EV10" s="231">
        <v>89358</v>
      </c>
      <c r="EW10" s="231">
        <v>86308</v>
      </c>
      <c r="EX10" s="231">
        <v>3050</v>
      </c>
      <c r="EY10" s="229">
        <v>3.5299999999999998E-2</v>
      </c>
      <c r="EZ10" s="229">
        <v>0.27360000000000001</v>
      </c>
      <c r="FA10" s="227" t="s">
        <v>555</v>
      </c>
      <c r="FB10" s="161">
        <f t="shared" si="0"/>
        <v>11375</v>
      </c>
    </row>
    <row r="11" spans="1:158" ht="17.25" thickBot="1" x14ac:dyDescent="0.3">
      <c r="A11" s="226">
        <v>46129</v>
      </c>
      <c r="B11" s="227" t="s">
        <v>184</v>
      </c>
      <c r="C11" s="227" t="s">
        <v>679</v>
      </c>
      <c r="D11" s="228">
        <v>100</v>
      </c>
      <c r="E11" s="231">
        <v>7941.5</v>
      </c>
      <c r="F11" s="231">
        <v>7734.5</v>
      </c>
      <c r="G11" s="228">
        <v>207</v>
      </c>
      <c r="H11" s="229">
        <v>2.6800000000000001E-2</v>
      </c>
      <c r="I11" s="231">
        <v>7958.5</v>
      </c>
      <c r="J11" s="231">
        <v>7714.5</v>
      </c>
      <c r="K11" s="228">
        <v>244</v>
      </c>
      <c r="L11" s="229">
        <v>3.1600000000000003E-2</v>
      </c>
      <c r="M11" s="231">
        <v>7941.5</v>
      </c>
      <c r="N11" s="231">
        <v>7734.5</v>
      </c>
      <c r="O11" s="228">
        <v>207</v>
      </c>
      <c r="P11" s="229">
        <v>2.6800000000000001E-2</v>
      </c>
      <c r="Q11" s="231">
        <v>7863</v>
      </c>
      <c r="R11" s="231">
        <v>7675</v>
      </c>
      <c r="S11" s="228">
        <v>188</v>
      </c>
      <c r="T11" s="229">
        <v>2.4500000000000001E-2</v>
      </c>
      <c r="U11" s="231">
        <v>7835</v>
      </c>
      <c r="V11" s="231">
        <v>7643.5</v>
      </c>
      <c r="W11" s="228">
        <v>191.5</v>
      </c>
      <c r="X11" s="229">
        <v>2.5100000000000001E-2</v>
      </c>
      <c r="Y11" s="228">
        <v>-17</v>
      </c>
      <c r="Z11" s="228">
        <v>20</v>
      </c>
      <c r="AA11" s="228">
        <v>-37</v>
      </c>
      <c r="AB11" s="229">
        <v>-2.0999999999999999E-3</v>
      </c>
      <c r="AC11" s="228">
        <v>-17</v>
      </c>
      <c r="AD11" s="228">
        <v>20</v>
      </c>
      <c r="AE11" s="228">
        <v>-37</v>
      </c>
      <c r="AF11" s="229">
        <v>-2.0999999999999999E-3</v>
      </c>
      <c r="AG11" s="228">
        <v>-95.5</v>
      </c>
      <c r="AH11" s="228">
        <v>-39.5</v>
      </c>
      <c r="AI11" s="228">
        <v>-56</v>
      </c>
      <c r="AJ11" s="229">
        <v>-1.2E-2</v>
      </c>
      <c r="AK11" s="228">
        <v>-123.5</v>
      </c>
      <c r="AL11" s="228">
        <v>-71</v>
      </c>
      <c r="AM11" s="228">
        <v>-52.5</v>
      </c>
      <c r="AN11" s="229">
        <v>-1.55E-2</v>
      </c>
      <c r="AO11" s="231">
        <v>7849.67</v>
      </c>
      <c r="AP11" s="231">
        <v>7775.93</v>
      </c>
      <c r="AQ11" s="228">
        <v>0</v>
      </c>
      <c r="AR11" s="230">
        <v>436400</v>
      </c>
      <c r="AS11" s="230">
        <v>575800</v>
      </c>
      <c r="AT11" s="230">
        <v>-139400</v>
      </c>
      <c r="AU11" s="229">
        <v>-0.24210000000000001</v>
      </c>
      <c r="AV11" s="230">
        <v>400400</v>
      </c>
      <c r="AW11" s="230">
        <v>529600</v>
      </c>
      <c r="AX11" s="230">
        <v>-129200</v>
      </c>
      <c r="AY11" s="229">
        <v>-0.24399999999999999</v>
      </c>
      <c r="AZ11" s="230">
        <v>30700</v>
      </c>
      <c r="BA11" s="230">
        <v>43000</v>
      </c>
      <c r="BB11" s="230">
        <v>-12300</v>
      </c>
      <c r="BC11" s="229">
        <v>-0.28599999999999998</v>
      </c>
      <c r="BD11" s="230">
        <v>5300</v>
      </c>
      <c r="BE11" s="230">
        <v>3200</v>
      </c>
      <c r="BF11" s="230">
        <v>2100</v>
      </c>
      <c r="BG11" s="229">
        <v>0.65629999999999999</v>
      </c>
      <c r="BH11" s="230">
        <v>2382800</v>
      </c>
      <c r="BI11" s="230">
        <v>3735800</v>
      </c>
      <c r="BJ11" s="230">
        <v>-1353000</v>
      </c>
      <c r="BK11" s="229">
        <v>-0.36220000000000002</v>
      </c>
      <c r="BL11" s="230">
        <v>1308700</v>
      </c>
      <c r="BM11" s="230">
        <v>1637000</v>
      </c>
      <c r="BN11" s="230">
        <v>-328300</v>
      </c>
      <c r="BO11" s="229">
        <v>-0.20050000000000001</v>
      </c>
      <c r="BP11" s="230">
        <v>4127900</v>
      </c>
      <c r="BQ11" s="230">
        <v>5948600</v>
      </c>
      <c r="BR11" s="230">
        <v>-1820700</v>
      </c>
      <c r="BS11" s="229">
        <v>-0.30609999999999998</v>
      </c>
      <c r="BT11" s="230">
        <v>407726</v>
      </c>
      <c r="BU11" s="230">
        <v>412714</v>
      </c>
      <c r="BV11" s="230">
        <v>-4988</v>
      </c>
      <c r="BW11" s="229">
        <v>-1.21E-2</v>
      </c>
      <c r="BX11" s="230">
        <v>1276000</v>
      </c>
      <c r="BY11" s="230">
        <v>1325500</v>
      </c>
      <c r="BZ11" s="230">
        <v>-49500</v>
      </c>
      <c r="CA11" s="229">
        <v>-3.73E-2</v>
      </c>
      <c r="CB11" s="230">
        <v>1197600</v>
      </c>
      <c r="CC11" s="230">
        <v>1250200</v>
      </c>
      <c r="CD11" s="230">
        <v>-52600</v>
      </c>
      <c r="CE11" s="229">
        <v>-4.2099999999999999E-2</v>
      </c>
      <c r="CF11" s="230">
        <v>69900</v>
      </c>
      <c r="CG11" s="230">
        <v>69500</v>
      </c>
      <c r="CH11" s="228">
        <v>400</v>
      </c>
      <c r="CI11" s="229">
        <v>5.7999999999999996E-3</v>
      </c>
      <c r="CJ11" s="230">
        <v>8500</v>
      </c>
      <c r="CK11" s="230">
        <v>5800</v>
      </c>
      <c r="CL11" s="230">
        <v>2700</v>
      </c>
      <c r="CM11" s="229">
        <v>0.46550000000000002</v>
      </c>
      <c r="CN11" s="230">
        <v>1005300</v>
      </c>
      <c r="CO11" s="230">
        <v>964700</v>
      </c>
      <c r="CP11" s="230">
        <v>40600</v>
      </c>
      <c r="CQ11" s="229">
        <v>4.2099999999999999E-2</v>
      </c>
      <c r="CR11" s="230">
        <v>782600</v>
      </c>
      <c r="CS11" s="230">
        <v>714800</v>
      </c>
      <c r="CT11" s="230">
        <v>67800</v>
      </c>
      <c r="CU11" s="229">
        <v>9.4899999999999998E-2</v>
      </c>
      <c r="CV11" s="230">
        <v>3063900</v>
      </c>
      <c r="CW11" s="230">
        <v>3005000</v>
      </c>
      <c r="CX11" s="230">
        <v>58900</v>
      </c>
      <c r="CY11" s="229">
        <v>1.9599999999999999E-2</v>
      </c>
      <c r="CZ11" s="228">
        <v>44.29</v>
      </c>
      <c r="DA11" s="228">
        <v>45.88</v>
      </c>
      <c r="DB11" s="228">
        <v>-1.59</v>
      </c>
      <c r="DC11" s="228">
        <v>-1.59</v>
      </c>
      <c r="DD11" s="228">
        <v>54.33</v>
      </c>
      <c r="DE11" s="228">
        <v>54.35</v>
      </c>
      <c r="DF11" s="228">
        <v>-10.039999999999999</v>
      </c>
      <c r="DG11" s="228">
        <v>-0.02</v>
      </c>
      <c r="DH11" s="228">
        <v>43.48</v>
      </c>
      <c r="DI11" s="228">
        <v>45.09</v>
      </c>
      <c r="DJ11" s="228">
        <v>-1.61</v>
      </c>
      <c r="DK11" s="228">
        <v>-1.61</v>
      </c>
      <c r="DL11" s="228">
        <v>45.75</v>
      </c>
      <c r="DM11" s="228">
        <v>47.7</v>
      </c>
      <c r="DN11" s="228">
        <v>-1.95</v>
      </c>
      <c r="DO11" s="228">
        <v>-1.95</v>
      </c>
      <c r="DP11" s="228">
        <v>0.78</v>
      </c>
      <c r="DQ11" s="228">
        <v>0.74</v>
      </c>
      <c r="DR11" s="228">
        <v>0.04</v>
      </c>
      <c r="DS11" s="229">
        <v>5.4100000000000002E-2</v>
      </c>
      <c r="DT11" s="231">
        <v>8000</v>
      </c>
      <c r="DU11" s="231">
        <v>7000</v>
      </c>
      <c r="DV11" s="228">
        <v>0.55000000000000004</v>
      </c>
      <c r="DW11" s="228">
        <v>0.44</v>
      </c>
      <c r="DX11" s="228">
        <v>0.11</v>
      </c>
      <c r="DY11" s="229">
        <v>0.25</v>
      </c>
      <c r="DZ11" s="229">
        <v>6.1400000000000003E-2</v>
      </c>
      <c r="EA11" s="230">
        <v>75300</v>
      </c>
      <c r="EB11" s="229">
        <v>-9.9000000000000008E-3</v>
      </c>
      <c r="EC11" s="229">
        <v>6.1400000000000003E-2</v>
      </c>
      <c r="ED11" s="228">
        <v>-73.739999999999995</v>
      </c>
      <c r="EE11" s="229">
        <v>-9.4000000000000004E-3</v>
      </c>
      <c r="EF11" s="230">
        <v>137757</v>
      </c>
      <c r="EG11" s="230">
        <v>65403</v>
      </c>
      <c r="EH11" s="229">
        <v>1.1063000000000001</v>
      </c>
      <c r="EI11" s="229">
        <v>0.33789999999999998</v>
      </c>
      <c r="EJ11" s="231">
        <v>196476.79999999999</v>
      </c>
      <c r="EK11" s="231">
        <v>97023.39</v>
      </c>
      <c r="EL11" s="231">
        <v>34230.18</v>
      </c>
      <c r="EM11" s="231">
        <v>5839</v>
      </c>
      <c r="EN11" s="231">
        <v>327730.37</v>
      </c>
      <c r="EO11" s="231">
        <v>463846.74</v>
      </c>
      <c r="EP11" s="231">
        <v>-136116.37</v>
      </c>
      <c r="EQ11" s="229">
        <v>-0.29349999999999998</v>
      </c>
      <c r="ER11" s="231">
        <v>77642</v>
      </c>
      <c r="ES11" s="231">
        <v>55065</v>
      </c>
      <c r="ET11" s="231">
        <v>101270</v>
      </c>
      <c r="EU11" s="231">
        <v>3260820</v>
      </c>
      <c r="EV11" s="231">
        <v>233977</v>
      </c>
      <c r="EW11" s="231">
        <v>225686</v>
      </c>
      <c r="EX11" s="231">
        <v>8291</v>
      </c>
      <c r="EY11" s="229">
        <v>3.6700000000000003E-2</v>
      </c>
      <c r="EZ11" s="229">
        <v>0.93959999999999999</v>
      </c>
      <c r="FA11" s="227" t="s">
        <v>693</v>
      </c>
      <c r="FB11" s="161">
        <f t="shared" si="0"/>
        <v>78400</v>
      </c>
    </row>
    <row r="12" spans="1:158" ht="17.25" thickBot="1" x14ac:dyDescent="0.3">
      <c r="A12" s="226">
        <v>46129</v>
      </c>
      <c r="B12" s="227" t="s">
        <v>157</v>
      </c>
      <c r="C12" s="227" t="s">
        <v>164</v>
      </c>
      <c r="D12" s="228">
        <v>1050</v>
      </c>
      <c r="E12" s="228">
        <v>458.8</v>
      </c>
      <c r="F12" s="228">
        <v>459.45</v>
      </c>
      <c r="G12" s="228">
        <v>-0.65</v>
      </c>
      <c r="H12" s="229">
        <v>-1.4E-3</v>
      </c>
      <c r="I12" s="228">
        <v>459</v>
      </c>
      <c r="J12" s="228">
        <v>458.05</v>
      </c>
      <c r="K12" s="228">
        <v>0.95</v>
      </c>
      <c r="L12" s="229">
        <v>2.0999999999999999E-3</v>
      </c>
      <c r="M12" s="228">
        <v>458.8</v>
      </c>
      <c r="N12" s="228">
        <v>459.45</v>
      </c>
      <c r="O12" s="228">
        <v>-0.65</v>
      </c>
      <c r="P12" s="229">
        <v>-1.4E-3</v>
      </c>
      <c r="Q12" s="228">
        <v>461.65</v>
      </c>
      <c r="R12" s="228">
        <v>461.9</v>
      </c>
      <c r="S12" s="228">
        <v>-0.25</v>
      </c>
      <c r="T12" s="229">
        <v>-5.0000000000000001E-4</v>
      </c>
      <c r="U12" s="228">
        <v>463.1</v>
      </c>
      <c r="V12" s="228">
        <v>463.85</v>
      </c>
      <c r="W12" s="228">
        <v>-0.75</v>
      </c>
      <c r="X12" s="229">
        <v>-1.6000000000000001E-3</v>
      </c>
      <c r="Y12" s="228">
        <v>-0.2</v>
      </c>
      <c r="Z12" s="228">
        <v>1.4</v>
      </c>
      <c r="AA12" s="228">
        <v>-1.6</v>
      </c>
      <c r="AB12" s="229">
        <v>-4.0000000000000002E-4</v>
      </c>
      <c r="AC12" s="228">
        <v>-0.2</v>
      </c>
      <c r="AD12" s="228">
        <v>1.4</v>
      </c>
      <c r="AE12" s="228">
        <v>-1.6</v>
      </c>
      <c r="AF12" s="229">
        <v>-4.0000000000000002E-4</v>
      </c>
      <c r="AG12" s="228">
        <v>2.65</v>
      </c>
      <c r="AH12" s="228">
        <v>3.85</v>
      </c>
      <c r="AI12" s="228">
        <v>-1.2</v>
      </c>
      <c r="AJ12" s="229">
        <v>5.7999999999999996E-3</v>
      </c>
      <c r="AK12" s="228">
        <v>4.0999999999999996</v>
      </c>
      <c r="AL12" s="228">
        <v>5.8</v>
      </c>
      <c r="AM12" s="228">
        <v>-1.7</v>
      </c>
      <c r="AN12" s="229">
        <v>8.8999999999999999E-3</v>
      </c>
      <c r="AO12" s="228">
        <v>459.46</v>
      </c>
      <c r="AP12" s="228">
        <v>461.97</v>
      </c>
      <c r="AQ12" s="228">
        <v>0</v>
      </c>
      <c r="AR12" s="230">
        <v>4075050</v>
      </c>
      <c r="AS12" s="230">
        <v>4912950</v>
      </c>
      <c r="AT12" s="230">
        <v>-837900</v>
      </c>
      <c r="AU12" s="229">
        <v>-0.17050000000000001</v>
      </c>
      <c r="AV12" s="230">
        <v>3612000</v>
      </c>
      <c r="AW12" s="230">
        <v>4101300</v>
      </c>
      <c r="AX12" s="230">
        <v>-489300</v>
      </c>
      <c r="AY12" s="229">
        <v>-0.1193</v>
      </c>
      <c r="AZ12" s="230">
        <v>434700</v>
      </c>
      <c r="BA12" s="230">
        <v>761250</v>
      </c>
      <c r="BB12" s="230">
        <v>-326550</v>
      </c>
      <c r="BC12" s="229">
        <v>-0.42899999999999999</v>
      </c>
      <c r="BD12" s="230">
        <v>28350</v>
      </c>
      <c r="BE12" s="230">
        <v>50400</v>
      </c>
      <c r="BF12" s="230">
        <v>-22050</v>
      </c>
      <c r="BG12" s="229">
        <v>-0.4375</v>
      </c>
      <c r="BH12" s="230">
        <v>6624450</v>
      </c>
      <c r="BI12" s="230">
        <v>10096800</v>
      </c>
      <c r="BJ12" s="230">
        <v>-3472350</v>
      </c>
      <c r="BK12" s="229">
        <v>-0.34389999999999998</v>
      </c>
      <c r="BL12" s="230">
        <v>3701250</v>
      </c>
      <c r="BM12" s="230">
        <v>5589150</v>
      </c>
      <c r="BN12" s="230">
        <v>-1887900</v>
      </c>
      <c r="BO12" s="229">
        <v>-0.33779999999999999</v>
      </c>
      <c r="BP12" s="230">
        <v>14400750</v>
      </c>
      <c r="BQ12" s="230">
        <v>20598900</v>
      </c>
      <c r="BR12" s="230">
        <v>-6198150</v>
      </c>
      <c r="BS12" s="229">
        <v>-0.3009</v>
      </c>
      <c r="BT12" s="230">
        <v>2035940</v>
      </c>
      <c r="BU12" s="230">
        <v>2161245</v>
      </c>
      <c r="BV12" s="230">
        <v>-125305</v>
      </c>
      <c r="BW12" s="229">
        <v>-5.8000000000000003E-2</v>
      </c>
      <c r="BX12" s="230">
        <v>59653650</v>
      </c>
      <c r="BY12" s="230">
        <v>59859450</v>
      </c>
      <c r="BZ12" s="230">
        <v>-205800</v>
      </c>
      <c r="CA12" s="229">
        <v>-3.3999999999999998E-3</v>
      </c>
      <c r="CB12" s="230">
        <v>51263100</v>
      </c>
      <c r="CC12" s="230">
        <v>51678900</v>
      </c>
      <c r="CD12" s="230">
        <v>-415800</v>
      </c>
      <c r="CE12" s="229">
        <v>-8.0000000000000002E-3</v>
      </c>
      <c r="CF12" s="230">
        <v>8255100</v>
      </c>
      <c r="CG12" s="230">
        <v>8062950</v>
      </c>
      <c r="CH12" s="230">
        <v>192150</v>
      </c>
      <c r="CI12" s="229">
        <v>2.3800000000000002E-2</v>
      </c>
      <c r="CJ12" s="230">
        <v>135450</v>
      </c>
      <c r="CK12" s="230">
        <v>117600</v>
      </c>
      <c r="CL12" s="230">
        <v>17850</v>
      </c>
      <c r="CM12" s="229">
        <v>0.15179999999999999</v>
      </c>
      <c r="CN12" s="230">
        <v>10616550</v>
      </c>
      <c r="CO12" s="230">
        <v>10632300</v>
      </c>
      <c r="CP12" s="230">
        <v>-15750</v>
      </c>
      <c r="CQ12" s="229">
        <v>-1.5E-3</v>
      </c>
      <c r="CR12" s="230">
        <v>10006500</v>
      </c>
      <c r="CS12" s="230">
        <v>10014900</v>
      </c>
      <c r="CT12" s="230">
        <v>-8400</v>
      </c>
      <c r="CU12" s="229">
        <v>-8.0000000000000004E-4</v>
      </c>
      <c r="CV12" s="230">
        <v>80276700</v>
      </c>
      <c r="CW12" s="230">
        <v>80506650</v>
      </c>
      <c r="CX12" s="230">
        <v>-229950</v>
      </c>
      <c r="CY12" s="229">
        <v>-2.8999999999999998E-3</v>
      </c>
      <c r="CZ12" s="228">
        <v>35.770000000000003</v>
      </c>
      <c r="DA12" s="228">
        <v>35.69</v>
      </c>
      <c r="DB12" s="228">
        <v>0.08</v>
      </c>
      <c r="DC12" s="228">
        <v>0.08</v>
      </c>
      <c r="DD12" s="228">
        <v>36.78</v>
      </c>
      <c r="DE12" s="228">
        <v>36.880000000000003</v>
      </c>
      <c r="DF12" s="228">
        <v>-1.01</v>
      </c>
      <c r="DG12" s="228">
        <v>-0.1</v>
      </c>
      <c r="DH12" s="228">
        <v>34.51</v>
      </c>
      <c r="DI12" s="228">
        <v>34.57</v>
      </c>
      <c r="DJ12" s="228">
        <v>-0.06</v>
      </c>
      <c r="DK12" s="228">
        <v>-0.06</v>
      </c>
      <c r="DL12" s="228">
        <v>38.01</v>
      </c>
      <c r="DM12" s="228">
        <v>37.729999999999997</v>
      </c>
      <c r="DN12" s="228">
        <v>0.28000000000000003</v>
      </c>
      <c r="DO12" s="228">
        <v>0.28000000000000003</v>
      </c>
      <c r="DP12" s="228">
        <v>0.94</v>
      </c>
      <c r="DQ12" s="228">
        <v>0.94</v>
      </c>
      <c r="DR12" s="228">
        <v>0</v>
      </c>
      <c r="DS12" s="229">
        <v>0</v>
      </c>
      <c r="DT12" s="228">
        <v>500</v>
      </c>
      <c r="DU12" s="228">
        <v>500</v>
      </c>
      <c r="DV12" s="228">
        <v>0.56000000000000005</v>
      </c>
      <c r="DW12" s="228">
        <v>0.55000000000000004</v>
      </c>
      <c r="DX12" s="228">
        <v>0.01</v>
      </c>
      <c r="DY12" s="229">
        <v>1.8200000000000001E-2</v>
      </c>
      <c r="DZ12" s="229">
        <v>0.14069999999999999</v>
      </c>
      <c r="EA12" s="230">
        <v>8180550</v>
      </c>
      <c r="EB12" s="229">
        <v>6.1999999999999998E-3</v>
      </c>
      <c r="EC12" s="229">
        <v>0.14069999999999999</v>
      </c>
      <c r="ED12" s="228">
        <v>2.5099999999999998</v>
      </c>
      <c r="EE12" s="229">
        <v>5.4999999999999997E-3</v>
      </c>
      <c r="EF12" s="230">
        <v>1015021</v>
      </c>
      <c r="EG12" s="230">
        <v>913187</v>
      </c>
      <c r="EH12" s="229">
        <v>0.1115</v>
      </c>
      <c r="EI12" s="229">
        <v>0.49859999999999999</v>
      </c>
      <c r="EJ12" s="231">
        <v>31747.47</v>
      </c>
      <c r="EK12" s="231">
        <v>16500.150000000001</v>
      </c>
      <c r="EL12" s="231">
        <v>18735.509999999998</v>
      </c>
      <c r="EM12" s="231">
        <v>5290</v>
      </c>
      <c r="EN12" s="231">
        <v>66983.13</v>
      </c>
      <c r="EO12" s="231">
        <v>95657.279999999999</v>
      </c>
      <c r="EP12" s="231">
        <v>-28674.15</v>
      </c>
      <c r="EQ12" s="229">
        <v>-0.29980000000000001</v>
      </c>
      <c r="ER12" s="231">
        <v>48383</v>
      </c>
      <c r="ES12" s="231">
        <v>46059</v>
      </c>
      <c r="ET12" s="231">
        <v>273932</v>
      </c>
      <c r="EU12" s="231">
        <v>97233107</v>
      </c>
      <c r="EV12" s="231">
        <v>368374</v>
      </c>
      <c r="EW12" s="231">
        <v>369649</v>
      </c>
      <c r="EX12" s="231">
        <v>-1275</v>
      </c>
      <c r="EY12" s="229">
        <v>-3.3999999999999998E-3</v>
      </c>
      <c r="EZ12" s="229">
        <v>0.8256</v>
      </c>
      <c r="FA12" s="227" t="s">
        <v>567</v>
      </c>
      <c r="FB12" s="161">
        <f t="shared" si="0"/>
        <v>8390550</v>
      </c>
    </row>
    <row r="13" spans="1:158" ht="17.25" thickBot="1" x14ac:dyDescent="0.3">
      <c r="A13" s="226">
        <v>46129</v>
      </c>
      <c r="B13" s="227" t="s">
        <v>175</v>
      </c>
      <c r="C13" s="227" t="s">
        <v>608</v>
      </c>
      <c r="D13" s="228">
        <v>2500</v>
      </c>
      <c r="E13" s="228">
        <v>322.60000000000002</v>
      </c>
      <c r="F13" s="228">
        <v>289.8</v>
      </c>
      <c r="G13" s="228">
        <v>32.799999999999997</v>
      </c>
      <c r="H13" s="229">
        <v>0.1132</v>
      </c>
      <c r="I13" s="228">
        <v>322.47000000000003</v>
      </c>
      <c r="J13" s="228">
        <v>292.61</v>
      </c>
      <c r="K13" s="228">
        <v>29.86</v>
      </c>
      <c r="L13" s="229">
        <v>0.10199999999999999</v>
      </c>
      <c r="M13" s="228">
        <v>322.60000000000002</v>
      </c>
      <c r="N13" s="228">
        <v>289.8</v>
      </c>
      <c r="O13" s="228">
        <v>32.799999999999997</v>
      </c>
      <c r="P13" s="229">
        <v>0.1132</v>
      </c>
      <c r="Q13" s="228">
        <v>317.45999999999998</v>
      </c>
      <c r="R13" s="228">
        <v>286.57</v>
      </c>
      <c r="S13" s="228">
        <v>30.89</v>
      </c>
      <c r="T13" s="229">
        <v>0.10780000000000001</v>
      </c>
      <c r="U13" s="228">
        <v>314.64999999999998</v>
      </c>
      <c r="V13" s="228">
        <v>284.27999999999997</v>
      </c>
      <c r="W13" s="228">
        <v>30.37</v>
      </c>
      <c r="X13" s="229">
        <v>0.10680000000000001</v>
      </c>
      <c r="Y13" s="228">
        <v>0.13</v>
      </c>
      <c r="Z13" s="228">
        <v>-2.81</v>
      </c>
      <c r="AA13" s="228">
        <v>2.94</v>
      </c>
      <c r="AB13" s="229">
        <v>4.0000000000000002E-4</v>
      </c>
      <c r="AC13" s="228">
        <v>0.13</v>
      </c>
      <c r="AD13" s="228">
        <v>-2.81</v>
      </c>
      <c r="AE13" s="228">
        <v>2.94</v>
      </c>
      <c r="AF13" s="229">
        <v>4.0000000000000002E-4</v>
      </c>
      <c r="AG13" s="228">
        <v>-5.01</v>
      </c>
      <c r="AH13" s="228">
        <v>-6.04</v>
      </c>
      <c r="AI13" s="228">
        <v>1.03</v>
      </c>
      <c r="AJ13" s="229">
        <v>-1.55E-2</v>
      </c>
      <c r="AK13" s="228">
        <v>-7.82</v>
      </c>
      <c r="AL13" s="228">
        <v>-8.33</v>
      </c>
      <c r="AM13" s="228">
        <v>0.51</v>
      </c>
      <c r="AN13" s="229">
        <v>-2.4299999999999999E-2</v>
      </c>
      <c r="AO13" s="228">
        <v>308.36</v>
      </c>
      <c r="AP13" s="228">
        <v>303.64</v>
      </c>
      <c r="AQ13" s="228">
        <v>0</v>
      </c>
      <c r="AR13" s="230">
        <v>59080000</v>
      </c>
      <c r="AS13" s="230">
        <v>25310000</v>
      </c>
      <c r="AT13" s="230">
        <v>33770000</v>
      </c>
      <c r="AU13" s="229">
        <v>1.3343</v>
      </c>
      <c r="AV13" s="230">
        <v>49957500</v>
      </c>
      <c r="AW13" s="230">
        <v>20140000</v>
      </c>
      <c r="AX13" s="230">
        <v>29817500</v>
      </c>
      <c r="AY13" s="229">
        <v>1.4804999999999999</v>
      </c>
      <c r="AZ13" s="230">
        <v>8302500</v>
      </c>
      <c r="BA13" s="230">
        <v>5027500</v>
      </c>
      <c r="BB13" s="230">
        <v>3275000</v>
      </c>
      <c r="BC13" s="229">
        <v>0.65139999999999998</v>
      </c>
      <c r="BD13" s="230">
        <v>820000</v>
      </c>
      <c r="BE13" s="230">
        <v>142500</v>
      </c>
      <c r="BF13" s="230">
        <v>677500</v>
      </c>
      <c r="BG13" s="229">
        <v>4.7544000000000004</v>
      </c>
      <c r="BH13" s="230">
        <v>424155000</v>
      </c>
      <c r="BI13" s="230">
        <v>63770000</v>
      </c>
      <c r="BJ13" s="230">
        <v>360385000</v>
      </c>
      <c r="BK13" s="229">
        <v>5.6513</v>
      </c>
      <c r="BL13" s="230">
        <v>205372500</v>
      </c>
      <c r="BM13" s="230">
        <v>49922500</v>
      </c>
      <c r="BN13" s="230">
        <v>155450000</v>
      </c>
      <c r="BO13" s="229">
        <v>3.1137999999999999</v>
      </c>
      <c r="BP13" s="230">
        <v>688607500</v>
      </c>
      <c r="BQ13" s="230">
        <v>139002500</v>
      </c>
      <c r="BR13" s="230">
        <v>549605000</v>
      </c>
      <c r="BS13" s="229">
        <v>3.9539</v>
      </c>
      <c r="BT13" s="230">
        <v>83526215</v>
      </c>
      <c r="BU13" s="230">
        <v>14966857</v>
      </c>
      <c r="BV13" s="230">
        <v>68559358</v>
      </c>
      <c r="BW13" s="229">
        <v>4.5807000000000002</v>
      </c>
      <c r="BX13" s="230">
        <v>31820000</v>
      </c>
      <c r="BY13" s="230">
        <v>30802500</v>
      </c>
      <c r="BZ13" s="230">
        <v>1017500</v>
      </c>
      <c r="CA13" s="229">
        <v>3.3000000000000002E-2</v>
      </c>
      <c r="CB13" s="230">
        <v>26377500</v>
      </c>
      <c r="CC13" s="230">
        <v>26047500</v>
      </c>
      <c r="CD13" s="230">
        <v>330000</v>
      </c>
      <c r="CE13" s="229">
        <v>1.2699999999999999E-2</v>
      </c>
      <c r="CF13" s="230">
        <v>5010000</v>
      </c>
      <c r="CG13" s="230">
        <v>4492500</v>
      </c>
      <c r="CH13" s="230">
        <v>517500</v>
      </c>
      <c r="CI13" s="229">
        <v>0.1152</v>
      </c>
      <c r="CJ13" s="230">
        <v>432500</v>
      </c>
      <c r="CK13" s="230">
        <v>262500</v>
      </c>
      <c r="CL13" s="230">
        <v>170000</v>
      </c>
      <c r="CM13" s="229">
        <v>0.64759999999999995</v>
      </c>
      <c r="CN13" s="230">
        <v>32425000</v>
      </c>
      <c r="CO13" s="230">
        <v>29892500</v>
      </c>
      <c r="CP13" s="230">
        <v>2532500</v>
      </c>
      <c r="CQ13" s="229">
        <v>8.4699999999999998E-2</v>
      </c>
      <c r="CR13" s="230">
        <v>39760000</v>
      </c>
      <c r="CS13" s="230">
        <v>21497500</v>
      </c>
      <c r="CT13" s="230">
        <v>18262500</v>
      </c>
      <c r="CU13" s="229">
        <v>0.84950000000000003</v>
      </c>
      <c r="CV13" s="230">
        <v>104005000</v>
      </c>
      <c r="CW13" s="230">
        <v>82192500</v>
      </c>
      <c r="CX13" s="230">
        <v>21812500</v>
      </c>
      <c r="CY13" s="229">
        <v>0.26540000000000002</v>
      </c>
      <c r="CZ13" s="228">
        <v>47.43</v>
      </c>
      <c r="DA13" s="228">
        <v>56.57</v>
      </c>
      <c r="DB13" s="228">
        <v>-9.14</v>
      </c>
      <c r="DC13" s="228">
        <v>-9.14</v>
      </c>
      <c r="DD13" s="228">
        <v>57.5</v>
      </c>
      <c r="DE13" s="228">
        <v>55.99</v>
      </c>
      <c r="DF13" s="228">
        <v>-10.07</v>
      </c>
      <c r="DG13" s="228">
        <v>1.51</v>
      </c>
      <c r="DH13" s="228">
        <v>45.23</v>
      </c>
      <c r="DI13" s="228">
        <v>56.45</v>
      </c>
      <c r="DJ13" s="228">
        <v>-11.22</v>
      </c>
      <c r="DK13" s="228">
        <v>-11.22</v>
      </c>
      <c r="DL13" s="228">
        <v>51.98</v>
      </c>
      <c r="DM13" s="228">
        <v>56.72</v>
      </c>
      <c r="DN13" s="228">
        <v>-4.74</v>
      </c>
      <c r="DO13" s="228">
        <v>-4.74</v>
      </c>
      <c r="DP13" s="228">
        <v>1.23</v>
      </c>
      <c r="DQ13" s="228">
        <v>0.72</v>
      </c>
      <c r="DR13" s="228">
        <v>0.51</v>
      </c>
      <c r="DS13" s="229">
        <v>0.70830000000000004</v>
      </c>
      <c r="DT13" s="228">
        <v>300</v>
      </c>
      <c r="DU13" s="228">
        <v>300</v>
      </c>
      <c r="DV13" s="228">
        <v>0.48</v>
      </c>
      <c r="DW13" s="228">
        <v>0.78</v>
      </c>
      <c r="DX13" s="228">
        <v>-0.3</v>
      </c>
      <c r="DY13" s="229">
        <v>-0.3846</v>
      </c>
      <c r="DZ13" s="229">
        <v>0.17100000000000001</v>
      </c>
      <c r="EA13" s="230">
        <v>4755000</v>
      </c>
      <c r="EB13" s="229">
        <v>-1.5900000000000001E-2</v>
      </c>
      <c r="EC13" s="229">
        <v>0.17100000000000001</v>
      </c>
      <c r="ED13" s="228">
        <v>-4.72</v>
      </c>
      <c r="EE13" s="229">
        <v>-1.5299999999999999E-2</v>
      </c>
      <c r="EF13" s="230">
        <v>14991728</v>
      </c>
      <c r="EG13" s="230">
        <v>4136952</v>
      </c>
      <c r="EH13" s="229">
        <v>2.6238999999999999</v>
      </c>
      <c r="EI13" s="229">
        <v>0.17949999999999999</v>
      </c>
      <c r="EJ13" s="231">
        <v>1382505.12</v>
      </c>
      <c r="EK13" s="231">
        <v>614462.11</v>
      </c>
      <c r="EL13" s="231">
        <v>181754.67</v>
      </c>
      <c r="EM13" s="231">
        <v>6763</v>
      </c>
      <c r="EN13" s="231">
        <v>2178721.9</v>
      </c>
      <c r="EO13" s="231">
        <v>414803.59</v>
      </c>
      <c r="EP13" s="231">
        <v>1763918.31</v>
      </c>
      <c r="EQ13" s="229">
        <v>4.2523999999999997</v>
      </c>
      <c r="ER13" s="231">
        <v>100112</v>
      </c>
      <c r="ES13" s="231">
        <v>113759</v>
      </c>
      <c r="ET13" s="231">
        <v>102359</v>
      </c>
      <c r="EU13" s="231">
        <v>96940911</v>
      </c>
      <c r="EV13" s="231">
        <v>316230</v>
      </c>
      <c r="EW13" s="231">
        <v>233900</v>
      </c>
      <c r="EX13" s="231">
        <v>82330</v>
      </c>
      <c r="EY13" s="229">
        <v>0.35199999999999998</v>
      </c>
      <c r="EZ13" s="229">
        <v>1.0729</v>
      </c>
      <c r="FA13" s="227" t="s">
        <v>555</v>
      </c>
      <c r="FB13" s="161">
        <f t="shared" si="0"/>
        <v>5442500</v>
      </c>
    </row>
    <row r="14" spans="1:158" ht="17.25" thickBot="1" x14ac:dyDescent="0.3">
      <c r="A14" s="226">
        <v>46129</v>
      </c>
      <c r="B14" s="227" t="s">
        <v>227</v>
      </c>
      <c r="C14" s="227" t="s">
        <v>597</v>
      </c>
      <c r="D14" s="228">
        <v>350</v>
      </c>
      <c r="E14" s="231">
        <v>2105.9</v>
      </c>
      <c r="F14" s="231">
        <v>2053.1</v>
      </c>
      <c r="G14" s="228">
        <v>52.8</v>
      </c>
      <c r="H14" s="229">
        <v>2.5700000000000001E-2</v>
      </c>
      <c r="I14" s="231">
        <v>2105.6999999999998</v>
      </c>
      <c r="J14" s="231">
        <v>2045.3</v>
      </c>
      <c r="K14" s="228">
        <v>60.4</v>
      </c>
      <c r="L14" s="229">
        <v>2.9499999999999998E-2</v>
      </c>
      <c r="M14" s="231">
        <v>2105.9</v>
      </c>
      <c r="N14" s="231">
        <v>2053.1</v>
      </c>
      <c r="O14" s="228">
        <v>52.8</v>
      </c>
      <c r="P14" s="229">
        <v>2.5700000000000001E-2</v>
      </c>
      <c r="Q14" s="231">
        <v>2115.6</v>
      </c>
      <c r="R14" s="231">
        <v>2059.4</v>
      </c>
      <c r="S14" s="228">
        <v>56.2</v>
      </c>
      <c r="T14" s="229">
        <v>2.7300000000000001E-2</v>
      </c>
      <c r="U14" s="231">
        <v>2126.5</v>
      </c>
      <c r="V14" s="231">
        <v>2078.4</v>
      </c>
      <c r="W14" s="228">
        <v>48.1</v>
      </c>
      <c r="X14" s="229">
        <v>2.3099999999999999E-2</v>
      </c>
      <c r="Y14" s="228">
        <v>0.2</v>
      </c>
      <c r="Z14" s="228">
        <v>7.8</v>
      </c>
      <c r="AA14" s="228">
        <v>-7.6</v>
      </c>
      <c r="AB14" s="229">
        <v>1E-4</v>
      </c>
      <c r="AC14" s="228">
        <v>0.2</v>
      </c>
      <c r="AD14" s="228">
        <v>7.8</v>
      </c>
      <c r="AE14" s="228">
        <v>-7.6</v>
      </c>
      <c r="AF14" s="229">
        <v>1E-4</v>
      </c>
      <c r="AG14" s="228">
        <v>9.9</v>
      </c>
      <c r="AH14" s="228">
        <v>14.1</v>
      </c>
      <c r="AI14" s="228">
        <v>-4.2</v>
      </c>
      <c r="AJ14" s="229">
        <v>4.7000000000000002E-3</v>
      </c>
      <c r="AK14" s="228">
        <v>20.8</v>
      </c>
      <c r="AL14" s="228">
        <v>33.1</v>
      </c>
      <c r="AM14" s="228">
        <v>-12.3</v>
      </c>
      <c r="AN14" s="229">
        <v>9.9000000000000008E-3</v>
      </c>
      <c r="AO14" s="231">
        <v>2092.5100000000002</v>
      </c>
      <c r="AP14" s="231">
        <v>2103.9899999999998</v>
      </c>
      <c r="AQ14" s="228">
        <v>0</v>
      </c>
      <c r="AR14" s="230">
        <v>752500</v>
      </c>
      <c r="AS14" s="230">
        <v>1419600</v>
      </c>
      <c r="AT14" s="230">
        <v>-667100</v>
      </c>
      <c r="AU14" s="229">
        <v>-0.46989999999999998</v>
      </c>
      <c r="AV14" s="230">
        <v>701750</v>
      </c>
      <c r="AW14" s="230">
        <v>911750</v>
      </c>
      <c r="AX14" s="230">
        <v>-210000</v>
      </c>
      <c r="AY14" s="229">
        <v>-0.2303</v>
      </c>
      <c r="AZ14" s="230">
        <v>45150</v>
      </c>
      <c r="BA14" s="230">
        <v>23100</v>
      </c>
      <c r="BB14" s="230">
        <v>22050</v>
      </c>
      <c r="BC14" s="229">
        <v>0.95450000000000002</v>
      </c>
      <c r="BD14" s="230">
        <v>5600</v>
      </c>
      <c r="BE14" s="230">
        <v>484750</v>
      </c>
      <c r="BF14" s="230">
        <v>-479150</v>
      </c>
      <c r="BG14" s="229">
        <v>-0.98839999999999995</v>
      </c>
      <c r="BH14" s="230">
        <v>3880100</v>
      </c>
      <c r="BI14" s="230">
        <v>1612100</v>
      </c>
      <c r="BJ14" s="230">
        <v>2268000</v>
      </c>
      <c r="BK14" s="229">
        <v>1.4069</v>
      </c>
      <c r="BL14" s="230">
        <v>1080800</v>
      </c>
      <c r="BM14" s="230">
        <v>491400</v>
      </c>
      <c r="BN14" s="230">
        <v>589400</v>
      </c>
      <c r="BO14" s="229">
        <v>1.1994</v>
      </c>
      <c r="BP14" s="230">
        <v>5713400</v>
      </c>
      <c r="BQ14" s="230">
        <v>3523100</v>
      </c>
      <c r="BR14" s="230">
        <v>2190300</v>
      </c>
      <c r="BS14" s="229">
        <v>0.62170000000000003</v>
      </c>
      <c r="BT14" s="230">
        <v>757328</v>
      </c>
      <c r="BU14" s="230">
        <v>553891</v>
      </c>
      <c r="BV14" s="230">
        <v>203437</v>
      </c>
      <c r="BW14" s="229">
        <v>0.36730000000000002</v>
      </c>
      <c r="BX14" s="230">
        <v>5087250</v>
      </c>
      <c r="BY14" s="230">
        <v>5119100</v>
      </c>
      <c r="BZ14" s="230">
        <v>-31850</v>
      </c>
      <c r="CA14" s="229">
        <v>-6.1999999999999998E-3</v>
      </c>
      <c r="CB14" s="230">
        <v>4515700</v>
      </c>
      <c r="CC14" s="230">
        <v>4556300</v>
      </c>
      <c r="CD14" s="230">
        <v>-40600</v>
      </c>
      <c r="CE14" s="229">
        <v>-8.8999999999999999E-3</v>
      </c>
      <c r="CF14" s="230">
        <v>81200</v>
      </c>
      <c r="CG14" s="230">
        <v>72100</v>
      </c>
      <c r="CH14" s="230">
        <v>9100</v>
      </c>
      <c r="CI14" s="229">
        <v>0.12620000000000001</v>
      </c>
      <c r="CJ14" s="230">
        <v>490350</v>
      </c>
      <c r="CK14" s="230">
        <v>490700</v>
      </c>
      <c r="CL14" s="228">
        <v>-350</v>
      </c>
      <c r="CM14" s="229">
        <v>-6.9999999999999999E-4</v>
      </c>
      <c r="CN14" s="230">
        <v>1288350</v>
      </c>
      <c r="CO14" s="230">
        <v>1191750</v>
      </c>
      <c r="CP14" s="230">
        <v>96600</v>
      </c>
      <c r="CQ14" s="229">
        <v>8.1100000000000005E-2</v>
      </c>
      <c r="CR14" s="230">
        <v>868700</v>
      </c>
      <c r="CS14" s="230">
        <v>835800</v>
      </c>
      <c r="CT14" s="230">
        <v>32900</v>
      </c>
      <c r="CU14" s="229">
        <v>3.9399999999999998E-2</v>
      </c>
      <c r="CV14" s="230">
        <v>7244300</v>
      </c>
      <c r="CW14" s="230">
        <v>7146650</v>
      </c>
      <c r="CX14" s="230">
        <v>97650</v>
      </c>
      <c r="CY14" s="229">
        <v>1.37E-2</v>
      </c>
      <c r="CZ14" s="228">
        <v>32.42</v>
      </c>
      <c r="DA14" s="228">
        <v>33.15</v>
      </c>
      <c r="DB14" s="228">
        <v>-0.73</v>
      </c>
      <c r="DC14" s="228">
        <v>-0.73</v>
      </c>
      <c r="DD14" s="228">
        <v>36.049999999999997</v>
      </c>
      <c r="DE14" s="228">
        <v>35.92</v>
      </c>
      <c r="DF14" s="228">
        <v>-3.63</v>
      </c>
      <c r="DG14" s="228">
        <v>0.13</v>
      </c>
      <c r="DH14" s="228">
        <v>31.58</v>
      </c>
      <c r="DI14" s="228">
        <v>32.340000000000003</v>
      </c>
      <c r="DJ14" s="228">
        <v>-0.76</v>
      </c>
      <c r="DK14" s="228">
        <v>-0.76</v>
      </c>
      <c r="DL14" s="228">
        <v>35.46</v>
      </c>
      <c r="DM14" s="228">
        <v>35.81</v>
      </c>
      <c r="DN14" s="228">
        <v>-0.35</v>
      </c>
      <c r="DO14" s="228">
        <v>-0.35</v>
      </c>
      <c r="DP14" s="228">
        <v>0.67</v>
      </c>
      <c r="DQ14" s="228">
        <v>0.7</v>
      </c>
      <c r="DR14" s="228">
        <v>-0.03</v>
      </c>
      <c r="DS14" s="229">
        <v>-4.2900000000000001E-2</v>
      </c>
      <c r="DT14" s="231">
        <v>2200</v>
      </c>
      <c r="DU14" s="231">
        <v>2000</v>
      </c>
      <c r="DV14" s="228">
        <v>0.28000000000000003</v>
      </c>
      <c r="DW14" s="228">
        <v>0.3</v>
      </c>
      <c r="DX14" s="228">
        <v>-0.02</v>
      </c>
      <c r="DY14" s="229">
        <v>-6.6699999999999995E-2</v>
      </c>
      <c r="DZ14" s="229">
        <v>0.1123</v>
      </c>
      <c r="EA14" s="230">
        <v>562800</v>
      </c>
      <c r="EB14" s="229">
        <v>4.5999999999999999E-3</v>
      </c>
      <c r="EC14" s="229">
        <v>0.1123</v>
      </c>
      <c r="ED14" s="228">
        <v>11.48</v>
      </c>
      <c r="EE14" s="229">
        <v>5.4999999999999997E-3</v>
      </c>
      <c r="EF14" s="230">
        <v>390685</v>
      </c>
      <c r="EG14" s="230">
        <v>309158</v>
      </c>
      <c r="EH14" s="229">
        <v>0.26369999999999999</v>
      </c>
      <c r="EI14" s="229">
        <v>0.51590000000000003</v>
      </c>
      <c r="EJ14" s="231">
        <v>84005.42</v>
      </c>
      <c r="EK14" s="231">
        <v>21829.55</v>
      </c>
      <c r="EL14" s="231">
        <v>15752.38</v>
      </c>
      <c r="EM14" s="231">
        <v>2993</v>
      </c>
      <c r="EN14" s="231">
        <v>121587.35</v>
      </c>
      <c r="EO14" s="231">
        <v>73241.89</v>
      </c>
      <c r="EP14" s="231">
        <v>48345.46</v>
      </c>
      <c r="EQ14" s="229">
        <v>0.66010000000000002</v>
      </c>
      <c r="ER14" s="231">
        <v>27244</v>
      </c>
      <c r="ES14" s="231">
        <v>16926</v>
      </c>
      <c r="ET14" s="231">
        <v>107241</v>
      </c>
      <c r="EU14" s="231">
        <v>29871221</v>
      </c>
      <c r="EV14" s="231">
        <v>151412</v>
      </c>
      <c r="EW14" s="231">
        <v>146331</v>
      </c>
      <c r="EX14" s="231">
        <v>5081</v>
      </c>
      <c r="EY14" s="229">
        <v>3.4700000000000002E-2</v>
      </c>
      <c r="EZ14" s="229">
        <v>0.24249999999999999</v>
      </c>
      <c r="FA14" s="227" t="s">
        <v>693</v>
      </c>
      <c r="FB14" s="161">
        <f t="shared" si="0"/>
        <v>571550</v>
      </c>
    </row>
    <row r="15" spans="1:158" ht="17.25" thickBot="1" x14ac:dyDescent="0.3">
      <c r="A15" s="226">
        <v>46129</v>
      </c>
      <c r="B15" s="227" t="s">
        <v>170</v>
      </c>
      <c r="C15" s="227" t="s">
        <v>165</v>
      </c>
      <c r="D15" s="228">
        <v>125</v>
      </c>
      <c r="E15" s="231">
        <v>7698</v>
      </c>
      <c r="F15" s="231">
        <v>7556</v>
      </c>
      <c r="G15" s="228">
        <v>142</v>
      </c>
      <c r="H15" s="229">
        <v>1.8800000000000001E-2</v>
      </c>
      <c r="I15" s="231">
        <v>7699</v>
      </c>
      <c r="J15" s="231">
        <v>7553</v>
      </c>
      <c r="K15" s="228">
        <v>146</v>
      </c>
      <c r="L15" s="229">
        <v>1.9300000000000001E-2</v>
      </c>
      <c r="M15" s="231">
        <v>7698</v>
      </c>
      <c r="N15" s="231">
        <v>7556</v>
      </c>
      <c r="O15" s="228">
        <v>142</v>
      </c>
      <c r="P15" s="229">
        <v>1.8800000000000001E-2</v>
      </c>
      <c r="Q15" s="231">
        <v>7738.5</v>
      </c>
      <c r="R15" s="231">
        <v>7599.5</v>
      </c>
      <c r="S15" s="228">
        <v>139</v>
      </c>
      <c r="T15" s="229">
        <v>1.83E-2</v>
      </c>
      <c r="U15" s="231">
        <v>7787</v>
      </c>
      <c r="V15" s="231">
        <v>7620.5</v>
      </c>
      <c r="W15" s="228">
        <v>166.5</v>
      </c>
      <c r="X15" s="229">
        <v>2.18E-2</v>
      </c>
      <c r="Y15" s="228">
        <v>-1</v>
      </c>
      <c r="Z15" s="228">
        <v>3</v>
      </c>
      <c r="AA15" s="228">
        <v>-4</v>
      </c>
      <c r="AB15" s="229">
        <v>-1E-4</v>
      </c>
      <c r="AC15" s="228">
        <v>-1</v>
      </c>
      <c r="AD15" s="228">
        <v>3</v>
      </c>
      <c r="AE15" s="228">
        <v>-4</v>
      </c>
      <c r="AF15" s="229">
        <v>-1E-4</v>
      </c>
      <c r="AG15" s="228">
        <v>39.5</v>
      </c>
      <c r="AH15" s="228">
        <v>46.5</v>
      </c>
      <c r="AI15" s="228">
        <v>-7</v>
      </c>
      <c r="AJ15" s="229">
        <v>5.1000000000000004E-3</v>
      </c>
      <c r="AK15" s="228">
        <v>88</v>
      </c>
      <c r="AL15" s="228">
        <v>67.5</v>
      </c>
      <c r="AM15" s="228">
        <v>20.5</v>
      </c>
      <c r="AN15" s="229">
        <v>1.14E-2</v>
      </c>
      <c r="AO15" s="231">
        <v>7658.62</v>
      </c>
      <c r="AP15" s="231">
        <v>7682.6</v>
      </c>
      <c r="AQ15" s="228">
        <v>0</v>
      </c>
      <c r="AR15" s="230">
        <v>314625</v>
      </c>
      <c r="AS15" s="230">
        <v>453375</v>
      </c>
      <c r="AT15" s="230">
        <v>-138750</v>
      </c>
      <c r="AU15" s="229">
        <v>-0.30599999999999999</v>
      </c>
      <c r="AV15" s="230">
        <v>262375</v>
      </c>
      <c r="AW15" s="230">
        <v>403875</v>
      </c>
      <c r="AX15" s="230">
        <v>-141500</v>
      </c>
      <c r="AY15" s="229">
        <v>-0.35039999999999999</v>
      </c>
      <c r="AZ15" s="230">
        <v>49250</v>
      </c>
      <c r="BA15" s="230">
        <v>48125</v>
      </c>
      <c r="BB15" s="230">
        <v>1125</v>
      </c>
      <c r="BC15" s="229">
        <v>2.3400000000000001E-2</v>
      </c>
      <c r="BD15" s="230">
        <v>3000</v>
      </c>
      <c r="BE15" s="230">
        <v>1375</v>
      </c>
      <c r="BF15" s="230">
        <v>1625</v>
      </c>
      <c r="BG15" s="229">
        <v>1.1818</v>
      </c>
      <c r="BH15" s="230">
        <v>2859875</v>
      </c>
      <c r="BI15" s="230">
        <v>2192750</v>
      </c>
      <c r="BJ15" s="230">
        <v>667125</v>
      </c>
      <c r="BK15" s="229">
        <v>0.30420000000000003</v>
      </c>
      <c r="BL15" s="230">
        <v>1064375</v>
      </c>
      <c r="BM15" s="230">
        <v>1263625</v>
      </c>
      <c r="BN15" s="230">
        <v>-199250</v>
      </c>
      <c r="BO15" s="229">
        <v>-0.15770000000000001</v>
      </c>
      <c r="BP15" s="230">
        <v>4238875</v>
      </c>
      <c r="BQ15" s="230">
        <v>3909750</v>
      </c>
      <c r="BR15" s="230">
        <v>329125</v>
      </c>
      <c r="BS15" s="229">
        <v>8.4199999999999997E-2</v>
      </c>
      <c r="BT15" s="230">
        <v>354844</v>
      </c>
      <c r="BU15" s="230">
        <v>412795</v>
      </c>
      <c r="BV15" s="230">
        <v>-57951</v>
      </c>
      <c r="BW15" s="229">
        <v>-0.1404</v>
      </c>
      <c r="BX15" s="230">
        <v>2396375</v>
      </c>
      <c r="BY15" s="230">
        <v>2453875</v>
      </c>
      <c r="BZ15" s="230">
        <v>-57500</v>
      </c>
      <c r="CA15" s="229">
        <v>-2.3400000000000001E-2</v>
      </c>
      <c r="CB15" s="230">
        <v>2281375</v>
      </c>
      <c r="CC15" s="230">
        <v>2337875</v>
      </c>
      <c r="CD15" s="230">
        <v>-56500</v>
      </c>
      <c r="CE15" s="229">
        <v>-2.4199999999999999E-2</v>
      </c>
      <c r="CF15" s="230">
        <v>101750</v>
      </c>
      <c r="CG15" s="230">
        <v>103500</v>
      </c>
      <c r="CH15" s="230">
        <v>-1750</v>
      </c>
      <c r="CI15" s="229">
        <v>-1.6899999999999998E-2</v>
      </c>
      <c r="CJ15" s="230">
        <v>13250</v>
      </c>
      <c r="CK15" s="230">
        <v>12500</v>
      </c>
      <c r="CL15" s="228">
        <v>750</v>
      </c>
      <c r="CM15" s="229">
        <v>0.06</v>
      </c>
      <c r="CN15" s="230">
        <v>872625</v>
      </c>
      <c r="CO15" s="230">
        <v>866375</v>
      </c>
      <c r="CP15" s="230">
        <v>6250</v>
      </c>
      <c r="CQ15" s="229">
        <v>7.1999999999999998E-3</v>
      </c>
      <c r="CR15" s="230">
        <v>796750</v>
      </c>
      <c r="CS15" s="230">
        <v>725500</v>
      </c>
      <c r="CT15" s="230">
        <v>71250</v>
      </c>
      <c r="CU15" s="229">
        <v>9.8199999999999996E-2</v>
      </c>
      <c r="CV15" s="230">
        <v>4065750</v>
      </c>
      <c r="CW15" s="230">
        <v>4045750</v>
      </c>
      <c r="CX15" s="230">
        <v>20000</v>
      </c>
      <c r="CY15" s="229">
        <v>4.8999999999999998E-3</v>
      </c>
      <c r="CZ15" s="228">
        <v>22.92</v>
      </c>
      <c r="DA15" s="228">
        <v>24.51</v>
      </c>
      <c r="DB15" s="228">
        <v>-1.59</v>
      </c>
      <c r="DC15" s="228">
        <v>-1.59</v>
      </c>
      <c r="DD15" s="228">
        <v>25.23</v>
      </c>
      <c r="DE15" s="228">
        <v>25.16</v>
      </c>
      <c r="DF15" s="228">
        <v>-2.31</v>
      </c>
      <c r="DG15" s="228">
        <v>7.0000000000000007E-2</v>
      </c>
      <c r="DH15" s="228">
        <v>22.34</v>
      </c>
      <c r="DI15" s="228">
        <v>24.08</v>
      </c>
      <c r="DJ15" s="228">
        <v>-1.74</v>
      </c>
      <c r="DK15" s="228">
        <v>-1.74</v>
      </c>
      <c r="DL15" s="228">
        <v>24.48</v>
      </c>
      <c r="DM15" s="228">
        <v>25.25</v>
      </c>
      <c r="DN15" s="228">
        <v>-0.77</v>
      </c>
      <c r="DO15" s="228">
        <v>-0.77</v>
      </c>
      <c r="DP15" s="228">
        <v>0.91</v>
      </c>
      <c r="DQ15" s="228">
        <v>0.84</v>
      </c>
      <c r="DR15" s="228">
        <v>7.0000000000000007E-2</v>
      </c>
      <c r="DS15" s="229">
        <v>8.3299999999999999E-2</v>
      </c>
      <c r="DT15" s="231">
        <v>7700</v>
      </c>
      <c r="DU15" s="231">
        <v>6700</v>
      </c>
      <c r="DV15" s="228">
        <v>0.37</v>
      </c>
      <c r="DW15" s="228">
        <v>0.57999999999999996</v>
      </c>
      <c r="DX15" s="228">
        <v>-0.21</v>
      </c>
      <c r="DY15" s="229">
        <v>-0.36209999999999998</v>
      </c>
      <c r="DZ15" s="229">
        <v>4.8000000000000001E-2</v>
      </c>
      <c r="EA15" s="230">
        <v>116000</v>
      </c>
      <c r="EB15" s="229">
        <v>5.3E-3</v>
      </c>
      <c r="EC15" s="229">
        <v>4.8000000000000001E-2</v>
      </c>
      <c r="ED15" s="228">
        <v>23.98</v>
      </c>
      <c r="EE15" s="229">
        <v>3.0999999999999999E-3</v>
      </c>
      <c r="EF15" s="230">
        <v>214210</v>
      </c>
      <c r="EG15" s="230">
        <v>239992</v>
      </c>
      <c r="EH15" s="229">
        <v>-0.1074</v>
      </c>
      <c r="EI15" s="229">
        <v>0.60370000000000001</v>
      </c>
      <c r="EJ15" s="231">
        <v>224630.92</v>
      </c>
      <c r="EK15" s="231">
        <v>80026.17</v>
      </c>
      <c r="EL15" s="231">
        <v>24110.38</v>
      </c>
      <c r="EM15" s="231">
        <v>2930</v>
      </c>
      <c r="EN15" s="231">
        <v>328767.46999999997</v>
      </c>
      <c r="EO15" s="231">
        <v>299771.09000000003</v>
      </c>
      <c r="EP15" s="231">
        <v>28996.38</v>
      </c>
      <c r="EQ15" s="229">
        <v>9.6699999999999994E-2</v>
      </c>
      <c r="ER15" s="231">
        <v>67742</v>
      </c>
      <c r="ES15" s="231">
        <v>56863</v>
      </c>
      <c r="ET15" s="231">
        <v>184526</v>
      </c>
      <c r="EU15" s="231">
        <v>15524629</v>
      </c>
      <c r="EV15" s="231">
        <v>309131</v>
      </c>
      <c r="EW15" s="231">
        <v>303986</v>
      </c>
      <c r="EX15" s="231">
        <v>5145</v>
      </c>
      <c r="EY15" s="229">
        <v>1.6899999999999998E-2</v>
      </c>
      <c r="EZ15" s="229">
        <v>0.26190000000000002</v>
      </c>
      <c r="FA15" s="227" t="s">
        <v>693</v>
      </c>
      <c r="FB15" s="161">
        <f t="shared" si="0"/>
        <v>115000</v>
      </c>
    </row>
    <row r="16" spans="1:158" ht="17.25" thickBot="1" x14ac:dyDescent="0.3">
      <c r="A16" s="226">
        <v>46129</v>
      </c>
      <c r="B16" s="227" t="s">
        <v>162</v>
      </c>
      <c r="C16" s="227" t="s">
        <v>167</v>
      </c>
      <c r="D16" s="228">
        <v>5000</v>
      </c>
      <c r="E16" s="228">
        <v>174.97</v>
      </c>
      <c r="F16" s="228">
        <v>176.3</v>
      </c>
      <c r="G16" s="228">
        <v>-1.33</v>
      </c>
      <c r="H16" s="229">
        <v>-7.4999999999999997E-3</v>
      </c>
      <c r="I16" s="228">
        <v>174.78</v>
      </c>
      <c r="J16" s="228">
        <v>176.73</v>
      </c>
      <c r="K16" s="228">
        <v>-1.95</v>
      </c>
      <c r="L16" s="229">
        <v>-1.0999999999999999E-2</v>
      </c>
      <c r="M16" s="228">
        <v>174.97</v>
      </c>
      <c r="N16" s="228">
        <v>176.3</v>
      </c>
      <c r="O16" s="228">
        <v>-1.33</v>
      </c>
      <c r="P16" s="229">
        <v>-7.4999999999999997E-3</v>
      </c>
      <c r="Q16" s="228">
        <v>173.24</v>
      </c>
      <c r="R16" s="228">
        <v>174.82</v>
      </c>
      <c r="S16" s="228">
        <v>-1.58</v>
      </c>
      <c r="T16" s="229">
        <v>-8.9999999999999993E-3</v>
      </c>
      <c r="U16" s="228">
        <v>172.42</v>
      </c>
      <c r="V16" s="228">
        <v>174.42</v>
      </c>
      <c r="W16" s="228">
        <v>-2</v>
      </c>
      <c r="X16" s="229">
        <v>-1.15E-2</v>
      </c>
      <c r="Y16" s="228">
        <v>0.19</v>
      </c>
      <c r="Z16" s="228">
        <v>-0.43</v>
      </c>
      <c r="AA16" s="228">
        <v>0.62</v>
      </c>
      <c r="AB16" s="229">
        <v>1.1000000000000001E-3</v>
      </c>
      <c r="AC16" s="228">
        <v>0.19</v>
      </c>
      <c r="AD16" s="228">
        <v>-0.43</v>
      </c>
      <c r="AE16" s="228">
        <v>0.62</v>
      </c>
      <c r="AF16" s="229">
        <v>1.1000000000000001E-3</v>
      </c>
      <c r="AG16" s="228">
        <v>-1.54</v>
      </c>
      <c r="AH16" s="228">
        <v>-1.91</v>
      </c>
      <c r="AI16" s="228">
        <v>0.37</v>
      </c>
      <c r="AJ16" s="229">
        <v>-8.8000000000000005E-3</v>
      </c>
      <c r="AK16" s="228">
        <v>-2.36</v>
      </c>
      <c r="AL16" s="228">
        <v>-2.31</v>
      </c>
      <c r="AM16" s="228">
        <v>-0.05</v>
      </c>
      <c r="AN16" s="229">
        <v>-1.35E-2</v>
      </c>
      <c r="AO16" s="228">
        <v>174.62</v>
      </c>
      <c r="AP16" s="228">
        <v>172.73</v>
      </c>
      <c r="AQ16" s="228">
        <v>0</v>
      </c>
      <c r="AR16" s="230">
        <v>32935000</v>
      </c>
      <c r="AS16" s="230">
        <v>23415000</v>
      </c>
      <c r="AT16" s="230">
        <v>9520000</v>
      </c>
      <c r="AU16" s="229">
        <v>0.40660000000000002</v>
      </c>
      <c r="AV16" s="230">
        <v>25055000</v>
      </c>
      <c r="AW16" s="230">
        <v>19765000</v>
      </c>
      <c r="AX16" s="230">
        <v>5290000</v>
      </c>
      <c r="AY16" s="229">
        <v>0.2676</v>
      </c>
      <c r="AZ16" s="230">
        <v>7010000</v>
      </c>
      <c r="BA16" s="230">
        <v>3135000</v>
      </c>
      <c r="BB16" s="230">
        <v>3875000</v>
      </c>
      <c r="BC16" s="229">
        <v>1.236</v>
      </c>
      <c r="BD16" s="230">
        <v>870000</v>
      </c>
      <c r="BE16" s="230">
        <v>515000</v>
      </c>
      <c r="BF16" s="230">
        <v>355000</v>
      </c>
      <c r="BG16" s="229">
        <v>0.68930000000000002</v>
      </c>
      <c r="BH16" s="230">
        <v>76005000</v>
      </c>
      <c r="BI16" s="230">
        <v>63725000</v>
      </c>
      <c r="BJ16" s="230">
        <v>12280000</v>
      </c>
      <c r="BK16" s="229">
        <v>0.19270000000000001</v>
      </c>
      <c r="BL16" s="230">
        <v>43375000</v>
      </c>
      <c r="BM16" s="230">
        <v>42155000</v>
      </c>
      <c r="BN16" s="230">
        <v>1220000</v>
      </c>
      <c r="BO16" s="229">
        <v>2.8899999999999999E-2</v>
      </c>
      <c r="BP16" s="230">
        <v>152315000</v>
      </c>
      <c r="BQ16" s="230">
        <v>129295000</v>
      </c>
      <c r="BR16" s="230">
        <v>23020000</v>
      </c>
      <c r="BS16" s="229">
        <v>0.17799999999999999</v>
      </c>
      <c r="BT16" s="230">
        <v>22380777</v>
      </c>
      <c r="BU16" s="230">
        <v>15766474</v>
      </c>
      <c r="BV16" s="230">
        <v>6614303</v>
      </c>
      <c r="BW16" s="229">
        <v>0.41949999999999998</v>
      </c>
      <c r="BX16" s="230">
        <v>137975000</v>
      </c>
      <c r="BY16" s="230">
        <v>137415000</v>
      </c>
      <c r="BZ16" s="230">
        <v>560000</v>
      </c>
      <c r="CA16" s="229">
        <v>4.1000000000000003E-3</v>
      </c>
      <c r="CB16" s="230">
        <v>124145000</v>
      </c>
      <c r="CC16" s="230">
        <v>127160000</v>
      </c>
      <c r="CD16" s="230">
        <v>-3015000</v>
      </c>
      <c r="CE16" s="229">
        <v>-2.3699999999999999E-2</v>
      </c>
      <c r="CF16" s="230">
        <v>11380000</v>
      </c>
      <c r="CG16" s="230">
        <v>8270000</v>
      </c>
      <c r="CH16" s="230">
        <v>3110000</v>
      </c>
      <c r="CI16" s="229">
        <v>0.37609999999999999</v>
      </c>
      <c r="CJ16" s="230">
        <v>2450000</v>
      </c>
      <c r="CK16" s="230">
        <v>1985000</v>
      </c>
      <c r="CL16" s="230">
        <v>465000</v>
      </c>
      <c r="CM16" s="229">
        <v>0.23430000000000001</v>
      </c>
      <c r="CN16" s="230">
        <v>92395000</v>
      </c>
      <c r="CO16" s="230">
        <v>88905000</v>
      </c>
      <c r="CP16" s="230">
        <v>3490000</v>
      </c>
      <c r="CQ16" s="229">
        <v>3.9300000000000002E-2</v>
      </c>
      <c r="CR16" s="230">
        <v>68100000</v>
      </c>
      <c r="CS16" s="230">
        <v>67465000</v>
      </c>
      <c r="CT16" s="230">
        <v>635000</v>
      </c>
      <c r="CU16" s="229">
        <v>9.4000000000000004E-3</v>
      </c>
      <c r="CV16" s="230">
        <v>298470000</v>
      </c>
      <c r="CW16" s="230">
        <v>293785000</v>
      </c>
      <c r="CX16" s="230">
        <v>4685000</v>
      </c>
      <c r="CY16" s="229">
        <v>1.5900000000000001E-2</v>
      </c>
      <c r="CZ16" s="228">
        <v>40.729999999999997</v>
      </c>
      <c r="DA16" s="228">
        <v>41.38</v>
      </c>
      <c r="DB16" s="228">
        <v>-0.65</v>
      </c>
      <c r="DC16" s="228">
        <v>-0.65</v>
      </c>
      <c r="DD16" s="228">
        <v>42.6</v>
      </c>
      <c r="DE16" s="228">
        <v>42.68</v>
      </c>
      <c r="DF16" s="228">
        <v>-1.87</v>
      </c>
      <c r="DG16" s="228">
        <v>-0.08</v>
      </c>
      <c r="DH16" s="228">
        <v>38.97</v>
      </c>
      <c r="DI16" s="228">
        <v>39.49</v>
      </c>
      <c r="DJ16" s="228">
        <v>-0.52</v>
      </c>
      <c r="DK16" s="228">
        <v>-0.52</v>
      </c>
      <c r="DL16" s="228">
        <v>43.8</v>
      </c>
      <c r="DM16" s="228">
        <v>44.25</v>
      </c>
      <c r="DN16" s="228">
        <v>-0.45</v>
      </c>
      <c r="DO16" s="228">
        <v>-0.45</v>
      </c>
      <c r="DP16" s="228">
        <v>0.74</v>
      </c>
      <c r="DQ16" s="228">
        <v>0.76</v>
      </c>
      <c r="DR16" s="228">
        <v>-0.02</v>
      </c>
      <c r="DS16" s="229">
        <v>-2.63E-2</v>
      </c>
      <c r="DT16" s="228">
        <v>180</v>
      </c>
      <c r="DU16" s="228">
        <v>160</v>
      </c>
      <c r="DV16" s="228">
        <v>0.56999999999999995</v>
      </c>
      <c r="DW16" s="228">
        <v>0.66</v>
      </c>
      <c r="DX16" s="228">
        <v>-0.09</v>
      </c>
      <c r="DY16" s="229">
        <v>-0.13639999999999999</v>
      </c>
      <c r="DZ16" s="229">
        <v>0.1002</v>
      </c>
      <c r="EA16" s="230">
        <v>10255000</v>
      </c>
      <c r="EB16" s="229">
        <v>-9.9000000000000008E-3</v>
      </c>
      <c r="EC16" s="229">
        <v>0.1002</v>
      </c>
      <c r="ED16" s="228">
        <v>-1.89</v>
      </c>
      <c r="EE16" s="229">
        <v>-1.0800000000000001E-2</v>
      </c>
      <c r="EF16" s="230">
        <v>10715878</v>
      </c>
      <c r="EG16" s="230">
        <v>6882932</v>
      </c>
      <c r="EH16" s="229">
        <v>0.55689999999999995</v>
      </c>
      <c r="EI16" s="229">
        <v>0.4788</v>
      </c>
      <c r="EJ16" s="231">
        <v>141482.23000000001</v>
      </c>
      <c r="EK16" s="231">
        <v>72562.97</v>
      </c>
      <c r="EL16" s="231">
        <v>57358.38</v>
      </c>
      <c r="EM16" s="231">
        <v>7066</v>
      </c>
      <c r="EN16" s="231">
        <v>271403.58</v>
      </c>
      <c r="EO16" s="231">
        <v>231884.91</v>
      </c>
      <c r="EP16" s="231">
        <v>39518.67</v>
      </c>
      <c r="EQ16" s="229">
        <v>0.1704</v>
      </c>
      <c r="ER16" s="231">
        <v>167271</v>
      </c>
      <c r="ES16" s="231">
        <v>113480</v>
      </c>
      <c r="ET16" s="231">
        <v>241156</v>
      </c>
      <c r="EU16" s="231">
        <v>423779104</v>
      </c>
      <c r="EV16" s="231">
        <v>521907</v>
      </c>
      <c r="EW16" s="231">
        <v>515060</v>
      </c>
      <c r="EX16" s="231">
        <v>6847</v>
      </c>
      <c r="EY16" s="229">
        <v>1.3299999999999999E-2</v>
      </c>
      <c r="EZ16" s="229">
        <v>0.70430000000000004</v>
      </c>
      <c r="FA16" s="227" t="s">
        <v>566</v>
      </c>
      <c r="FB16" s="161">
        <f t="shared" si="0"/>
        <v>13830000</v>
      </c>
    </row>
    <row r="17" spans="1:158" ht="17.25" thickBot="1" x14ac:dyDescent="0.3">
      <c r="A17" s="226">
        <v>46129</v>
      </c>
      <c r="B17" s="227" t="s">
        <v>168</v>
      </c>
      <c r="C17" s="227" t="s">
        <v>169</v>
      </c>
      <c r="D17" s="228">
        <v>250</v>
      </c>
      <c r="E17" s="231">
        <v>2464.3000000000002</v>
      </c>
      <c r="F17" s="231">
        <v>2442.4</v>
      </c>
      <c r="G17" s="228">
        <v>21.9</v>
      </c>
      <c r="H17" s="229">
        <v>8.9999999999999993E-3</v>
      </c>
      <c r="I17" s="231">
        <v>2464</v>
      </c>
      <c r="J17" s="231">
        <v>2440.3000000000002</v>
      </c>
      <c r="K17" s="228">
        <v>23.7</v>
      </c>
      <c r="L17" s="229">
        <v>9.7000000000000003E-3</v>
      </c>
      <c r="M17" s="231">
        <v>2464.3000000000002</v>
      </c>
      <c r="N17" s="231">
        <v>2442.4</v>
      </c>
      <c r="O17" s="228">
        <v>21.9</v>
      </c>
      <c r="P17" s="229">
        <v>8.9999999999999993E-3</v>
      </c>
      <c r="Q17" s="231">
        <v>2478.9</v>
      </c>
      <c r="R17" s="231">
        <v>2456.4</v>
      </c>
      <c r="S17" s="228">
        <v>22.5</v>
      </c>
      <c r="T17" s="229">
        <v>9.1999999999999998E-3</v>
      </c>
      <c r="U17" s="231">
        <v>2464.1999999999998</v>
      </c>
      <c r="V17" s="231">
        <v>2446.1999999999998</v>
      </c>
      <c r="W17" s="228">
        <v>18</v>
      </c>
      <c r="X17" s="229">
        <v>7.4000000000000003E-3</v>
      </c>
      <c r="Y17" s="228">
        <v>0.3</v>
      </c>
      <c r="Z17" s="228">
        <v>2.1</v>
      </c>
      <c r="AA17" s="228">
        <v>-1.8</v>
      </c>
      <c r="AB17" s="229">
        <v>1E-4</v>
      </c>
      <c r="AC17" s="228">
        <v>0.3</v>
      </c>
      <c r="AD17" s="228">
        <v>2.1</v>
      </c>
      <c r="AE17" s="228">
        <v>-1.8</v>
      </c>
      <c r="AF17" s="229">
        <v>1E-4</v>
      </c>
      <c r="AG17" s="228">
        <v>14.9</v>
      </c>
      <c r="AH17" s="228">
        <v>16.100000000000001</v>
      </c>
      <c r="AI17" s="228">
        <v>-1.2</v>
      </c>
      <c r="AJ17" s="229">
        <v>6.0000000000000001E-3</v>
      </c>
      <c r="AK17" s="228">
        <v>0.2</v>
      </c>
      <c r="AL17" s="228">
        <v>5.9</v>
      </c>
      <c r="AM17" s="228">
        <v>-5.7</v>
      </c>
      <c r="AN17" s="229">
        <v>1E-4</v>
      </c>
      <c r="AO17" s="231">
        <v>2464.84</v>
      </c>
      <c r="AP17" s="231">
        <v>2477.73</v>
      </c>
      <c r="AQ17" s="228">
        <v>0</v>
      </c>
      <c r="AR17" s="230">
        <v>3243750</v>
      </c>
      <c r="AS17" s="230">
        <v>1398750</v>
      </c>
      <c r="AT17" s="230">
        <v>1845000</v>
      </c>
      <c r="AU17" s="229">
        <v>1.319</v>
      </c>
      <c r="AV17" s="230">
        <v>2379750</v>
      </c>
      <c r="AW17" s="230">
        <v>1256000</v>
      </c>
      <c r="AX17" s="230">
        <v>1123750</v>
      </c>
      <c r="AY17" s="229">
        <v>0.89470000000000005</v>
      </c>
      <c r="AZ17" s="230">
        <v>211000</v>
      </c>
      <c r="BA17" s="230">
        <v>131500</v>
      </c>
      <c r="BB17" s="230">
        <v>79500</v>
      </c>
      <c r="BC17" s="229">
        <v>0.60460000000000003</v>
      </c>
      <c r="BD17" s="230">
        <v>653000</v>
      </c>
      <c r="BE17" s="230">
        <v>11250</v>
      </c>
      <c r="BF17" s="230">
        <v>641750</v>
      </c>
      <c r="BG17" s="229">
        <v>57.044400000000003</v>
      </c>
      <c r="BH17" s="230">
        <v>9214250</v>
      </c>
      <c r="BI17" s="230">
        <v>5703750</v>
      </c>
      <c r="BJ17" s="230">
        <v>3510500</v>
      </c>
      <c r="BK17" s="229">
        <v>0.61550000000000005</v>
      </c>
      <c r="BL17" s="230">
        <v>6451250</v>
      </c>
      <c r="BM17" s="230">
        <v>4669250</v>
      </c>
      <c r="BN17" s="230">
        <v>1782000</v>
      </c>
      <c r="BO17" s="229">
        <v>0.38159999999999999</v>
      </c>
      <c r="BP17" s="230">
        <v>18909250</v>
      </c>
      <c r="BQ17" s="230">
        <v>11771750</v>
      </c>
      <c r="BR17" s="230">
        <v>7137500</v>
      </c>
      <c r="BS17" s="229">
        <v>0.60629999999999995</v>
      </c>
      <c r="BT17" s="230">
        <v>1345408</v>
      </c>
      <c r="BU17" s="230">
        <v>1565260</v>
      </c>
      <c r="BV17" s="230">
        <v>-219852</v>
      </c>
      <c r="BW17" s="229">
        <v>-0.14050000000000001</v>
      </c>
      <c r="BX17" s="230">
        <v>14574750</v>
      </c>
      <c r="BY17" s="230">
        <v>14907500</v>
      </c>
      <c r="BZ17" s="230">
        <v>-332750</v>
      </c>
      <c r="CA17" s="229">
        <v>-2.23E-2</v>
      </c>
      <c r="CB17" s="230">
        <v>12529000</v>
      </c>
      <c r="CC17" s="230">
        <v>13577500</v>
      </c>
      <c r="CD17" s="230">
        <v>-1048500</v>
      </c>
      <c r="CE17" s="229">
        <v>-7.7200000000000005E-2</v>
      </c>
      <c r="CF17" s="230">
        <v>1308000</v>
      </c>
      <c r="CG17" s="230">
        <v>1224500</v>
      </c>
      <c r="CH17" s="230">
        <v>83500</v>
      </c>
      <c r="CI17" s="229">
        <v>6.8199999999999997E-2</v>
      </c>
      <c r="CJ17" s="230">
        <v>737750</v>
      </c>
      <c r="CK17" s="230">
        <v>105500</v>
      </c>
      <c r="CL17" s="230">
        <v>632250</v>
      </c>
      <c r="CM17" s="229">
        <v>5.9928999999999997</v>
      </c>
      <c r="CN17" s="230">
        <v>4461750</v>
      </c>
      <c r="CO17" s="230">
        <v>3778750</v>
      </c>
      <c r="CP17" s="230">
        <v>683000</v>
      </c>
      <c r="CQ17" s="229">
        <v>0.1807</v>
      </c>
      <c r="CR17" s="230">
        <v>5148000</v>
      </c>
      <c r="CS17" s="230">
        <v>5064250</v>
      </c>
      <c r="CT17" s="230">
        <v>83750</v>
      </c>
      <c r="CU17" s="229">
        <v>1.6500000000000001E-2</v>
      </c>
      <c r="CV17" s="230">
        <v>24184500</v>
      </c>
      <c r="CW17" s="230">
        <v>23750500</v>
      </c>
      <c r="CX17" s="230">
        <v>434000</v>
      </c>
      <c r="CY17" s="229">
        <v>1.83E-2</v>
      </c>
      <c r="CZ17" s="228">
        <v>28.94</v>
      </c>
      <c r="DA17" s="228">
        <v>30.16</v>
      </c>
      <c r="DB17" s="228">
        <v>-1.22</v>
      </c>
      <c r="DC17" s="228">
        <v>-1.22</v>
      </c>
      <c r="DD17" s="228">
        <v>29.21</v>
      </c>
      <c r="DE17" s="228">
        <v>29.26</v>
      </c>
      <c r="DF17" s="228">
        <v>-0.27</v>
      </c>
      <c r="DG17" s="228">
        <v>-0.05</v>
      </c>
      <c r="DH17" s="228">
        <v>27.12</v>
      </c>
      <c r="DI17" s="228">
        <v>28.35</v>
      </c>
      <c r="DJ17" s="228">
        <v>-1.23</v>
      </c>
      <c r="DK17" s="228">
        <v>-1.23</v>
      </c>
      <c r="DL17" s="228">
        <v>31.55</v>
      </c>
      <c r="DM17" s="228">
        <v>32.369999999999997</v>
      </c>
      <c r="DN17" s="228">
        <v>-0.82</v>
      </c>
      <c r="DO17" s="228">
        <v>-0.82</v>
      </c>
      <c r="DP17" s="228">
        <v>1.1499999999999999</v>
      </c>
      <c r="DQ17" s="228">
        <v>1.34</v>
      </c>
      <c r="DR17" s="228">
        <v>-0.19</v>
      </c>
      <c r="DS17" s="229">
        <v>-0.14180000000000001</v>
      </c>
      <c r="DT17" s="231">
        <v>2500</v>
      </c>
      <c r="DU17" s="231">
        <v>1900</v>
      </c>
      <c r="DV17" s="228">
        <v>0.7</v>
      </c>
      <c r="DW17" s="228">
        <v>0.82</v>
      </c>
      <c r="DX17" s="228">
        <v>-0.12</v>
      </c>
      <c r="DY17" s="229">
        <v>-0.14630000000000001</v>
      </c>
      <c r="DZ17" s="229">
        <v>0.1404</v>
      </c>
      <c r="EA17" s="230">
        <v>1330000</v>
      </c>
      <c r="EB17" s="229">
        <v>5.8999999999999999E-3</v>
      </c>
      <c r="EC17" s="229">
        <v>0.1404</v>
      </c>
      <c r="ED17" s="228">
        <v>12.89</v>
      </c>
      <c r="EE17" s="229">
        <v>5.1999999999999998E-3</v>
      </c>
      <c r="EF17" s="230">
        <v>742881</v>
      </c>
      <c r="EG17" s="230">
        <v>938608</v>
      </c>
      <c r="EH17" s="229">
        <v>-0.20849999999999999</v>
      </c>
      <c r="EI17" s="229">
        <v>0.55220000000000002</v>
      </c>
      <c r="EJ17" s="231">
        <v>234101.16</v>
      </c>
      <c r="EK17" s="231">
        <v>154609.64000000001</v>
      </c>
      <c r="EL17" s="231">
        <v>80049.67</v>
      </c>
      <c r="EM17" s="231">
        <v>7825</v>
      </c>
      <c r="EN17" s="231">
        <v>468760.47</v>
      </c>
      <c r="EO17" s="231">
        <v>288018.48</v>
      </c>
      <c r="EP17" s="231">
        <v>180741.99</v>
      </c>
      <c r="EQ17" s="229">
        <v>0.62749999999999995</v>
      </c>
      <c r="ER17" s="231">
        <v>108518</v>
      </c>
      <c r="ES17" s="231">
        <v>113515</v>
      </c>
      <c r="ET17" s="231">
        <v>359356</v>
      </c>
      <c r="EU17" s="231">
        <v>62818628</v>
      </c>
      <c r="EV17" s="231">
        <v>581389</v>
      </c>
      <c r="EW17" s="231">
        <v>566261</v>
      </c>
      <c r="EX17" s="231">
        <v>15128</v>
      </c>
      <c r="EY17" s="229">
        <v>2.6700000000000002E-2</v>
      </c>
      <c r="EZ17" s="229">
        <v>0.38500000000000001</v>
      </c>
      <c r="FA17" s="227" t="s">
        <v>693</v>
      </c>
      <c r="FB17" s="161">
        <f t="shared" si="0"/>
        <v>2045750</v>
      </c>
    </row>
    <row r="18" spans="1:158" ht="17.25" thickBot="1" x14ac:dyDescent="0.3">
      <c r="A18" s="226">
        <v>46129</v>
      </c>
      <c r="B18" s="227" t="s">
        <v>184</v>
      </c>
      <c r="C18" s="227" t="s">
        <v>503</v>
      </c>
      <c r="D18" s="228">
        <v>425</v>
      </c>
      <c r="E18" s="231">
        <v>1544.7</v>
      </c>
      <c r="F18" s="231">
        <v>1525.5</v>
      </c>
      <c r="G18" s="228">
        <v>19.2</v>
      </c>
      <c r="H18" s="229">
        <v>1.26E-2</v>
      </c>
      <c r="I18" s="231">
        <v>1605</v>
      </c>
      <c r="J18" s="231">
        <v>1578.7</v>
      </c>
      <c r="K18" s="228">
        <v>26.3</v>
      </c>
      <c r="L18" s="229">
        <v>1.67E-2</v>
      </c>
      <c r="M18" s="231">
        <v>1544.7</v>
      </c>
      <c r="N18" s="231">
        <v>1525.5</v>
      </c>
      <c r="O18" s="228">
        <v>19.2</v>
      </c>
      <c r="P18" s="229">
        <v>1.26E-2</v>
      </c>
      <c r="Q18" s="231">
        <v>1494.8</v>
      </c>
      <c r="R18" s="231">
        <v>1476.8</v>
      </c>
      <c r="S18" s="228">
        <v>18</v>
      </c>
      <c r="T18" s="229">
        <v>1.2200000000000001E-2</v>
      </c>
      <c r="U18" s="231">
        <v>1465.2</v>
      </c>
      <c r="V18" s="231">
        <v>1448.1</v>
      </c>
      <c r="W18" s="228">
        <v>17.100000000000001</v>
      </c>
      <c r="X18" s="229">
        <v>1.18E-2</v>
      </c>
      <c r="Y18" s="228">
        <v>-60.3</v>
      </c>
      <c r="Z18" s="228">
        <v>-53.2</v>
      </c>
      <c r="AA18" s="228">
        <v>-7.1</v>
      </c>
      <c r="AB18" s="229">
        <v>-3.7600000000000001E-2</v>
      </c>
      <c r="AC18" s="228">
        <v>-60.3</v>
      </c>
      <c r="AD18" s="228">
        <v>-53.2</v>
      </c>
      <c r="AE18" s="228">
        <v>-7.1</v>
      </c>
      <c r="AF18" s="229">
        <v>-3.7600000000000001E-2</v>
      </c>
      <c r="AG18" s="228">
        <v>-110.2</v>
      </c>
      <c r="AH18" s="228">
        <v>-101.9</v>
      </c>
      <c r="AI18" s="228">
        <v>-8.3000000000000007</v>
      </c>
      <c r="AJ18" s="229">
        <v>-6.8699999999999997E-2</v>
      </c>
      <c r="AK18" s="228">
        <v>-139.80000000000001</v>
      </c>
      <c r="AL18" s="228">
        <v>-130.6</v>
      </c>
      <c r="AM18" s="228">
        <v>-9.1999999999999993</v>
      </c>
      <c r="AN18" s="229">
        <v>-8.7099999999999997E-2</v>
      </c>
      <c r="AO18" s="231">
        <v>1549.44</v>
      </c>
      <c r="AP18" s="231">
        <v>1500.63</v>
      </c>
      <c r="AQ18" s="228">
        <v>0</v>
      </c>
      <c r="AR18" s="230">
        <v>3668175</v>
      </c>
      <c r="AS18" s="230">
        <v>6125100</v>
      </c>
      <c r="AT18" s="230">
        <v>-2456925</v>
      </c>
      <c r="AU18" s="229">
        <v>-0.40110000000000001</v>
      </c>
      <c r="AV18" s="230">
        <v>2556800</v>
      </c>
      <c r="AW18" s="230">
        <v>4114850</v>
      </c>
      <c r="AX18" s="230">
        <v>-1558050</v>
      </c>
      <c r="AY18" s="229">
        <v>-0.37859999999999999</v>
      </c>
      <c r="AZ18" s="230">
        <v>1050175</v>
      </c>
      <c r="BA18" s="230">
        <v>1886150</v>
      </c>
      <c r="BB18" s="230">
        <v>-835975</v>
      </c>
      <c r="BC18" s="229">
        <v>-0.44319999999999998</v>
      </c>
      <c r="BD18" s="230">
        <v>61200</v>
      </c>
      <c r="BE18" s="230">
        <v>124100</v>
      </c>
      <c r="BF18" s="230">
        <v>-62900</v>
      </c>
      <c r="BG18" s="229">
        <v>-0.50680000000000003</v>
      </c>
      <c r="BH18" s="230">
        <v>9523400</v>
      </c>
      <c r="BI18" s="230">
        <v>19350250</v>
      </c>
      <c r="BJ18" s="230">
        <v>-9826850</v>
      </c>
      <c r="BK18" s="229">
        <v>-0.50780000000000003</v>
      </c>
      <c r="BL18" s="230">
        <v>4642700</v>
      </c>
      <c r="BM18" s="230">
        <v>10567625</v>
      </c>
      <c r="BN18" s="230">
        <v>-5924925</v>
      </c>
      <c r="BO18" s="229">
        <v>-0.56069999999999998</v>
      </c>
      <c r="BP18" s="230">
        <v>17834275</v>
      </c>
      <c r="BQ18" s="230">
        <v>36042975</v>
      </c>
      <c r="BR18" s="230">
        <v>-18208700</v>
      </c>
      <c r="BS18" s="229">
        <v>-0.50519999999999998</v>
      </c>
      <c r="BT18" s="230">
        <v>1717129</v>
      </c>
      <c r="BU18" s="230">
        <v>2423214</v>
      </c>
      <c r="BV18" s="230">
        <v>-706085</v>
      </c>
      <c r="BW18" s="229">
        <v>-0.29139999999999999</v>
      </c>
      <c r="BX18" s="230">
        <v>14134225</v>
      </c>
      <c r="BY18" s="230">
        <v>13641225</v>
      </c>
      <c r="BZ18" s="230">
        <v>493000</v>
      </c>
      <c r="CA18" s="229">
        <v>3.61E-2</v>
      </c>
      <c r="CB18" s="230">
        <v>10654325</v>
      </c>
      <c r="CC18" s="230">
        <v>10465200</v>
      </c>
      <c r="CD18" s="230">
        <v>189125</v>
      </c>
      <c r="CE18" s="229">
        <v>1.8100000000000002E-2</v>
      </c>
      <c r="CF18" s="230">
        <v>3341775</v>
      </c>
      <c r="CG18" s="230">
        <v>3051500</v>
      </c>
      <c r="CH18" s="230">
        <v>290275</v>
      </c>
      <c r="CI18" s="229">
        <v>9.5100000000000004E-2</v>
      </c>
      <c r="CJ18" s="230">
        <v>138125</v>
      </c>
      <c r="CK18" s="230">
        <v>124525</v>
      </c>
      <c r="CL18" s="230">
        <v>13600</v>
      </c>
      <c r="CM18" s="229">
        <v>0.10920000000000001</v>
      </c>
      <c r="CN18" s="230">
        <v>4231725</v>
      </c>
      <c r="CO18" s="230">
        <v>4587450</v>
      </c>
      <c r="CP18" s="230">
        <v>-355725</v>
      </c>
      <c r="CQ18" s="229">
        <v>-7.7499999999999999E-2</v>
      </c>
      <c r="CR18" s="230">
        <v>2486675</v>
      </c>
      <c r="CS18" s="230">
        <v>2361725</v>
      </c>
      <c r="CT18" s="230">
        <v>124950</v>
      </c>
      <c r="CU18" s="229">
        <v>5.2900000000000003E-2</v>
      </c>
      <c r="CV18" s="230">
        <v>20852625</v>
      </c>
      <c r="CW18" s="230">
        <v>20590400</v>
      </c>
      <c r="CX18" s="230">
        <v>262225</v>
      </c>
      <c r="CY18" s="229">
        <v>1.2699999999999999E-2</v>
      </c>
      <c r="CZ18" s="228">
        <v>35.71</v>
      </c>
      <c r="DA18" s="228">
        <v>37.78</v>
      </c>
      <c r="DB18" s="228">
        <v>-2.0699999999999998</v>
      </c>
      <c r="DC18" s="228">
        <v>-2.0699999999999998</v>
      </c>
      <c r="DD18" s="228">
        <v>36</v>
      </c>
      <c r="DE18" s="228">
        <v>36.020000000000003</v>
      </c>
      <c r="DF18" s="228">
        <v>-0.28999999999999998</v>
      </c>
      <c r="DG18" s="228">
        <v>-0.02</v>
      </c>
      <c r="DH18" s="228">
        <v>36.159999999999997</v>
      </c>
      <c r="DI18" s="228">
        <v>38.1</v>
      </c>
      <c r="DJ18" s="228">
        <v>-1.94</v>
      </c>
      <c r="DK18" s="228">
        <v>-1.94</v>
      </c>
      <c r="DL18" s="228">
        <v>34.770000000000003</v>
      </c>
      <c r="DM18" s="228">
        <v>37.21</v>
      </c>
      <c r="DN18" s="228">
        <v>-2.44</v>
      </c>
      <c r="DO18" s="228">
        <v>-2.44</v>
      </c>
      <c r="DP18" s="228">
        <v>0.59</v>
      </c>
      <c r="DQ18" s="228">
        <v>0.51</v>
      </c>
      <c r="DR18" s="228">
        <v>0.08</v>
      </c>
      <c r="DS18" s="229">
        <v>0.15690000000000001</v>
      </c>
      <c r="DT18" s="231">
        <v>1640</v>
      </c>
      <c r="DU18" s="231">
        <v>1540</v>
      </c>
      <c r="DV18" s="228">
        <v>0.49</v>
      </c>
      <c r="DW18" s="228">
        <v>0.55000000000000004</v>
      </c>
      <c r="DX18" s="228">
        <v>-0.06</v>
      </c>
      <c r="DY18" s="229">
        <v>-0.1091</v>
      </c>
      <c r="DZ18" s="229">
        <v>0.2462</v>
      </c>
      <c r="EA18" s="230">
        <v>3176025</v>
      </c>
      <c r="EB18" s="229">
        <v>-3.2300000000000002E-2</v>
      </c>
      <c r="EC18" s="229">
        <v>0.2462</v>
      </c>
      <c r="ED18" s="228">
        <v>-48.81</v>
      </c>
      <c r="EE18" s="229">
        <v>-3.15E-2</v>
      </c>
      <c r="EF18" s="230">
        <v>905321</v>
      </c>
      <c r="EG18" s="230">
        <v>677201</v>
      </c>
      <c r="EH18" s="229">
        <v>0.33689999999999998</v>
      </c>
      <c r="EI18" s="229">
        <v>0.5272</v>
      </c>
      <c r="EJ18" s="231">
        <v>155696.04999999999</v>
      </c>
      <c r="EK18" s="231">
        <v>71724.14</v>
      </c>
      <c r="EL18" s="231">
        <v>56274.07</v>
      </c>
      <c r="EM18" s="231">
        <v>8609</v>
      </c>
      <c r="EN18" s="231">
        <v>283694.26</v>
      </c>
      <c r="EO18" s="231">
        <v>569346.81999999995</v>
      </c>
      <c r="EP18" s="231">
        <v>-285652.56</v>
      </c>
      <c r="EQ18" s="229">
        <v>-0.50170000000000003</v>
      </c>
      <c r="ER18" s="231">
        <v>69229</v>
      </c>
      <c r="ES18" s="231">
        <v>37655</v>
      </c>
      <c r="ET18" s="231">
        <v>216554</v>
      </c>
      <c r="EU18" s="231">
        <v>17577908</v>
      </c>
      <c r="EV18" s="231">
        <v>323438</v>
      </c>
      <c r="EW18" s="231">
        <v>316823</v>
      </c>
      <c r="EX18" s="231">
        <v>6615</v>
      </c>
      <c r="EY18" s="229">
        <v>2.0899999999999998E-2</v>
      </c>
      <c r="EZ18" s="229">
        <v>1.1862999999999999</v>
      </c>
      <c r="FA18" s="227" t="s">
        <v>555</v>
      </c>
      <c r="FB18" s="161">
        <f t="shared" si="0"/>
        <v>3479900</v>
      </c>
    </row>
    <row r="19" spans="1:158" ht="17.25" thickBot="1" x14ac:dyDescent="0.3">
      <c r="A19" s="226">
        <v>46129</v>
      </c>
      <c r="B19" s="227" t="s">
        <v>172</v>
      </c>
      <c r="C19" s="227" t="s">
        <v>495</v>
      </c>
      <c r="D19" s="228">
        <v>1000</v>
      </c>
      <c r="E19" s="228">
        <v>993.2</v>
      </c>
      <c r="F19" s="228">
        <v>987</v>
      </c>
      <c r="G19" s="228">
        <v>6.2</v>
      </c>
      <c r="H19" s="229">
        <v>6.3E-3</v>
      </c>
      <c r="I19" s="228">
        <v>990.6</v>
      </c>
      <c r="J19" s="228">
        <v>983.95</v>
      </c>
      <c r="K19" s="228">
        <v>6.65</v>
      </c>
      <c r="L19" s="229">
        <v>6.7999999999999996E-3</v>
      </c>
      <c r="M19" s="228">
        <v>993.2</v>
      </c>
      <c r="N19" s="228">
        <v>987</v>
      </c>
      <c r="O19" s="228">
        <v>6.2</v>
      </c>
      <c r="P19" s="229">
        <v>6.3E-3</v>
      </c>
      <c r="Q19" s="228">
        <v>998.95</v>
      </c>
      <c r="R19" s="228">
        <v>992.7</v>
      </c>
      <c r="S19" s="228">
        <v>6.25</v>
      </c>
      <c r="T19" s="229">
        <v>6.3E-3</v>
      </c>
      <c r="U19" s="231">
        <v>1006.2</v>
      </c>
      <c r="V19" s="231">
        <v>1000.55</v>
      </c>
      <c r="W19" s="228">
        <v>5.65</v>
      </c>
      <c r="X19" s="229">
        <v>5.5999999999999999E-3</v>
      </c>
      <c r="Y19" s="228">
        <v>2.6</v>
      </c>
      <c r="Z19" s="228">
        <v>3.05</v>
      </c>
      <c r="AA19" s="228">
        <v>-0.45</v>
      </c>
      <c r="AB19" s="229">
        <v>2.5999999999999999E-3</v>
      </c>
      <c r="AC19" s="228">
        <v>2.6</v>
      </c>
      <c r="AD19" s="228">
        <v>3.05</v>
      </c>
      <c r="AE19" s="228">
        <v>-0.45</v>
      </c>
      <c r="AF19" s="229">
        <v>2.5999999999999999E-3</v>
      </c>
      <c r="AG19" s="228">
        <v>8.35</v>
      </c>
      <c r="AH19" s="228">
        <v>8.75</v>
      </c>
      <c r="AI19" s="228">
        <v>-0.4</v>
      </c>
      <c r="AJ19" s="229">
        <v>8.3999999999999995E-3</v>
      </c>
      <c r="AK19" s="228">
        <v>15.6</v>
      </c>
      <c r="AL19" s="228">
        <v>16.600000000000001</v>
      </c>
      <c r="AM19" s="228">
        <v>-1</v>
      </c>
      <c r="AN19" s="229">
        <v>1.5699999999999999E-2</v>
      </c>
      <c r="AO19" s="228">
        <v>991.21</v>
      </c>
      <c r="AP19" s="228">
        <v>996.56</v>
      </c>
      <c r="AQ19" s="228">
        <v>0</v>
      </c>
      <c r="AR19" s="230">
        <v>3023000</v>
      </c>
      <c r="AS19" s="230">
        <v>3167000</v>
      </c>
      <c r="AT19" s="230">
        <v>-144000</v>
      </c>
      <c r="AU19" s="229">
        <v>-4.5499999999999999E-2</v>
      </c>
      <c r="AV19" s="230">
        <v>2454000</v>
      </c>
      <c r="AW19" s="230">
        <v>2582000</v>
      </c>
      <c r="AX19" s="230">
        <v>-128000</v>
      </c>
      <c r="AY19" s="229">
        <v>-4.9599999999999998E-2</v>
      </c>
      <c r="AZ19" s="230">
        <v>532000</v>
      </c>
      <c r="BA19" s="230">
        <v>561000</v>
      </c>
      <c r="BB19" s="230">
        <v>-29000</v>
      </c>
      <c r="BC19" s="229">
        <v>-5.1700000000000003E-2</v>
      </c>
      <c r="BD19" s="230">
        <v>37000</v>
      </c>
      <c r="BE19" s="230">
        <v>24000</v>
      </c>
      <c r="BF19" s="230">
        <v>13000</v>
      </c>
      <c r="BG19" s="229">
        <v>0.54169999999999996</v>
      </c>
      <c r="BH19" s="230">
        <v>4955000</v>
      </c>
      <c r="BI19" s="230">
        <v>4697000</v>
      </c>
      <c r="BJ19" s="230">
        <v>258000</v>
      </c>
      <c r="BK19" s="229">
        <v>5.4899999999999997E-2</v>
      </c>
      <c r="BL19" s="230">
        <v>3704000</v>
      </c>
      <c r="BM19" s="230">
        <v>4083000</v>
      </c>
      <c r="BN19" s="230">
        <v>-379000</v>
      </c>
      <c r="BO19" s="229">
        <v>-9.2799999999999994E-2</v>
      </c>
      <c r="BP19" s="230">
        <v>11682000</v>
      </c>
      <c r="BQ19" s="230">
        <v>11947000</v>
      </c>
      <c r="BR19" s="230">
        <v>-265000</v>
      </c>
      <c r="BS19" s="229">
        <v>-2.2200000000000001E-2</v>
      </c>
      <c r="BT19" s="230">
        <v>1203396</v>
      </c>
      <c r="BU19" s="230">
        <v>2851579</v>
      </c>
      <c r="BV19" s="230">
        <v>-1648183</v>
      </c>
      <c r="BW19" s="229">
        <v>-0.57799999999999996</v>
      </c>
      <c r="BX19" s="230">
        <v>24725000</v>
      </c>
      <c r="BY19" s="230">
        <v>24873000</v>
      </c>
      <c r="BZ19" s="230">
        <v>-148000</v>
      </c>
      <c r="CA19" s="229">
        <v>-6.0000000000000001E-3</v>
      </c>
      <c r="CB19" s="230">
        <v>23247000</v>
      </c>
      <c r="CC19" s="230">
        <v>23554000</v>
      </c>
      <c r="CD19" s="230">
        <v>-307000</v>
      </c>
      <c r="CE19" s="229">
        <v>-1.2999999999999999E-2</v>
      </c>
      <c r="CF19" s="230">
        <v>1332000</v>
      </c>
      <c r="CG19" s="230">
        <v>1163000</v>
      </c>
      <c r="CH19" s="230">
        <v>169000</v>
      </c>
      <c r="CI19" s="229">
        <v>0.14530000000000001</v>
      </c>
      <c r="CJ19" s="230">
        <v>146000</v>
      </c>
      <c r="CK19" s="230">
        <v>156000</v>
      </c>
      <c r="CL19" s="230">
        <v>-10000</v>
      </c>
      <c r="CM19" s="229">
        <v>-6.4100000000000004E-2</v>
      </c>
      <c r="CN19" s="230">
        <v>6799000</v>
      </c>
      <c r="CO19" s="230">
        <v>6690000</v>
      </c>
      <c r="CP19" s="230">
        <v>109000</v>
      </c>
      <c r="CQ19" s="229">
        <v>1.6299999999999999E-2</v>
      </c>
      <c r="CR19" s="230">
        <v>5430000</v>
      </c>
      <c r="CS19" s="230">
        <v>5637000</v>
      </c>
      <c r="CT19" s="230">
        <v>-207000</v>
      </c>
      <c r="CU19" s="229">
        <v>-3.6700000000000003E-2</v>
      </c>
      <c r="CV19" s="230">
        <v>36954000</v>
      </c>
      <c r="CW19" s="230">
        <v>37200000</v>
      </c>
      <c r="CX19" s="230">
        <v>-246000</v>
      </c>
      <c r="CY19" s="229">
        <v>-6.6E-3</v>
      </c>
      <c r="CZ19" s="228">
        <v>37.64</v>
      </c>
      <c r="DA19" s="228">
        <v>38.17</v>
      </c>
      <c r="DB19" s="228">
        <v>-0.53</v>
      </c>
      <c r="DC19" s="228">
        <v>-0.53</v>
      </c>
      <c r="DD19" s="228">
        <v>38.299999999999997</v>
      </c>
      <c r="DE19" s="228">
        <v>38.39</v>
      </c>
      <c r="DF19" s="228">
        <v>-0.66</v>
      </c>
      <c r="DG19" s="228">
        <v>-0.09</v>
      </c>
      <c r="DH19" s="228">
        <v>35.79</v>
      </c>
      <c r="DI19" s="228">
        <v>36.549999999999997</v>
      </c>
      <c r="DJ19" s="228">
        <v>-0.76</v>
      </c>
      <c r="DK19" s="228">
        <v>-0.76</v>
      </c>
      <c r="DL19" s="228">
        <v>40.11</v>
      </c>
      <c r="DM19" s="228">
        <v>40.03</v>
      </c>
      <c r="DN19" s="228">
        <v>0.08</v>
      </c>
      <c r="DO19" s="228">
        <v>0.08</v>
      </c>
      <c r="DP19" s="228">
        <v>0.8</v>
      </c>
      <c r="DQ19" s="228">
        <v>0.84</v>
      </c>
      <c r="DR19" s="228">
        <v>-0.04</v>
      </c>
      <c r="DS19" s="229">
        <v>-4.7600000000000003E-2</v>
      </c>
      <c r="DT19" s="228">
        <v>900</v>
      </c>
      <c r="DU19" s="228">
        <v>900</v>
      </c>
      <c r="DV19" s="228">
        <v>0.75</v>
      </c>
      <c r="DW19" s="228">
        <v>0.87</v>
      </c>
      <c r="DX19" s="228">
        <v>-0.12</v>
      </c>
      <c r="DY19" s="229">
        <v>-0.13789999999999999</v>
      </c>
      <c r="DZ19" s="229">
        <v>5.9799999999999999E-2</v>
      </c>
      <c r="EA19" s="230">
        <v>1319000</v>
      </c>
      <c r="EB19" s="229">
        <v>5.7999999999999996E-3</v>
      </c>
      <c r="EC19" s="229">
        <v>5.9799999999999999E-2</v>
      </c>
      <c r="ED19" s="228">
        <v>5.35</v>
      </c>
      <c r="EE19" s="229">
        <v>5.4000000000000003E-3</v>
      </c>
      <c r="EF19" s="230">
        <v>596849</v>
      </c>
      <c r="EG19" s="230">
        <v>1895914</v>
      </c>
      <c r="EH19" s="229">
        <v>-0.68520000000000003</v>
      </c>
      <c r="EI19" s="229">
        <v>0.496</v>
      </c>
      <c r="EJ19" s="231">
        <v>51065.55</v>
      </c>
      <c r="EK19" s="231">
        <v>35373.19</v>
      </c>
      <c r="EL19" s="231">
        <v>29996.67</v>
      </c>
      <c r="EM19" s="231">
        <v>3539</v>
      </c>
      <c r="EN19" s="231">
        <v>116435.41</v>
      </c>
      <c r="EO19" s="231">
        <v>119128.47</v>
      </c>
      <c r="EP19" s="231">
        <v>-2693.06</v>
      </c>
      <c r="EQ19" s="229">
        <v>-2.2599999999999999E-2</v>
      </c>
      <c r="ER19" s="231">
        <v>65721</v>
      </c>
      <c r="ES19" s="231">
        <v>49305</v>
      </c>
      <c r="ET19" s="231">
        <v>245664</v>
      </c>
      <c r="EU19" s="231">
        <v>86532345</v>
      </c>
      <c r="EV19" s="231">
        <v>360690</v>
      </c>
      <c r="EW19" s="231">
        <v>361014</v>
      </c>
      <c r="EX19" s="228">
        <v>-324</v>
      </c>
      <c r="EY19" s="229">
        <v>-8.9999999999999998E-4</v>
      </c>
      <c r="EZ19" s="229">
        <v>0.42709999999999998</v>
      </c>
      <c r="FA19" s="227" t="s">
        <v>693</v>
      </c>
      <c r="FB19" s="161">
        <f t="shared" si="0"/>
        <v>1478000</v>
      </c>
    </row>
    <row r="20" spans="1:158" ht="17.25" thickBot="1" x14ac:dyDescent="0.3">
      <c r="A20" s="226">
        <v>46129</v>
      </c>
      <c r="B20" s="227" t="s">
        <v>170</v>
      </c>
      <c r="C20" s="227" t="s">
        <v>171</v>
      </c>
      <c r="D20" s="228">
        <v>550</v>
      </c>
      <c r="E20" s="231">
        <v>1388.6</v>
      </c>
      <c r="F20" s="231">
        <v>1385.4</v>
      </c>
      <c r="G20" s="228">
        <v>3.2</v>
      </c>
      <c r="H20" s="229">
        <v>2.3E-3</v>
      </c>
      <c r="I20" s="231">
        <v>1386</v>
      </c>
      <c r="J20" s="231">
        <v>1386.5</v>
      </c>
      <c r="K20" s="228">
        <v>-0.5</v>
      </c>
      <c r="L20" s="229">
        <v>-4.0000000000000002E-4</v>
      </c>
      <c r="M20" s="231">
        <v>1388.6</v>
      </c>
      <c r="N20" s="231">
        <v>1385.4</v>
      </c>
      <c r="O20" s="228">
        <v>3.2</v>
      </c>
      <c r="P20" s="229">
        <v>2.3E-3</v>
      </c>
      <c r="Q20" s="231">
        <v>1394.7</v>
      </c>
      <c r="R20" s="231">
        <v>1390.5</v>
      </c>
      <c r="S20" s="228">
        <v>4.2</v>
      </c>
      <c r="T20" s="229">
        <v>3.0000000000000001E-3</v>
      </c>
      <c r="U20" s="231">
        <v>1398</v>
      </c>
      <c r="V20" s="231">
        <v>1394.6</v>
      </c>
      <c r="W20" s="228">
        <v>3.4</v>
      </c>
      <c r="X20" s="229">
        <v>2.3999999999999998E-3</v>
      </c>
      <c r="Y20" s="228">
        <v>2.6</v>
      </c>
      <c r="Z20" s="228">
        <v>-1.1000000000000001</v>
      </c>
      <c r="AA20" s="228">
        <v>3.7</v>
      </c>
      <c r="AB20" s="229">
        <v>1.9E-3</v>
      </c>
      <c r="AC20" s="228">
        <v>2.6</v>
      </c>
      <c r="AD20" s="228">
        <v>-1.1000000000000001</v>
      </c>
      <c r="AE20" s="228">
        <v>3.7</v>
      </c>
      <c r="AF20" s="229">
        <v>1.9E-3</v>
      </c>
      <c r="AG20" s="228">
        <v>8.6999999999999993</v>
      </c>
      <c r="AH20" s="228">
        <v>4</v>
      </c>
      <c r="AI20" s="228">
        <v>4.7</v>
      </c>
      <c r="AJ20" s="229">
        <v>6.3E-3</v>
      </c>
      <c r="AK20" s="228">
        <v>12</v>
      </c>
      <c r="AL20" s="228">
        <v>8.1</v>
      </c>
      <c r="AM20" s="228">
        <v>3.9</v>
      </c>
      <c r="AN20" s="229">
        <v>8.6999999999999994E-3</v>
      </c>
      <c r="AO20" s="231">
        <v>1385.75</v>
      </c>
      <c r="AP20" s="231">
        <v>1392.41</v>
      </c>
      <c r="AQ20" s="228">
        <v>0</v>
      </c>
      <c r="AR20" s="230">
        <v>1499850</v>
      </c>
      <c r="AS20" s="230">
        <v>2057000</v>
      </c>
      <c r="AT20" s="230">
        <v>-557150</v>
      </c>
      <c r="AU20" s="229">
        <v>-0.27089999999999997</v>
      </c>
      <c r="AV20" s="230">
        <v>1393700</v>
      </c>
      <c r="AW20" s="230">
        <v>1771550</v>
      </c>
      <c r="AX20" s="230">
        <v>-377850</v>
      </c>
      <c r="AY20" s="229">
        <v>-0.21329999999999999</v>
      </c>
      <c r="AZ20" s="230">
        <v>102300</v>
      </c>
      <c r="BA20" s="230">
        <v>272800</v>
      </c>
      <c r="BB20" s="230">
        <v>-170500</v>
      </c>
      <c r="BC20" s="229">
        <v>-0.625</v>
      </c>
      <c r="BD20" s="230">
        <v>3850</v>
      </c>
      <c r="BE20" s="230">
        <v>12650</v>
      </c>
      <c r="BF20" s="230">
        <v>-8800</v>
      </c>
      <c r="BG20" s="229">
        <v>-0.69569999999999999</v>
      </c>
      <c r="BH20" s="230">
        <v>3700400</v>
      </c>
      <c r="BI20" s="230">
        <v>3967150</v>
      </c>
      <c r="BJ20" s="230">
        <v>-266750</v>
      </c>
      <c r="BK20" s="229">
        <v>-6.7199999999999996E-2</v>
      </c>
      <c r="BL20" s="230">
        <v>2462350</v>
      </c>
      <c r="BM20" s="230">
        <v>2260500</v>
      </c>
      <c r="BN20" s="230">
        <v>201850</v>
      </c>
      <c r="BO20" s="229">
        <v>8.9300000000000004E-2</v>
      </c>
      <c r="BP20" s="230">
        <v>7662600</v>
      </c>
      <c r="BQ20" s="230">
        <v>8284650</v>
      </c>
      <c r="BR20" s="230">
        <v>-622050</v>
      </c>
      <c r="BS20" s="229">
        <v>-7.51E-2</v>
      </c>
      <c r="BT20" s="230">
        <v>1636625</v>
      </c>
      <c r="BU20" s="230">
        <v>2308907</v>
      </c>
      <c r="BV20" s="230">
        <v>-672282</v>
      </c>
      <c r="BW20" s="229">
        <v>-0.29120000000000001</v>
      </c>
      <c r="BX20" s="230">
        <v>21009450</v>
      </c>
      <c r="BY20" s="230">
        <v>21039700</v>
      </c>
      <c r="BZ20" s="230">
        <v>-30250</v>
      </c>
      <c r="CA20" s="229">
        <v>-1.4E-3</v>
      </c>
      <c r="CB20" s="230">
        <v>20341200</v>
      </c>
      <c r="CC20" s="230">
        <v>20402250</v>
      </c>
      <c r="CD20" s="230">
        <v>-61050</v>
      </c>
      <c r="CE20" s="229">
        <v>-3.0000000000000001E-3</v>
      </c>
      <c r="CF20" s="230">
        <v>650650</v>
      </c>
      <c r="CG20" s="230">
        <v>618750</v>
      </c>
      <c r="CH20" s="230">
        <v>31900</v>
      </c>
      <c r="CI20" s="229">
        <v>5.16E-2</v>
      </c>
      <c r="CJ20" s="230">
        <v>17600</v>
      </c>
      <c r="CK20" s="230">
        <v>18700</v>
      </c>
      <c r="CL20" s="230">
        <v>-1100</v>
      </c>
      <c r="CM20" s="229">
        <v>-5.8799999999999998E-2</v>
      </c>
      <c r="CN20" s="230">
        <v>3853300</v>
      </c>
      <c r="CO20" s="230">
        <v>3847800</v>
      </c>
      <c r="CP20" s="230">
        <v>5500</v>
      </c>
      <c r="CQ20" s="229">
        <v>1.4E-3</v>
      </c>
      <c r="CR20" s="230">
        <v>2701050</v>
      </c>
      <c r="CS20" s="230">
        <v>2763750</v>
      </c>
      <c r="CT20" s="230">
        <v>-62700</v>
      </c>
      <c r="CU20" s="229">
        <v>-2.2700000000000001E-2</v>
      </c>
      <c r="CV20" s="230">
        <v>27563800</v>
      </c>
      <c r="CW20" s="230">
        <v>27651250</v>
      </c>
      <c r="CX20" s="230">
        <v>-87450</v>
      </c>
      <c r="CY20" s="229">
        <v>-3.2000000000000002E-3</v>
      </c>
      <c r="CZ20" s="228">
        <v>27.85</v>
      </c>
      <c r="DA20" s="228">
        <v>29.54</v>
      </c>
      <c r="DB20" s="228">
        <v>-1.69</v>
      </c>
      <c r="DC20" s="228">
        <v>-1.69</v>
      </c>
      <c r="DD20" s="228">
        <v>33.33</v>
      </c>
      <c r="DE20" s="228">
        <v>33.409999999999997</v>
      </c>
      <c r="DF20" s="228">
        <v>-5.48</v>
      </c>
      <c r="DG20" s="228">
        <v>-0.08</v>
      </c>
      <c r="DH20" s="228">
        <v>26.82</v>
      </c>
      <c r="DI20" s="228">
        <v>28.14</v>
      </c>
      <c r="DJ20" s="228">
        <v>-1.32</v>
      </c>
      <c r="DK20" s="228">
        <v>-1.32</v>
      </c>
      <c r="DL20" s="228">
        <v>29.39</v>
      </c>
      <c r="DM20" s="228">
        <v>32</v>
      </c>
      <c r="DN20" s="228">
        <v>-2.61</v>
      </c>
      <c r="DO20" s="228">
        <v>-2.61</v>
      </c>
      <c r="DP20" s="228">
        <v>0.7</v>
      </c>
      <c r="DQ20" s="228">
        <v>0.72</v>
      </c>
      <c r="DR20" s="228">
        <v>-0.02</v>
      </c>
      <c r="DS20" s="229">
        <v>-2.7799999999999998E-2</v>
      </c>
      <c r="DT20" s="231">
        <v>1300</v>
      </c>
      <c r="DU20" s="231">
        <v>1300</v>
      </c>
      <c r="DV20" s="228">
        <v>0.67</v>
      </c>
      <c r="DW20" s="228">
        <v>0.56999999999999995</v>
      </c>
      <c r="DX20" s="228">
        <v>0.1</v>
      </c>
      <c r="DY20" s="229">
        <v>0.1754</v>
      </c>
      <c r="DZ20" s="229">
        <v>3.1800000000000002E-2</v>
      </c>
      <c r="EA20" s="230">
        <v>637450</v>
      </c>
      <c r="EB20" s="229">
        <v>4.4000000000000003E-3</v>
      </c>
      <c r="EC20" s="229">
        <v>3.1800000000000002E-2</v>
      </c>
      <c r="ED20" s="228">
        <v>6.66</v>
      </c>
      <c r="EE20" s="229">
        <v>4.7999999999999996E-3</v>
      </c>
      <c r="EF20" s="230">
        <v>835575</v>
      </c>
      <c r="EG20" s="230">
        <v>1445060</v>
      </c>
      <c r="EH20" s="229">
        <v>-0.42180000000000001</v>
      </c>
      <c r="EI20" s="229">
        <v>0.51049999999999995</v>
      </c>
      <c r="EJ20" s="231">
        <v>52947.21</v>
      </c>
      <c r="EK20" s="231">
        <v>33441.69</v>
      </c>
      <c r="EL20" s="231">
        <v>20791.48</v>
      </c>
      <c r="EM20" s="231">
        <v>3060</v>
      </c>
      <c r="EN20" s="231">
        <v>107180.38</v>
      </c>
      <c r="EO20" s="231">
        <v>115203.87</v>
      </c>
      <c r="EP20" s="231">
        <v>-8023.49</v>
      </c>
      <c r="EQ20" s="229">
        <v>-6.9599999999999995E-2</v>
      </c>
      <c r="ER20" s="231">
        <v>52905</v>
      </c>
      <c r="ES20" s="231">
        <v>34680</v>
      </c>
      <c r="ET20" s="231">
        <v>291779</v>
      </c>
      <c r="EU20" s="231">
        <v>41977935</v>
      </c>
      <c r="EV20" s="231">
        <v>379363</v>
      </c>
      <c r="EW20" s="231">
        <v>379763</v>
      </c>
      <c r="EX20" s="228">
        <v>-400</v>
      </c>
      <c r="EY20" s="229">
        <v>-1.1000000000000001E-3</v>
      </c>
      <c r="EZ20" s="229">
        <v>0.65659999999999996</v>
      </c>
      <c r="FA20" s="227" t="s">
        <v>693</v>
      </c>
      <c r="FB20" s="161">
        <f t="shared" si="0"/>
        <v>668250</v>
      </c>
    </row>
    <row r="21" spans="1:158" ht="17.25" thickBot="1" x14ac:dyDescent="0.3">
      <c r="A21" s="226">
        <v>46129</v>
      </c>
      <c r="B21" s="227" t="s">
        <v>172</v>
      </c>
      <c r="C21" s="227" t="s">
        <v>173</v>
      </c>
      <c r="D21" s="228">
        <v>625</v>
      </c>
      <c r="E21" s="231">
        <v>1363.3</v>
      </c>
      <c r="F21" s="231">
        <v>1350.4</v>
      </c>
      <c r="G21" s="228">
        <v>12.9</v>
      </c>
      <c r="H21" s="229">
        <v>9.5999999999999992E-3</v>
      </c>
      <c r="I21" s="231">
        <v>1359.1</v>
      </c>
      <c r="J21" s="231">
        <v>1349.6</v>
      </c>
      <c r="K21" s="228">
        <v>9.5</v>
      </c>
      <c r="L21" s="229">
        <v>7.0000000000000001E-3</v>
      </c>
      <c r="M21" s="231">
        <v>1363.3</v>
      </c>
      <c r="N21" s="231">
        <v>1350.4</v>
      </c>
      <c r="O21" s="228">
        <v>12.9</v>
      </c>
      <c r="P21" s="229">
        <v>9.5999999999999992E-3</v>
      </c>
      <c r="Q21" s="231">
        <v>1370</v>
      </c>
      <c r="R21" s="231">
        <v>1358.6</v>
      </c>
      <c r="S21" s="228">
        <v>11.4</v>
      </c>
      <c r="T21" s="229">
        <v>8.3999999999999995E-3</v>
      </c>
      <c r="U21" s="231">
        <v>1379.9</v>
      </c>
      <c r="V21" s="231">
        <v>1367.1</v>
      </c>
      <c r="W21" s="228">
        <v>12.8</v>
      </c>
      <c r="X21" s="229">
        <v>9.4000000000000004E-3</v>
      </c>
      <c r="Y21" s="228">
        <v>4.2</v>
      </c>
      <c r="Z21" s="228">
        <v>0.8</v>
      </c>
      <c r="AA21" s="228">
        <v>3.4</v>
      </c>
      <c r="AB21" s="229">
        <v>3.0999999999999999E-3</v>
      </c>
      <c r="AC21" s="228">
        <v>4.2</v>
      </c>
      <c r="AD21" s="228">
        <v>0.8</v>
      </c>
      <c r="AE21" s="228">
        <v>3.4</v>
      </c>
      <c r="AF21" s="229">
        <v>3.0999999999999999E-3</v>
      </c>
      <c r="AG21" s="228">
        <v>10.9</v>
      </c>
      <c r="AH21" s="228">
        <v>9</v>
      </c>
      <c r="AI21" s="228">
        <v>1.9</v>
      </c>
      <c r="AJ21" s="229">
        <v>8.0000000000000002E-3</v>
      </c>
      <c r="AK21" s="228">
        <v>20.8</v>
      </c>
      <c r="AL21" s="228">
        <v>17.5</v>
      </c>
      <c r="AM21" s="228">
        <v>3.3</v>
      </c>
      <c r="AN21" s="229">
        <v>1.5299999999999999E-2</v>
      </c>
      <c r="AO21" s="231">
        <v>1357.3</v>
      </c>
      <c r="AP21" s="231">
        <v>1364.59</v>
      </c>
      <c r="AQ21" s="228">
        <v>0</v>
      </c>
      <c r="AR21" s="230">
        <v>7070000</v>
      </c>
      <c r="AS21" s="230">
        <v>8125625</v>
      </c>
      <c r="AT21" s="230">
        <v>-1055625</v>
      </c>
      <c r="AU21" s="229">
        <v>-0.12989999999999999</v>
      </c>
      <c r="AV21" s="230">
        <v>5801875</v>
      </c>
      <c r="AW21" s="230">
        <v>7324375</v>
      </c>
      <c r="AX21" s="230">
        <v>-1522500</v>
      </c>
      <c r="AY21" s="229">
        <v>-0.2079</v>
      </c>
      <c r="AZ21" s="230">
        <v>1253125</v>
      </c>
      <c r="BA21" s="230">
        <v>765000</v>
      </c>
      <c r="BB21" s="230">
        <v>488125</v>
      </c>
      <c r="BC21" s="229">
        <v>0.6381</v>
      </c>
      <c r="BD21" s="230">
        <v>15000</v>
      </c>
      <c r="BE21" s="230">
        <v>36250</v>
      </c>
      <c r="BF21" s="230">
        <v>-21250</v>
      </c>
      <c r="BG21" s="229">
        <v>-0.58620000000000005</v>
      </c>
      <c r="BH21" s="230">
        <v>16048125</v>
      </c>
      <c r="BI21" s="230">
        <v>16450000</v>
      </c>
      <c r="BJ21" s="230">
        <v>-401875</v>
      </c>
      <c r="BK21" s="229">
        <v>-2.4400000000000002E-2</v>
      </c>
      <c r="BL21" s="230">
        <v>11123125</v>
      </c>
      <c r="BM21" s="230">
        <v>14415625</v>
      </c>
      <c r="BN21" s="230">
        <v>-3292500</v>
      </c>
      <c r="BO21" s="229">
        <v>-0.22839999999999999</v>
      </c>
      <c r="BP21" s="230">
        <v>34241250</v>
      </c>
      <c r="BQ21" s="230">
        <v>38991250</v>
      </c>
      <c r="BR21" s="230">
        <v>-4750000</v>
      </c>
      <c r="BS21" s="229">
        <v>-0.12180000000000001</v>
      </c>
      <c r="BT21" s="230">
        <v>4182251</v>
      </c>
      <c r="BU21" s="230">
        <v>6075958</v>
      </c>
      <c r="BV21" s="230">
        <v>-1893707</v>
      </c>
      <c r="BW21" s="229">
        <v>-0.31169999999999998</v>
      </c>
      <c r="BX21" s="230">
        <v>64568125</v>
      </c>
      <c r="BY21" s="230">
        <v>63914375</v>
      </c>
      <c r="BZ21" s="230">
        <v>653750</v>
      </c>
      <c r="CA21" s="229">
        <v>1.0200000000000001E-2</v>
      </c>
      <c r="CB21" s="230">
        <v>47011875</v>
      </c>
      <c r="CC21" s="230">
        <v>47054375</v>
      </c>
      <c r="CD21" s="230">
        <v>-42500</v>
      </c>
      <c r="CE21" s="229">
        <v>-8.9999999999999998E-4</v>
      </c>
      <c r="CF21" s="230">
        <v>15898125</v>
      </c>
      <c r="CG21" s="230">
        <v>15204375</v>
      </c>
      <c r="CH21" s="230">
        <v>693750</v>
      </c>
      <c r="CI21" s="229">
        <v>4.5600000000000002E-2</v>
      </c>
      <c r="CJ21" s="230">
        <v>1658125</v>
      </c>
      <c r="CK21" s="230">
        <v>1655625</v>
      </c>
      <c r="CL21" s="230">
        <v>2500</v>
      </c>
      <c r="CM21" s="229">
        <v>1.5E-3</v>
      </c>
      <c r="CN21" s="230">
        <v>16693125</v>
      </c>
      <c r="CO21" s="230">
        <v>16691875</v>
      </c>
      <c r="CP21" s="230">
        <v>1250</v>
      </c>
      <c r="CQ21" s="229">
        <v>1E-4</v>
      </c>
      <c r="CR21" s="230">
        <v>13978750</v>
      </c>
      <c r="CS21" s="230">
        <v>13541250</v>
      </c>
      <c r="CT21" s="230">
        <v>437500</v>
      </c>
      <c r="CU21" s="229">
        <v>3.2300000000000002E-2</v>
      </c>
      <c r="CV21" s="230">
        <v>95240000</v>
      </c>
      <c r="CW21" s="230">
        <v>94147500</v>
      </c>
      <c r="CX21" s="230">
        <v>1092500</v>
      </c>
      <c r="CY21" s="229">
        <v>1.1599999999999999E-2</v>
      </c>
      <c r="CZ21" s="228">
        <v>32.81</v>
      </c>
      <c r="DA21" s="228">
        <v>32.380000000000003</v>
      </c>
      <c r="DB21" s="228">
        <v>0.43</v>
      </c>
      <c r="DC21" s="228">
        <v>0.43</v>
      </c>
      <c r="DD21" s="228">
        <v>30.06</v>
      </c>
      <c r="DE21" s="228">
        <v>30.12</v>
      </c>
      <c r="DF21" s="228">
        <v>2.75</v>
      </c>
      <c r="DG21" s="228">
        <v>-0.06</v>
      </c>
      <c r="DH21" s="228">
        <v>31.47</v>
      </c>
      <c r="DI21" s="228">
        <v>31.03</v>
      </c>
      <c r="DJ21" s="228">
        <v>0.44</v>
      </c>
      <c r="DK21" s="228">
        <v>0.44</v>
      </c>
      <c r="DL21" s="228">
        <v>34.729999999999997</v>
      </c>
      <c r="DM21" s="228">
        <v>33.92</v>
      </c>
      <c r="DN21" s="228">
        <v>0.81</v>
      </c>
      <c r="DO21" s="228">
        <v>0.81</v>
      </c>
      <c r="DP21" s="228">
        <v>0.84</v>
      </c>
      <c r="DQ21" s="228">
        <v>0.81</v>
      </c>
      <c r="DR21" s="228">
        <v>0.03</v>
      </c>
      <c r="DS21" s="229">
        <v>3.6999999999999998E-2</v>
      </c>
      <c r="DT21" s="231">
        <v>1400</v>
      </c>
      <c r="DU21" s="231">
        <v>1300</v>
      </c>
      <c r="DV21" s="228">
        <v>0.69</v>
      </c>
      <c r="DW21" s="228">
        <v>0.88</v>
      </c>
      <c r="DX21" s="228">
        <v>-0.19</v>
      </c>
      <c r="DY21" s="229">
        <v>-0.21590000000000001</v>
      </c>
      <c r="DZ21" s="229">
        <v>0.27189999999999998</v>
      </c>
      <c r="EA21" s="230">
        <v>16860000</v>
      </c>
      <c r="EB21" s="229">
        <v>4.8999999999999998E-3</v>
      </c>
      <c r="EC21" s="229">
        <v>0.27189999999999998</v>
      </c>
      <c r="ED21" s="228">
        <v>7.29</v>
      </c>
      <c r="EE21" s="229">
        <v>5.4000000000000003E-3</v>
      </c>
      <c r="EF21" s="230">
        <v>2477087</v>
      </c>
      <c r="EG21" s="230">
        <v>2027968</v>
      </c>
      <c r="EH21" s="229">
        <v>0.2215</v>
      </c>
      <c r="EI21" s="229">
        <v>0.59230000000000005</v>
      </c>
      <c r="EJ21" s="231">
        <v>225375.24</v>
      </c>
      <c r="EK21" s="231">
        <v>148807.99</v>
      </c>
      <c r="EL21" s="231">
        <v>96055.54</v>
      </c>
      <c r="EM21" s="231">
        <v>13936</v>
      </c>
      <c r="EN21" s="231">
        <v>470238.77</v>
      </c>
      <c r="EO21" s="231">
        <v>532102.75</v>
      </c>
      <c r="EP21" s="231">
        <v>-61863.98</v>
      </c>
      <c r="EQ21" s="229">
        <v>-0.1163</v>
      </c>
      <c r="ER21" s="231">
        <v>223429</v>
      </c>
      <c r="ES21" s="231">
        <v>174053</v>
      </c>
      <c r="ET21" s="231">
        <v>881598</v>
      </c>
      <c r="EU21" s="231">
        <v>331596880</v>
      </c>
      <c r="EV21" s="231">
        <v>1279079</v>
      </c>
      <c r="EW21" s="231">
        <v>1255555</v>
      </c>
      <c r="EX21" s="231">
        <v>23524</v>
      </c>
      <c r="EY21" s="229">
        <v>1.8700000000000001E-2</v>
      </c>
      <c r="EZ21" s="229">
        <v>0.28720000000000001</v>
      </c>
      <c r="FA21" s="227" t="s">
        <v>555</v>
      </c>
      <c r="FB21" s="161">
        <f t="shared" si="0"/>
        <v>17556250</v>
      </c>
    </row>
    <row r="22" spans="1:158" ht="17.25" thickBot="1" x14ac:dyDescent="0.3">
      <c r="A22" s="226">
        <v>46129</v>
      </c>
      <c r="B22" s="227" t="s">
        <v>162</v>
      </c>
      <c r="C22" s="227" t="s">
        <v>174</v>
      </c>
      <c r="D22" s="228">
        <v>75</v>
      </c>
      <c r="E22" s="231">
        <v>9761.5</v>
      </c>
      <c r="F22" s="231">
        <v>9853</v>
      </c>
      <c r="G22" s="228">
        <v>-91.5</v>
      </c>
      <c r="H22" s="229">
        <v>-9.2999999999999992E-3</v>
      </c>
      <c r="I22" s="231">
        <v>9773.5</v>
      </c>
      <c r="J22" s="231">
        <v>9825</v>
      </c>
      <c r="K22" s="228">
        <v>-51.5</v>
      </c>
      <c r="L22" s="229">
        <v>-5.1999999999999998E-3</v>
      </c>
      <c r="M22" s="231">
        <v>9761.5</v>
      </c>
      <c r="N22" s="231">
        <v>9853</v>
      </c>
      <c r="O22" s="228">
        <v>-91.5</v>
      </c>
      <c r="P22" s="229">
        <v>-9.2999999999999992E-3</v>
      </c>
      <c r="Q22" s="231">
        <v>9752</v>
      </c>
      <c r="R22" s="231">
        <v>9843</v>
      </c>
      <c r="S22" s="228">
        <v>-91</v>
      </c>
      <c r="T22" s="229">
        <v>-9.1999999999999998E-3</v>
      </c>
      <c r="U22" s="231">
        <v>9733.5</v>
      </c>
      <c r="V22" s="231">
        <v>9808</v>
      </c>
      <c r="W22" s="228">
        <v>-74.5</v>
      </c>
      <c r="X22" s="229">
        <v>-7.6E-3</v>
      </c>
      <c r="Y22" s="228">
        <v>-12</v>
      </c>
      <c r="Z22" s="228">
        <v>28</v>
      </c>
      <c r="AA22" s="228">
        <v>-40</v>
      </c>
      <c r="AB22" s="229">
        <v>-1.1999999999999999E-3</v>
      </c>
      <c r="AC22" s="228">
        <v>-12</v>
      </c>
      <c r="AD22" s="228">
        <v>28</v>
      </c>
      <c r="AE22" s="228">
        <v>-40</v>
      </c>
      <c r="AF22" s="229">
        <v>-1.1999999999999999E-3</v>
      </c>
      <c r="AG22" s="228">
        <v>-21.5</v>
      </c>
      <c r="AH22" s="228">
        <v>18</v>
      </c>
      <c r="AI22" s="228">
        <v>-39.5</v>
      </c>
      <c r="AJ22" s="229">
        <v>-2.2000000000000001E-3</v>
      </c>
      <c r="AK22" s="228">
        <v>-40</v>
      </c>
      <c r="AL22" s="228">
        <v>-17</v>
      </c>
      <c r="AM22" s="228">
        <v>-23</v>
      </c>
      <c r="AN22" s="229">
        <v>-4.1000000000000003E-3</v>
      </c>
      <c r="AO22" s="231">
        <v>9777.9699999999993</v>
      </c>
      <c r="AP22" s="231">
        <v>9766.15</v>
      </c>
      <c r="AQ22" s="228">
        <v>0</v>
      </c>
      <c r="AR22" s="230">
        <v>314025</v>
      </c>
      <c r="AS22" s="230">
        <v>495375</v>
      </c>
      <c r="AT22" s="230">
        <v>-181350</v>
      </c>
      <c r="AU22" s="229">
        <v>-0.36609999999999998</v>
      </c>
      <c r="AV22" s="230">
        <v>281925</v>
      </c>
      <c r="AW22" s="230">
        <v>461850</v>
      </c>
      <c r="AX22" s="230">
        <v>-179925</v>
      </c>
      <c r="AY22" s="229">
        <v>-0.3896</v>
      </c>
      <c r="AZ22" s="230">
        <v>30075</v>
      </c>
      <c r="BA22" s="230">
        <v>31650</v>
      </c>
      <c r="BB22" s="230">
        <v>-1575</v>
      </c>
      <c r="BC22" s="229">
        <v>-4.9799999999999997E-2</v>
      </c>
      <c r="BD22" s="230">
        <v>2025</v>
      </c>
      <c r="BE22" s="230">
        <v>1875</v>
      </c>
      <c r="BF22" s="228">
        <v>150</v>
      </c>
      <c r="BG22" s="229">
        <v>0.08</v>
      </c>
      <c r="BH22" s="230">
        <v>1262475</v>
      </c>
      <c r="BI22" s="230">
        <v>1581300</v>
      </c>
      <c r="BJ22" s="230">
        <v>-318825</v>
      </c>
      <c r="BK22" s="229">
        <v>-0.2016</v>
      </c>
      <c r="BL22" s="230">
        <v>849600</v>
      </c>
      <c r="BM22" s="230">
        <v>933600</v>
      </c>
      <c r="BN22" s="230">
        <v>-84000</v>
      </c>
      <c r="BO22" s="229">
        <v>-0.09</v>
      </c>
      <c r="BP22" s="230">
        <v>2426100</v>
      </c>
      <c r="BQ22" s="230">
        <v>3010275</v>
      </c>
      <c r="BR22" s="230">
        <v>-584175</v>
      </c>
      <c r="BS22" s="229">
        <v>-0.19409999999999999</v>
      </c>
      <c r="BT22" s="230">
        <v>274564</v>
      </c>
      <c r="BU22" s="230">
        <v>489209</v>
      </c>
      <c r="BV22" s="230">
        <v>-214645</v>
      </c>
      <c r="BW22" s="229">
        <v>-0.43880000000000002</v>
      </c>
      <c r="BX22" s="230">
        <v>3065250</v>
      </c>
      <c r="BY22" s="230">
        <v>3032325</v>
      </c>
      <c r="BZ22" s="230">
        <v>32925</v>
      </c>
      <c r="CA22" s="229">
        <v>1.09E-2</v>
      </c>
      <c r="CB22" s="230">
        <v>2777775</v>
      </c>
      <c r="CC22" s="230">
        <v>2758050</v>
      </c>
      <c r="CD22" s="230">
        <v>19725</v>
      </c>
      <c r="CE22" s="229">
        <v>7.1999999999999998E-3</v>
      </c>
      <c r="CF22" s="230">
        <v>270900</v>
      </c>
      <c r="CG22" s="230">
        <v>259275</v>
      </c>
      <c r="CH22" s="230">
        <v>11625</v>
      </c>
      <c r="CI22" s="229">
        <v>4.48E-2</v>
      </c>
      <c r="CJ22" s="230">
        <v>16575</v>
      </c>
      <c r="CK22" s="230">
        <v>15000</v>
      </c>
      <c r="CL22" s="230">
        <v>1575</v>
      </c>
      <c r="CM22" s="229">
        <v>0.105</v>
      </c>
      <c r="CN22" s="230">
        <v>1282500</v>
      </c>
      <c r="CO22" s="230">
        <v>1137975</v>
      </c>
      <c r="CP22" s="230">
        <v>144525</v>
      </c>
      <c r="CQ22" s="229">
        <v>0.127</v>
      </c>
      <c r="CR22" s="230">
        <v>1139025</v>
      </c>
      <c r="CS22" s="230">
        <v>1136550</v>
      </c>
      <c r="CT22" s="230">
        <v>2475</v>
      </c>
      <c r="CU22" s="229">
        <v>2.2000000000000001E-3</v>
      </c>
      <c r="CV22" s="230">
        <v>5486775</v>
      </c>
      <c r="CW22" s="230">
        <v>5306850</v>
      </c>
      <c r="CX22" s="230">
        <v>179925</v>
      </c>
      <c r="CY22" s="229">
        <v>3.39E-2</v>
      </c>
      <c r="CZ22" s="228">
        <v>28.23</v>
      </c>
      <c r="DA22" s="228">
        <v>28.34</v>
      </c>
      <c r="DB22" s="228">
        <v>-0.11</v>
      </c>
      <c r="DC22" s="228">
        <v>-0.11</v>
      </c>
      <c r="DD22" s="228">
        <v>29.68</v>
      </c>
      <c r="DE22" s="228">
        <v>29.75</v>
      </c>
      <c r="DF22" s="228">
        <v>-1.45</v>
      </c>
      <c r="DG22" s="228">
        <v>-7.0000000000000007E-2</v>
      </c>
      <c r="DH22" s="228">
        <v>27.06</v>
      </c>
      <c r="DI22" s="228">
        <v>27.41</v>
      </c>
      <c r="DJ22" s="228">
        <v>-0.35</v>
      </c>
      <c r="DK22" s="228">
        <v>-0.35</v>
      </c>
      <c r="DL22" s="228">
        <v>29.97</v>
      </c>
      <c r="DM22" s="228">
        <v>29.92</v>
      </c>
      <c r="DN22" s="228">
        <v>0.05</v>
      </c>
      <c r="DO22" s="228">
        <v>0.05</v>
      </c>
      <c r="DP22" s="228">
        <v>0.89</v>
      </c>
      <c r="DQ22" s="228">
        <v>1</v>
      </c>
      <c r="DR22" s="228">
        <v>-0.11</v>
      </c>
      <c r="DS22" s="229">
        <v>-0.11</v>
      </c>
      <c r="DT22" s="231">
        <v>10000</v>
      </c>
      <c r="DU22" s="231">
        <v>8000</v>
      </c>
      <c r="DV22" s="228">
        <v>0.67</v>
      </c>
      <c r="DW22" s="228">
        <v>0.59</v>
      </c>
      <c r="DX22" s="228">
        <v>0.08</v>
      </c>
      <c r="DY22" s="229">
        <v>0.1356</v>
      </c>
      <c r="DZ22" s="229">
        <v>9.3799999999999994E-2</v>
      </c>
      <c r="EA22" s="230">
        <v>274275</v>
      </c>
      <c r="EB22" s="229">
        <v>-1E-3</v>
      </c>
      <c r="EC22" s="229">
        <v>9.3799999999999994E-2</v>
      </c>
      <c r="ED22" s="228">
        <v>-11.82</v>
      </c>
      <c r="EE22" s="229">
        <v>-1.1999999999999999E-3</v>
      </c>
      <c r="EF22" s="230">
        <v>143768</v>
      </c>
      <c r="EG22" s="230">
        <v>263390</v>
      </c>
      <c r="EH22" s="229">
        <v>-0.45419999999999999</v>
      </c>
      <c r="EI22" s="229">
        <v>0.52359999999999995</v>
      </c>
      <c r="EJ22" s="231">
        <v>128814.68</v>
      </c>
      <c r="EK22" s="231">
        <v>81222.67</v>
      </c>
      <c r="EL22" s="231">
        <v>30701.25</v>
      </c>
      <c r="EM22" s="231">
        <v>8056</v>
      </c>
      <c r="EN22" s="231">
        <v>240738.6</v>
      </c>
      <c r="EO22" s="231">
        <v>302084.65000000002</v>
      </c>
      <c r="EP22" s="231">
        <v>-61346.05</v>
      </c>
      <c r="EQ22" s="229">
        <v>-0.2031</v>
      </c>
      <c r="ER22" s="231">
        <v>126422</v>
      </c>
      <c r="ES22" s="231">
        <v>102866</v>
      </c>
      <c r="ET22" s="231">
        <v>299184</v>
      </c>
      <c r="EU22" s="231">
        <v>12553818</v>
      </c>
      <c r="EV22" s="231">
        <v>528472</v>
      </c>
      <c r="EW22" s="231">
        <v>513170</v>
      </c>
      <c r="EX22" s="231">
        <v>15302</v>
      </c>
      <c r="EY22" s="229">
        <v>2.98E-2</v>
      </c>
      <c r="EZ22" s="229">
        <v>0.43709999999999999</v>
      </c>
      <c r="FA22" s="227" t="s">
        <v>566</v>
      </c>
      <c r="FB22" s="161">
        <f t="shared" si="0"/>
        <v>287475</v>
      </c>
    </row>
    <row r="23" spans="1:158" ht="17.25" thickBot="1" x14ac:dyDescent="0.3">
      <c r="A23" s="226">
        <v>46129</v>
      </c>
      <c r="B23" s="227" t="s">
        <v>175</v>
      </c>
      <c r="C23" s="227" t="s">
        <v>176</v>
      </c>
      <c r="D23" s="228">
        <v>250</v>
      </c>
      <c r="E23" s="231">
        <v>1839.4</v>
      </c>
      <c r="F23" s="231">
        <v>1829.8</v>
      </c>
      <c r="G23" s="228">
        <v>9.6</v>
      </c>
      <c r="H23" s="229">
        <v>5.1999999999999998E-3</v>
      </c>
      <c r="I23" s="231">
        <v>1838.9</v>
      </c>
      <c r="J23" s="231">
        <v>1829.9</v>
      </c>
      <c r="K23" s="228">
        <v>9</v>
      </c>
      <c r="L23" s="229">
        <v>4.8999999999999998E-3</v>
      </c>
      <c r="M23" s="231">
        <v>1839.4</v>
      </c>
      <c r="N23" s="231">
        <v>1829.8</v>
      </c>
      <c r="O23" s="228">
        <v>9.6</v>
      </c>
      <c r="P23" s="229">
        <v>5.1999999999999998E-3</v>
      </c>
      <c r="Q23" s="231">
        <v>1849.7</v>
      </c>
      <c r="R23" s="231">
        <v>1840.6</v>
      </c>
      <c r="S23" s="228">
        <v>9.1</v>
      </c>
      <c r="T23" s="229">
        <v>4.8999999999999998E-3</v>
      </c>
      <c r="U23" s="231">
        <v>1861.2</v>
      </c>
      <c r="V23" s="231">
        <v>1852</v>
      </c>
      <c r="W23" s="228">
        <v>9.1999999999999993</v>
      </c>
      <c r="X23" s="229">
        <v>5.0000000000000001E-3</v>
      </c>
      <c r="Y23" s="228">
        <v>0.5</v>
      </c>
      <c r="Z23" s="228">
        <v>-0.1</v>
      </c>
      <c r="AA23" s="228">
        <v>0.6</v>
      </c>
      <c r="AB23" s="229">
        <v>2.9999999999999997E-4</v>
      </c>
      <c r="AC23" s="228">
        <v>0.5</v>
      </c>
      <c r="AD23" s="228">
        <v>-0.1</v>
      </c>
      <c r="AE23" s="228">
        <v>0.6</v>
      </c>
      <c r="AF23" s="229">
        <v>2.9999999999999997E-4</v>
      </c>
      <c r="AG23" s="228">
        <v>10.8</v>
      </c>
      <c r="AH23" s="228">
        <v>10.7</v>
      </c>
      <c r="AI23" s="228">
        <v>0.1</v>
      </c>
      <c r="AJ23" s="229">
        <v>5.8999999999999999E-3</v>
      </c>
      <c r="AK23" s="228">
        <v>22.3</v>
      </c>
      <c r="AL23" s="228">
        <v>22.1</v>
      </c>
      <c r="AM23" s="228">
        <v>0.2</v>
      </c>
      <c r="AN23" s="229">
        <v>1.21E-2</v>
      </c>
      <c r="AO23" s="231">
        <v>1834.13</v>
      </c>
      <c r="AP23" s="231">
        <v>1843.04</v>
      </c>
      <c r="AQ23" s="228">
        <v>0</v>
      </c>
      <c r="AR23" s="230">
        <v>448250</v>
      </c>
      <c r="AS23" s="230">
        <v>1354750</v>
      </c>
      <c r="AT23" s="230">
        <v>-906500</v>
      </c>
      <c r="AU23" s="229">
        <v>-0.66910000000000003</v>
      </c>
      <c r="AV23" s="230">
        <v>385750</v>
      </c>
      <c r="AW23" s="230">
        <v>1227000</v>
      </c>
      <c r="AX23" s="230">
        <v>-841250</v>
      </c>
      <c r="AY23" s="229">
        <v>-0.68559999999999999</v>
      </c>
      <c r="AZ23" s="230">
        <v>58250</v>
      </c>
      <c r="BA23" s="230">
        <v>121000</v>
      </c>
      <c r="BB23" s="230">
        <v>-62750</v>
      </c>
      <c r="BC23" s="229">
        <v>-0.51859999999999995</v>
      </c>
      <c r="BD23" s="230">
        <v>4250</v>
      </c>
      <c r="BE23" s="230">
        <v>6750</v>
      </c>
      <c r="BF23" s="230">
        <v>-2500</v>
      </c>
      <c r="BG23" s="229">
        <v>-0.37040000000000001</v>
      </c>
      <c r="BH23" s="230">
        <v>1944000</v>
      </c>
      <c r="BI23" s="230">
        <v>4842000</v>
      </c>
      <c r="BJ23" s="230">
        <v>-2898000</v>
      </c>
      <c r="BK23" s="229">
        <v>-0.59850000000000003</v>
      </c>
      <c r="BL23" s="230">
        <v>1278000</v>
      </c>
      <c r="BM23" s="230">
        <v>2148500</v>
      </c>
      <c r="BN23" s="230">
        <v>-870500</v>
      </c>
      <c r="BO23" s="229">
        <v>-0.4052</v>
      </c>
      <c r="BP23" s="230">
        <v>3670250</v>
      </c>
      <c r="BQ23" s="230">
        <v>8345250</v>
      </c>
      <c r="BR23" s="230">
        <v>-4675000</v>
      </c>
      <c r="BS23" s="229">
        <v>-0.56020000000000003</v>
      </c>
      <c r="BT23" s="230">
        <v>512844</v>
      </c>
      <c r="BU23" s="230">
        <v>1096370</v>
      </c>
      <c r="BV23" s="230">
        <v>-583526</v>
      </c>
      <c r="BW23" s="229">
        <v>-0.53220000000000001</v>
      </c>
      <c r="BX23" s="230">
        <v>11202250</v>
      </c>
      <c r="BY23" s="230">
        <v>11305250</v>
      </c>
      <c r="BZ23" s="230">
        <v>-103000</v>
      </c>
      <c r="CA23" s="229">
        <v>-9.1000000000000004E-3</v>
      </c>
      <c r="CB23" s="230">
        <v>9455500</v>
      </c>
      <c r="CC23" s="230">
        <v>9572500</v>
      </c>
      <c r="CD23" s="230">
        <v>-117000</v>
      </c>
      <c r="CE23" s="229">
        <v>-1.2200000000000001E-2</v>
      </c>
      <c r="CF23" s="230">
        <v>1681250</v>
      </c>
      <c r="CG23" s="230">
        <v>1667250</v>
      </c>
      <c r="CH23" s="230">
        <v>14000</v>
      </c>
      <c r="CI23" s="229">
        <v>8.3999999999999995E-3</v>
      </c>
      <c r="CJ23" s="230">
        <v>65500</v>
      </c>
      <c r="CK23" s="230">
        <v>65500</v>
      </c>
      <c r="CL23" s="228">
        <v>0</v>
      </c>
      <c r="CM23" s="229">
        <v>0</v>
      </c>
      <c r="CN23" s="230">
        <v>3498750</v>
      </c>
      <c r="CO23" s="230">
        <v>3535500</v>
      </c>
      <c r="CP23" s="230">
        <v>-36750</v>
      </c>
      <c r="CQ23" s="229">
        <v>-1.04E-2</v>
      </c>
      <c r="CR23" s="230">
        <v>3578500</v>
      </c>
      <c r="CS23" s="230">
        <v>3528750</v>
      </c>
      <c r="CT23" s="230">
        <v>49750</v>
      </c>
      <c r="CU23" s="229">
        <v>1.41E-2</v>
      </c>
      <c r="CV23" s="230">
        <v>18279500</v>
      </c>
      <c r="CW23" s="230">
        <v>18369500</v>
      </c>
      <c r="CX23" s="230">
        <v>-90000</v>
      </c>
      <c r="CY23" s="229">
        <v>-4.8999999999999998E-3</v>
      </c>
      <c r="CZ23" s="228">
        <v>27.51</v>
      </c>
      <c r="DA23" s="228">
        <v>28.42</v>
      </c>
      <c r="DB23" s="228">
        <v>-0.91</v>
      </c>
      <c r="DC23" s="228">
        <v>-0.91</v>
      </c>
      <c r="DD23" s="228">
        <v>30.62</v>
      </c>
      <c r="DE23" s="228">
        <v>30.69</v>
      </c>
      <c r="DF23" s="228">
        <v>-3.11</v>
      </c>
      <c r="DG23" s="228">
        <v>-7.0000000000000007E-2</v>
      </c>
      <c r="DH23" s="228">
        <v>26.39</v>
      </c>
      <c r="DI23" s="228">
        <v>27.69</v>
      </c>
      <c r="DJ23" s="228">
        <v>-1.3</v>
      </c>
      <c r="DK23" s="228">
        <v>-1.3</v>
      </c>
      <c r="DL23" s="228">
        <v>29.21</v>
      </c>
      <c r="DM23" s="228">
        <v>30.06</v>
      </c>
      <c r="DN23" s="228">
        <v>-0.85</v>
      </c>
      <c r="DO23" s="228">
        <v>-0.85</v>
      </c>
      <c r="DP23" s="228">
        <v>1.02</v>
      </c>
      <c r="DQ23" s="228">
        <v>1</v>
      </c>
      <c r="DR23" s="228">
        <v>0.02</v>
      </c>
      <c r="DS23" s="229">
        <v>0.02</v>
      </c>
      <c r="DT23" s="231">
        <v>1760</v>
      </c>
      <c r="DU23" s="231">
        <v>1620</v>
      </c>
      <c r="DV23" s="228">
        <v>0.66</v>
      </c>
      <c r="DW23" s="228">
        <v>0.44</v>
      </c>
      <c r="DX23" s="228">
        <v>0.22</v>
      </c>
      <c r="DY23" s="229">
        <v>0.5</v>
      </c>
      <c r="DZ23" s="229">
        <v>0.15590000000000001</v>
      </c>
      <c r="EA23" s="230">
        <v>1732750</v>
      </c>
      <c r="EB23" s="229">
        <v>5.5999999999999999E-3</v>
      </c>
      <c r="EC23" s="229">
        <v>0.15590000000000001</v>
      </c>
      <c r="ED23" s="228">
        <v>8.91</v>
      </c>
      <c r="EE23" s="229">
        <v>4.8999999999999998E-3</v>
      </c>
      <c r="EF23" s="230">
        <v>266505</v>
      </c>
      <c r="EG23" s="230">
        <v>557909</v>
      </c>
      <c r="EH23" s="229">
        <v>-0.52229999999999999</v>
      </c>
      <c r="EI23" s="229">
        <v>0.51970000000000005</v>
      </c>
      <c r="EJ23" s="231">
        <v>36826.559999999998</v>
      </c>
      <c r="EK23" s="231">
        <v>23142.23</v>
      </c>
      <c r="EL23" s="231">
        <v>8227.4699999999993</v>
      </c>
      <c r="EM23" s="231">
        <v>4071</v>
      </c>
      <c r="EN23" s="231">
        <v>68196.259999999995</v>
      </c>
      <c r="EO23" s="231">
        <v>155585.4</v>
      </c>
      <c r="EP23" s="231">
        <v>-87389.14</v>
      </c>
      <c r="EQ23" s="229">
        <v>-0.56169999999999998</v>
      </c>
      <c r="ER23" s="231">
        <v>63601</v>
      </c>
      <c r="ES23" s="231">
        <v>60983</v>
      </c>
      <c r="ET23" s="231">
        <v>206242</v>
      </c>
      <c r="EU23" s="231">
        <v>65784745</v>
      </c>
      <c r="EV23" s="231">
        <v>330826</v>
      </c>
      <c r="EW23" s="231">
        <v>331281</v>
      </c>
      <c r="EX23" s="228">
        <v>-455</v>
      </c>
      <c r="EY23" s="229">
        <v>-1.4E-3</v>
      </c>
      <c r="EZ23" s="229">
        <v>0.27789999999999998</v>
      </c>
      <c r="FA23" s="227" t="s">
        <v>693</v>
      </c>
      <c r="FB23" s="161">
        <f t="shared" si="0"/>
        <v>1746750</v>
      </c>
    </row>
    <row r="24" spans="1:158" ht="17.25" thickBot="1" x14ac:dyDescent="0.3">
      <c r="A24" s="226">
        <v>46129</v>
      </c>
      <c r="B24" s="227" t="s">
        <v>175</v>
      </c>
      <c r="C24" s="227" t="s">
        <v>689</v>
      </c>
      <c r="D24" s="228">
        <v>50</v>
      </c>
      <c r="E24" s="231">
        <v>10358</v>
      </c>
      <c r="F24" s="231">
        <v>10206.5</v>
      </c>
      <c r="G24" s="228">
        <v>151.5</v>
      </c>
      <c r="H24" s="229">
        <v>1.4800000000000001E-2</v>
      </c>
      <c r="I24" s="231">
        <v>10355.5</v>
      </c>
      <c r="J24" s="231">
        <v>10205</v>
      </c>
      <c r="K24" s="228">
        <v>150.5</v>
      </c>
      <c r="L24" s="229">
        <v>1.47E-2</v>
      </c>
      <c r="M24" s="231">
        <v>10358</v>
      </c>
      <c r="N24" s="231">
        <v>10206.5</v>
      </c>
      <c r="O24" s="228">
        <v>151.5</v>
      </c>
      <c r="P24" s="229">
        <v>1.4800000000000001E-2</v>
      </c>
      <c r="Q24" s="231">
        <v>10397.5</v>
      </c>
      <c r="R24" s="231">
        <v>10256.5</v>
      </c>
      <c r="S24" s="228">
        <v>141</v>
      </c>
      <c r="T24" s="229">
        <v>1.37E-2</v>
      </c>
      <c r="U24" s="231">
        <v>10417</v>
      </c>
      <c r="V24" s="231">
        <v>10219.5</v>
      </c>
      <c r="W24" s="228">
        <v>197.5</v>
      </c>
      <c r="X24" s="229">
        <v>1.9300000000000001E-2</v>
      </c>
      <c r="Y24" s="228">
        <v>2.5</v>
      </c>
      <c r="Z24" s="228">
        <v>1.5</v>
      </c>
      <c r="AA24" s="228">
        <v>1</v>
      </c>
      <c r="AB24" s="229">
        <v>2.0000000000000001E-4</v>
      </c>
      <c r="AC24" s="228">
        <v>2.5</v>
      </c>
      <c r="AD24" s="228">
        <v>1.5</v>
      </c>
      <c r="AE24" s="228">
        <v>1</v>
      </c>
      <c r="AF24" s="229">
        <v>2.0000000000000001E-4</v>
      </c>
      <c r="AG24" s="228">
        <v>42</v>
      </c>
      <c r="AH24" s="228">
        <v>51.5</v>
      </c>
      <c r="AI24" s="228">
        <v>-9.5</v>
      </c>
      <c r="AJ24" s="229">
        <v>4.1000000000000003E-3</v>
      </c>
      <c r="AK24" s="228">
        <v>61.5</v>
      </c>
      <c r="AL24" s="228">
        <v>14.5</v>
      </c>
      <c r="AM24" s="228">
        <v>47</v>
      </c>
      <c r="AN24" s="229">
        <v>5.8999999999999999E-3</v>
      </c>
      <c r="AO24" s="231">
        <v>10325.200000000001</v>
      </c>
      <c r="AP24" s="231">
        <v>10358.61</v>
      </c>
      <c r="AQ24" s="228">
        <v>0</v>
      </c>
      <c r="AR24" s="230">
        <v>27600</v>
      </c>
      <c r="AS24" s="230">
        <v>60500</v>
      </c>
      <c r="AT24" s="230">
        <v>-32900</v>
      </c>
      <c r="AU24" s="229">
        <v>-0.54379999999999995</v>
      </c>
      <c r="AV24" s="230">
        <v>21750</v>
      </c>
      <c r="AW24" s="230">
        <v>55800</v>
      </c>
      <c r="AX24" s="230">
        <v>-34050</v>
      </c>
      <c r="AY24" s="229">
        <v>-0.61019999999999996</v>
      </c>
      <c r="AZ24" s="230">
        <v>5750</v>
      </c>
      <c r="BA24" s="230">
        <v>4650</v>
      </c>
      <c r="BB24" s="230">
        <v>1100</v>
      </c>
      <c r="BC24" s="229">
        <v>0.2366</v>
      </c>
      <c r="BD24" s="228">
        <v>100</v>
      </c>
      <c r="BE24" s="228">
        <v>50</v>
      </c>
      <c r="BF24" s="228">
        <v>50</v>
      </c>
      <c r="BG24" s="229">
        <v>1</v>
      </c>
      <c r="BH24" s="230">
        <v>90100</v>
      </c>
      <c r="BI24" s="230">
        <v>226200</v>
      </c>
      <c r="BJ24" s="230">
        <v>-136100</v>
      </c>
      <c r="BK24" s="229">
        <v>-0.60170000000000001</v>
      </c>
      <c r="BL24" s="230">
        <v>134700</v>
      </c>
      <c r="BM24" s="230">
        <v>36200</v>
      </c>
      <c r="BN24" s="230">
        <v>98500</v>
      </c>
      <c r="BO24" s="229">
        <v>2.7210000000000001</v>
      </c>
      <c r="BP24" s="230">
        <v>252400</v>
      </c>
      <c r="BQ24" s="230">
        <v>322900</v>
      </c>
      <c r="BR24" s="230">
        <v>-70500</v>
      </c>
      <c r="BS24" s="229">
        <v>-0.21829999999999999</v>
      </c>
      <c r="BT24" s="230">
        <v>49448</v>
      </c>
      <c r="BU24" s="230">
        <v>83882</v>
      </c>
      <c r="BV24" s="230">
        <v>-34434</v>
      </c>
      <c r="BW24" s="229">
        <v>-0.41049999999999998</v>
      </c>
      <c r="BX24" s="230">
        <v>293800</v>
      </c>
      <c r="BY24" s="230">
        <v>295900</v>
      </c>
      <c r="BZ24" s="230">
        <v>-2100</v>
      </c>
      <c r="CA24" s="229">
        <v>-7.1000000000000004E-3</v>
      </c>
      <c r="CB24" s="230">
        <v>260300</v>
      </c>
      <c r="CC24" s="230">
        <v>261500</v>
      </c>
      <c r="CD24" s="230">
        <v>-1200</v>
      </c>
      <c r="CE24" s="229">
        <v>-4.5999999999999999E-3</v>
      </c>
      <c r="CF24" s="230">
        <v>32400</v>
      </c>
      <c r="CG24" s="230">
        <v>33250</v>
      </c>
      <c r="CH24" s="228">
        <v>-850</v>
      </c>
      <c r="CI24" s="229">
        <v>-2.5600000000000001E-2</v>
      </c>
      <c r="CJ24" s="230">
        <v>1100</v>
      </c>
      <c r="CK24" s="230">
        <v>1150</v>
      </c>
      <c r="CL24" s="228">
        <v>-50</v>
      </c>
      <c r="CM24" s="229">
        <v>-4.3499999999999997E-2</v>
      </c>
      <c r="CN24" s="230">
        <v>85300</v>
      </c>
      <c r="CO24" s="230">
        <v>93500</v>
      </c>
      <c r="CP24" s="230">
        <v>-8200</v>
      </c>
      <c r="CQ24" s="229">
        <v>-8.77E-2</v>
      </c>
      <c r="CR24" s="230">
        <v>46900</v>
      </c>
      <c r="CS24" s="230">
        <v>44600</v>
      </c>
      <c r="CT24" s="230">
        <v>2300</v>
      </c>
      <c r="CU24" s="229">
        <v>5.16E-2</v>
      </c>
      <c r="CV24" s="230">
        <v>426000</v>
      </c>
      <c r="CW24" s="230">
        <v>434000</v>
      </c>
      <c r="CX24" s="230">
        <v>-8000</v>
      </c>
      <c r="CY24" s="229">
        <v>-1.84E-2</v>
      </c>
      <c r="CZ24" s="228">
        <v>46.44</v>
      </c>
      <c r="DA24" s="228">
        <v>37.21</v>
      </c>
      <c r="DB24" s="228">
        <v>9.23</v>
      </c>
      <c r="DC24" s="228">
        <v>9.23</v>
      </c>
      <c r="DD24" s="228">
        <v>39.020000000000003</v>
      </c>
      <c r="DE24" s="228">
        <v>39.07</v>
      </c>
      <c r="DF24" s="228">
        <v>7.42</v>
      </c>
      <c r="DG24" s="228">
        <v>-0.05</v>
      </c>
      <c r="DH24" s="228">
        <v>34.340000000000003</v>
      </c>
      <c r="DI24" s="228">
        <v>37.229999999999997</v>
      </c>
      <c r="DJ24" s="228">
        <v>-2.89</v>
      </c>
      <c r="DK24" s="228">
        <v>-2.89</v>
      </c>
      <c r="DL24" s="228">
        <v>54.54</v>
      </c>
      <c r="DM24" s="228">
        <v>37.06</v>
      </c>
      <c r="DN24" s="228">
        <v>17.48</v>
      </c>
      <c r="DO24" s="228">
        <v>17.48</v>
      </c>
      <c r="DP24" s="228">
        <v>0.55000000000000004</v>
      </c>
      <c r="DQ24" s="228">
        <v>0.48</v>
      </c>
      <c r="DR24" s="228">
        <v>7.0000000000000007E-2</v>
      </c>
      <c r="DS24" s="229">
        <v>0.14580000000000001</v>
      </c>
      <c r="DT24" s="231">
        <v>11000</v>
      </c>
      <c r="DU24" s="231">
        <v>9500</v>
      </c>
      <c r="DV24" s="228">
        <v>1.5</v>
      </c>
      <c r="DW24" s="228">
        <v>0.16</v>
      </c>
      <c r="DX24" s="228">
        <v>1.34</v>
      </c>
      <c r="DY24" s="229">
        <v>8.375</v>
      </c>
      <c r="DZ24" s="229">
        <v>0.114</v>
      </c>
      <c r="EA24" s="230">
        <v>34400</v>
      </c>
      <c r="EB24" s="229">
        <v>3.8E-3</v>
      </c>
      <c r="EC24" s="229">
        <v>0.114</v>
      </c>
      <c r="ED24" s="228">
        <v>33.409999999999997</v>
      </c>
      <c r="EE24" s="229">
        <v>3.2000000000000002E-3</v>
      </c>
      <c r="EF24" s="230">
        <v>27182</v>
      </c>
      <c r="EG24" s="230">
        <v>41218</v>
      </c>
      <c r="EH24" s="229">
        <v>-0.34050000000000002</v>
      </c>
      <c r="EI24" s="229">
        <v>0.54969999999999997</v>
      </c>
      <c r="EJ24" s="231">
        <v>9806.84</v>
      </c>
      <c r="EK24" s="231">
        <v>11747.8</v>
      </c>
      <c r="EL24" s="231">
        <v>2851.71</v>
      </c>
      <c r="EM24" s="228">
        <v>901</v>
      </c>
      <c r="EN24" s="231">
        <v>24406.35</v>
      </c>
      <c r="EO24" s="231">
        <v>34408.730000000003</v>
      </c>
      <c r="EP24" s="231">
        <v>-10002.379999999999</v>
      </c>
      <c r="EQ24" s="229">
        <v>-0.29070000000000001</v>
      </c>
      <c r="ER24" s="231">
        <v>8801</v>
      </c>
      <c r="ES24" s="231">
        <v>4378</v>
      </c>
      <c r="ET24" s="231">
        <v>30445</v>
      </c>
      <c r="EU24" s="231">
        <v>5401993</v>
      </c>
      <c r="EV24" s="231">
        <v>43624</v>
      </c>
      <c r="EW24" s="231">
        <v>44011</v>
      </c>
      <c r="EX24" s="228">
        <v>-387</v>
      </c>
      <c r="EY24" s="229">
        <v>-8.8000000000000005E-3</v>
      </c>
      <c r="EZ24" s="229">
        <v>7.8899999999999998E-2</v>
      </c>
      <c r="FA24" s="227" t="s">
        <v>693</v>
      </c>
      <c r="FB24" s="161">
        <f t="shared" si="0"/>
        <v>33500</v>
      </c>
    </row>
    <row r="25" spans="1:158" ht="17.25" thickBot="1" x14ac:dyDescent="0.3">
      <c r="A25" s="226">
        <v>46129</v>
      </c>
      <c r="B25" s="227" t="s">
        <v>175</v>
      </c>
      <c r="C25" s="227" t="s">
        <v>177</v>
      </c>
      <c r="D25" s="228">
        <v>750</v>
      </c>
      <c r="E25" s="228">
        <v>910.95</v>
      </c>
      <c r="F25" s="228">
        <v>908.85</v>
      </c>
      <c r="G25" s="228">
        <v>2.1</v>
      </c>
      <c r="H25" s="229">
        <v>2.3E-3</v>
      </c>
      <c r="I25" s="228">
        <v>908.25</v>
      </c>
      <c r="J25" s="228">
        <v>905.9</v>
      </c>
      <c r="K25" s="228">
        <v>2.35</v>
      </c>
      <c r="L25" s="229">
        <v>2.5999999999999999E-3</v>
      </c>
      <c r="M25" s="228">
        <v>910.95</v>
      </c>
      <c r="N25" s="228">
        <v>908.85</v>
      </c>
      <c r="O25" s="228">
        <v>2.1</v>
      </c>
      <c r="P25" s="229">
        <v>2.3E-3</v>
      </c>
      <c r="Q25" s="228">
        <v>915.3</v>
      </c>
      <c r="R25" s="228">
        <v>913.35</v>
      </c>
      <c r="S25" s="228">
        <v>1.95</v>
      </c>
      <c r="T25" s="229">
        <v>2.0999999999999999E-3</v>
      </c>
      <c r="U25" s="228">
        <v>917.2</v>
      </c>
      <c r="V25" s="228">
        <v>915.55</v>
      </c>
      <c r="W25" s="228">
        <v>1.65</v>
      </c>
      <c r="X25" s="229">
        <v>1.8E-3</v>
      </c>
      <c r="Y25" s="228">
        <v>2.7</v>
      </c>
      <c r="Z25" s="228">
        <v>2.95</v>
      </c>
      <c r="AA25" s="228">
        <v>-0.25</v>
      </c>
      <c r="AB25" s="229">
        <v>3.0000000000000001E-3</v>
      </c>
      <c r="AC25" s="228">
        <v>2.7</v>
      </c>
      <c r="AD25" s="228">
        <v>2.95</v>
      </c>
      <c r="AE25" s="228">
        <v>-0.25</v>
      </c>
      <c r="AF25" s="229">
        <v>3.0000000000000001E-3</v>
      </c>
      <c r="AG25" s="228">
        <v>7.05</v>
      </c>
      <c r="AH25" s="228">
        <v>7.45</v>
      </c>
      <c r="AI25" s="228">
        <v>-0.4</v>
      </c>
      <c r="AJ25" s="229">
        <v>7.7999999999999996E-3</v>
      </c>
      <c r="AK25" s="228">
        <v>8.9499999999999993</v>
      </c>
      <c r="AL25" s="228">
        <v>9.65</v>
      </c>
      <c r="AM25" s="228">
        <v>-0.7</v>
      </c>
      <c r="AN25" s="229">
        <v>9.9000000000000008E-3</v>
      </c>
      <c r="AO25" s="228">
        <v>909.6</v>
      </c>
      <c r="AP25" s="228">
        <v>914.39</v>
      </c>
      <c r="AQ25" s="228">
        <v>0</v>
      </c>
      <c r="AR25" s="230">
        <v>4827750</v>
      </c>
      <c r="AS25" s="230">
        <v>10329750</v>
      </c>
      <c r="AT25" s="230">
        <v>-5502000</v>
      </c>
      <c r="AU25" s="229">
        <v>-0.53259999999999996</v>
      </c>
      <c r="AV25" s="230">
        <v>3972750</v>
      </c>
      <c r="AW25" s="230">
        <v>8864250</v>
      </c>
      <c r="AX25" s="230">
        <v>-4891500</v>
      </c>
      <c r="AY25" s="229">
        <v>-0.55179999999999996</v>
      </c>
      <c r="AZ25" s="230">
        <v>726000</v>
      </c>
      <c r="BA25" s="230">
        <v>1266000</v>
      </c>
      <c r="BB25" s="230">
        <v>-540000</v>
      </c>
      <c r="BC25" s="229">
        <v>-0.42649999999999999</v>
      </c>
      <c r="BD25" s="230">
        <v>129000</v>
      </c>
      <c r="BE25" s="230">
        <v>199500</v>
      </c>
      <c r="BF25" s="230">
        <v>-70500</v>
      </c>
      <c r="BG25" s="229">
        <v>-0.35339999999999999</v>
      </c>
      <c r="BH25" s="230">
        <v>13919250</v>
      </c>
      <c r="BI25" s="230">
        <v>29202750</v>
      </c>
      <c r="BJ25" s="230">
        <v>-15283500</v>
      </c>
      <c r="BK25" s="229">
        <v>-0.52339999999999998</v>
      </c>
      <c r="BL25" s="230">
        <v>8702250</v>
      </c>
      <c r="BM25" s="230">
        <v>16512000</v>
      </c>
      <c r="BN25" s="230">
        <v>-7809750</v>
      </c>
      <c r="BO25" s="229">
        <v>-0.47299999999999998</v>
      </c>
      <c r="BP25" s="230">
        <v>27449250</v>
      </c>
      <c r="BQ25" s="230">
        <v>56044500</v>
      </c>
      <c r="BR25" s="230">
        <v>-28595250</v>
      </c>
      <c r="BS25" s="229">
        <v>-0.51019999999999999</v>
      </c>
      <c r="BT25" s="230">
        <v>6274068</v>
      </c>
      <c r="BU25" s="230">
        <v>12446149</v>
      </c>
      <c r="BV25" s="230">
        <v>-6172081</v>
      </c>
      <c r="BW25" s="229">
        <v>-0.49590000000000001</v>
      </c>
      <c r="BX25" s="230">
        <v>70972500</v>
      </c>
      <c r="BY25" s="230">
        <v>71047500</v>
      </c>
      <c r="BZ25" s="230">
        <v>-75000</v>
      </c>
      <c r="CA25" s="229">
        <v>-1.1000000000000001E-3</v>
      </c>
      <c r="CB25" s="230">
        <v>65455500</v>
      </c>
      <c r="CC25" s="230">
        <v>65994000</v>
      </c>
      <c r="CD25" s="230">
        <v>-538500</v>
      </c>
      <c r="CE25" s="229">
        <v>-8.2000000000000007E-3</v>
      </c>
      <c r="CF25" s="230">
        <v>5034750</v>
      </c>
      <c r="CG25" s="230">
        <v>4605750</v>
      </c>
      <c r="CH25" s="230">
        <v>429000</v>
      </c>
      <c r="CI25" s="229">
        <v>9.3100000000000002E-2</v>
      </c>
      <c r="CJ25" s="230">
        <v>482250</v>
      </c>
      <c r="CK25" s="230">
        <v>447750</v>
      </c>
      <c r="CL25" s="230">
        <v>34500</v>
      </c>
      <c r="CM25" s="229">
        <v>7.7100000000000002E-2</v>
      </c>
      <c r="CN25" s="230">
        <v>21938250</v>
      </c>
      <c r="CO25" s="230">
        <v>21335250</v>
      </c>
      <c r="CP25" s="230">
        <v>603000</v>
      </c>
      <c r="CQ25" s="229">
        <v>2.8299999999999999E-2</v>
      </c>
      <c r="CR25" s="230">
        <v>17085750</v>
      </c>
      <c r="CS25" s="230">
        <v>16863000</v>
      </c>
      <c r="CT25" s="230">
        <v>222750</v>
      </c>
      <c r="CU25" s="229">
        <v>1.32E-2</v>
      </c>
      <c r="CV25" s="230">
        <v>109996500</v>
      </c>
      <c r="CW25" s="230">
        <v>109245750</v>
      </c>
      <c r="CX25" s="230">
        <v>750750</v>
      </c>
      <c r="CY25" s="229">
        <v>6.8999999999999999E-3</v>
      </c>
      <c r="CZ25" s="228">
        <v>33.26</v>
      </c>
      <c r="DA25" s="228">
        <v>34.58</v>
      </c>
      <c r="DB25" s="228">
        <v>-1.32</v>
      </c>
      <c r="DC25" s="228">
        <v>-1.32</v>
      </c>
      <c r="DD25" s="228">
        <v>36</v>
      </c>
      <c r="DE25" s="228">
        <v>36.090000000000003</v>
      </c>
      <c r="DF25" s="228">
        <v>-2.74</v>
      </c>
      <c r="DG25" s="228">
        <v>-0.09</v>
      </c>
      <c r="DH25" s="228">
        <v>31.46</v>
      </c>
      <c r="DI25" s="228">
        <v>33.5</v>
      </c>
      <c r="DJ25" s="228">
        <v>-2.04</v>
      </c>
      <c r="DK25" s="228">
        <v>-2.04</v>
      </c>
      <c r="DL25" s="228">
        <v>36.15</v>
      </c>
      <c r="DM25" s="228">
        <v>36.479999999999997</v>
      </c>
      <c r="DN25" s="228">
        <v>-0.33</v>
      </c>
      <c r="DO25" s="228">
        <v>-0.33</v>
      </c>
      <c r="DP25" s="228">
        <v>0.78</v>
      </c>
      <c r="DQ25" s="228">
        <v>0.79</v>
      </c>
      <c r="DR25" s="228">
        <v>-0.01</v>
      </c>
      <c r="DS25" s="229">
        <v>-1.2699999999999999E-2</v>
      </c>
      <c r="DT25" s="228">
        <v>920</v>
      </c>
      <c r="DU25" s="228">
        <v>800</v>
      </c>
      <c r="DV25" s="228">
        <v>0.63</v>
      </c>
      <c r="DW25" s="228">
        <v>0.56999999999999995</v>
      </c>
      <c r="DX25" s="228">
        <v>0.06</v>
      </c>
      <c r="DY25" s="229">
        <v>0.1053</v>
      </c>
      <c r="DZ25" s="229">
        <v>7.7700000000000005E-2</v>
      </c>
      <c r="EA25" s="230">
        <v>5053500</v>
      </c>
      <c r="EB25" s="229">
        <v>4.7999999999999996E-3</v>
      </c>
      <c r="EC25" s="229">
        <v>7.7700000000000005E-2</v>
      </c>
      <c r="ED25" s="228">
        <v>4.79</v>
      </c>
      <c r="EE25" s="229">
        <v>5.3E-3</v>
      </c>
      <c r="EF25" s="230">
        <v>3926064</v>
      </c>
      <c r="EG25" s="230">
        <v>6910097</v>
      </c>
      <c r="EH25" s="229">
        <v>-0.43180000000000002</v>
      </c>
      <c r="EI25" s="229">
        <v>0.62580000000000002</v>
      </c>
      <c r="EJ25" s="231">
        <v>131930.37</v>
      </c>
      <c r="EK25" s="231">
        <v>76754.64</v>
      </c>
      <c r="EL25" s="231">
        <v>43956.02</v>
      </c>
      <c r="EM25" s="231">
        <v>10574</v>
      </c>
      <c r="EN25" s="231">
        <v>252641.03</v>
      </c>
      <c r="EO25" s="231">
        <v>522253.07</v>
      </c>
      <c r="EP25" s="231">
        <v>-269612.03999999998</v>
      </c>
      <c r="EQ25" s="229">
        <v>-0.51619999999999999</v>
      </c>
      <c r="ER25" s="231">
        <v>200367</v>
      </c>
      <c r="ES25" s="231">
        <v>147073</v>
      </c>
      <c r="ET25" s="231">
        <v>646773</v>
      </c>
      <c r="EU25" s="231">
        <v>387962395</v>
      </c>
      <c r="EV25" s="231">
        <v>994212</v>
      </c>
      <c r="EW25" s="231">
        <v>985743</v>
      </c>
      <c r="EX25" s="231">
        <v>8469</v>
      </c>
      <c r="EY25" s="229">
        <v>8.6E-3</v>
      </c>
      <c r="EZ25" s="229">
        <v>0.28349999999999997</v>
      </c>
      <c r="FA25" s="227" t="s">
        <v>693</v>
      </c>
      <c r="FB25" s="161">
        <f t="shared" si="0"/>
        <v>5517000</v>
      </c>
    </row>
    <row r="26" spans="1:158" ht="17.25" thickBot="1" x14ac:dyDescent="0.3">
      <c r="A26" s="226">
        <v>46129</v>
      </c>
      <c r="B26" s="227" t="s">
        <v>172</v>
      </c>
      <c r="C26" s="227" t="s">
        <v>179</v>
      </c>
      <c r="D26" s="228">
        <v>3600</v>
      </c>
      <c r="E26" s="228">
        <v>175.02</v>
      </c>
      <c r="F26" s="228">
        <v>174.35</v>
      </c>
      <c r="G26" s="228">
        <v>0.67</v>
      </c>
      <c r="H26" s="229">
        <v>3.8E-3</v>
      </c>
      <c r="I26" s="228">
        <v>174.47</v>
      </c>
      <c r="J26" s="228">
        <v>174.18</v>
      </c>
      <c r="K26" s="228">
        <v>0.28999999999999998</v>
      </c>
      <c r="L26" s="229">
        <v>1.6999999999999999E-3</v>
      </c>
      <c r="M26" s="228">
        <v>175.02</v>
      </c>
      <c r="N26" s="228">
        <v>174.35</v>
      </c>
      <c r="O26" s="228">
        <v>0.67</v>
      </c>
      <c r="P26" s="229">
        <v>3.8E-3</v>
      </c>
      <c r="Q26" s="228">
        <v>176.04</v>
      </c>
      <c r="R26" s="228">
        <v>175.52</v>
      </c>
      <c r="S26" s="228">
        <v>0.52</v>
      </c>
      <c r="T26" s="229">
        <v>3.0000000000000001E-3</v>
      </c>
      <c r="U26" s="228">
        <v>176.44</v>
      </c>
      <c r="V26" s="228">
        <v>176.85</v>
      </c>
      <c r="W26" s="228">
        <v>-0.41</v>
      </c>
      <c r="X26" s="229">
        <v>-2.3E-3</v>
      </c>
      <c r="Y26" s="228">
        <v>0.55000000000000004</v>
      </c>
      <c r="Z26" s="228">
        <v>0.17</v>
      </c>
      <c r="AA26" s="228">
        <v>0.38</v>
      </c>
      <c r="AB26" s="229">
        <v>3.2000000000000002E-3</v>
      </c>
      <c r="AC26" s="228">
        <v>0.55000000000000004</v>
      </c>
      <c r="AD26" s="228">
        <v>0.17</v>
      </c>
      <c r="AE26" s="228">
        <v>0.38</v>
      </c>
      <c r="AF26" s="229">
        <v>3.2000000000000002E-3</v>
      </c>
      <c r="AG26" s="228">
        <v>1.57</v>
      </c>
      <c r="AH26" s="228">
        <v>1.34</v>
      </c>
      <c r="AI26" s="228">
        <v>0.23</v>
      </c>
      <c r="AJ26" s="229">
        <v>8.9999999999999993E-3</v>
      </c>
      <c r="AK26" s="228">
        <v>1.97</v>
      </c>
      <c r="AL26" s="228">
        <v>2.67</v>
      </c>
      <c r="AM26" s="228">
        <v>-0.7</v>
      </c>
      <c r="AN26" s="229">
        <v>1.1299999999999999E-2</v>
      </c>
      <c r="AO26" s="228">
        <v>174.88</v>
      </c>
      <c r="AP26" s="228">
        <v>175.99</v>
      </c>
      <c r="AQ26" s="228">
        <v>0</v>
      </c>
      <c r="AR26" s="230">
        <v>25804800</v>
      </c>
      <c r="AS26" s="230">
        <v>13838400</v>
      </c>
      <c r="AT26" s="230">
        <v>11966400</v>
      </c>
      <c r="AU26" s="229">
        <v>0.86470000000000002</v>
      </c>
      <c r="AV26" s="230">
        <v>14626800</v>
      </c>
      <c r="AW26" s="230">
        <v>12366000</v>
      </c>
      <c r="AX26" s="230">
        <v>2260800</v>
      </c>
      <c r="AY26" s="229">
        <v>0.18279999999999999</v>
      </c>
      <c r="AZ26" s="230">
        <v>11145600</v>
      </c>
      <c r="BA26" s="230">
        <v>1360800</v>
      </c>
      <c r="BB26" s="230">
        <v>9784800</v>
      </c>
      <c r="BC26" s="229">
        <v>7.1905000000000001</v>
      </c>
      <c r="BD26" s="230">
        <v>32400</v>
      </c>
      <c r="BE26" s="230">
        <v>111600</v>
      </c>
      <c r="BF26" s="230">
        <v>-79200</v>
      </c>
      <c r="BG26" s="229">
        <v>-0.7097</v>
      </c>
      <c r="BH26" s="230">
        <v>9324000</v>
      </c>
      <c r="BI26" s="230">
        <v>17355600</v>
      </c>
      <c r="BJ26" s="230">
        <v>-8031600</v>
      </c>
      <c r="BK26" s="229">
        <v>-0.46279999999999999</v>
      </c>
      <c r="BL26" s="230">
        <v>6872400</v>
      </c>
      <c r="BM26" s="230">
        <v>13024800</v>
      </c>
      <c r="BN26" s="230">
        <v>-6152400</v>
      </c>
      <c r="BO26" s="229">
        <v>-0.47239999999999999</v>
      </c>
      <c r="BP26" s="230">
        <v>42001200</v>
      </c>
      <c r="BQ26" s="230">
        <v>44218800</v>
      </c>
      <c r="BR26" s="230">
        <v>-2217600</v>
      </c>
      <c r="BS26" s="229">
        <v>-5.0200000000000002E-2</v>
      </c>
      <c r="BT26" s="230">
        <v>4592075</v>
      </c>
      <c r="BU26" s="230">
        <v>9593326</v>
      </c>
      <c r="BV26" s="230">
        <v>-5001251</v>
      </c>
      <c r="BW26" s="229">
        <v>-0.52129999999999999</v>
      </c>
      <c r="BX26" s="230">
        <v>89053200</v>
      </c>
      <c r="BY26" s="230">
        <v>89298000</v>
      </c>
      <c r="BZ26" s="230">
        <v>-244800</v>
      </c>
      <c r="CA26" s="229">
        <v>-2.7000000000000001E-3</v>
      </c>
      <c r="CB26" s="230">
        <v>73504800</v>
      </c>
      <c r="CC26" s="230">
        <v>84103200</v>
      </c>
      <c r="CD26" s="230">
        <v>-10598400</v>
      </c>
      <c r="CE26" s="229">
        <v>-0.126</v>
      </c>
      <c r="CF26" s="230">
        <v>15246000</v>
      </c>
      <c r="CG26" s="230">
        <v>4903200</v>
      </c>
      <c r="CH26" s="230">
        <v>10342800</v>
      </c>
      <c r="CI26" s="229">
        <v>2.1093999999999999</v>
      </c>
      <c r="CJ26" s="230">
        <v>302400</v>
      </c>
      <c r="CK26" s="230">
        <v>291600</v>
      </c>
      <c r="CL26" s="230">
        <v>10800</v>
      </c>
      <c r="CM26" s="229">
        <v>3.6999999999999998E-2</v>
      </c>
      <c r="CN26" s="230">
        <v>26262000</v>
      </c>
      <c r="CO26" s="230">
        <v>25398000</v>
      </c>
      <c r="CP26" s="230">
        <v>864000</v>
      </c>
      <c r="CQ26" s="229">
        <v>3.4000000000000002E-2</v>
      </c>
      <c r="CR26" s="230">
        <v>20196000</v>
      </c>
      <c r="CS26" s="230">
        <v>19742400</v>
      </c>
      <c r="CT26" s="230">
        <v>453600</v>
      </c>
      <c r="CU26" s="229">
        <v>2.3E-2</v>
      </c>
      <c r="CV26" s="230">
        <v>135511200</v>
      </c>
      <c r="CW26" s="230">
        <v>134438400</v>
      </c>
      <c r="CX26" s="230">
        <v>1072800</v>
      </c>
      <c r="CY26" s="229">
        <v>8.0000000000000002E-3</v>
      </c>
      <c r="CZ26" s="228">
        <v>44.03</v>
      </c>
      <c r="DA26" s="228">
        <v>44.97</v>
      </c>
      <c r="DB26" s="228">
        <v>-0.94</v>
      </c>
      <c r="DC26" s="228">
        <v>-0.94</v>
      </c>
      <c r="DD26" s="228">
        <v>46.02</v>
      </c>
      <c r="DE26" s="228">
        <v>46.14</v>
      </c>
      <c r="DF26" s="228">
        <v>-1.99</v>
      </c>
      <c r="DG26" s="228">
        <v>-0.12</v>
      </c>
      <c r="DH26" s="228">
        <v>42.86</v>
      </c>
      <c r="DI26" s="228">
        <v>44.67</v>
      </c>
      <c r="DJ26" s="228">
        <v>-1.81</v>
      </c>
      <c r="DK26" s="228">
        <v>-1.81</v>
      </c>
      <c r="DL26" s="228">
        <v>45.62</v>
      </c>
      <c r="DM26" s="228">
        <v>45.38</v>
      </c>
      <c r="DN26" s="228">
        <v>0.24</v>
      </c>
      <c r="DO26" s="228">
        <v>0.24</v>
      </c>
      <c r="DP26" s="228">
        <v>0.77</v>
      </c>
      <c r="DQ26" s="228">
        <v>0.78</v>
      </c>
      <c r="DR26" s="228">
        <v>-0.01</v>
      </c>
      <c r="DS26" s="229">
        <v>-1.2800000000000001E-2</v>
      </c>
      <c r="DT26" s="228">
        <v>150</v>
      </c>
      <c r="DU26" s="228">
        <v>170</v>
      </c>
      <c r="DV26" s="228">
        <v>0.74</v>
      </c>
      <c r="DW26" s="228">
        <v>0.75</v>
      </c>
      <c r="DX26" s="228">
        <v>-0.01</v>
      </c>
      <c r="DY26" s="229">
        <v>-1.3299999999999999E-2</v>
      </c>
      <c r="DZ26" s="229">
        <v>0.17460000000000001</v>
      </c>
      <c r="EA26" s="230">
        <v>5194800</v>
      </c>
      <c r="EB26" s="229">
        <v>5.7999999999999996E-3</v>
      </c>
      <c r="EC26" s="229">
        <v>0.17460000000000001</v>
      </c>
      <c r="ED26" s="228">
        <v>1.1100000000000001</v>
      </c>
      <c r="EE26" s="229">
        <v>6.3E-3</v>
      </c>
      <c r="EF26" s="230">
        <v>1541251</v>
      </c>
      <c r="EG26" s="230">
        <v>3794365</v>
      </c>
      <c r="EH26" s="229">
        <v>-0.59379999999999999</v>
      </c>
      <c r="EI26" s="229">
        <v>0.33560000000000001</v>
      </c>
      <c r="EJ26" s="231">
        <v>17313.03</v>
      </c>
      <c r="EK26" s="231">
        <v>11607.45</v>
      </c>
      <c r="EL26" s="231">
        <v>45251.94</v>
      </c>
      <c r="EM26" s="231">
        <v>4079</v>
      </c>
      <c r="EN26" s="231">
        <v>74172.42</v>
      </c>
      <c r="EO26" s="231">
        <v>78190.97</v>
      </c>
      <c r="EP26" s="231">
        <v>-4018.55</v>
      </c>
      <c r="EQ26" s="229">
        <v>-5.1400000000000001E-2</v>
      </c>
      <c r="ER26" s="231">
        <v>44727</v>
      </c>
      <c r="ES26" s="231">
        <v>32223</v>
      </c>
      <c r="ET26" s="231">
        <v>156021</v>
      </c>
      <c r="EU26" s="231">
        <v>145616308</v>
      </c>
      <c r="EV26" s="231">
        <v>232970</v>
      </c>
      <c r="EW26" s="231">
        <v>230290</v>
      </c>
      <c r="EX26" s="231">
        <v>2680</v>
      </c>
      <c r="EY26" s="229">
        <v>1.1599999999999999E-2</v>
      </c>
      <c r="EZ26" s="229">
        <v>0.93059999999999998</v>
      </c>
      <c r="FA26" s="227" t="s">
        <v>693</v>
      </c>
      <c r="FB26" s="161">
        <f t="shared" si="0"/>
        <v>15548400</v>
      </c>
    </row>
    <row r="27" spans="1:158" ht="17.25" thickBot="1" x14ac:dyDescent="0.3">
      <c r="A27" s="226">
        <v>46129</v>
      </c>
      <c r="B27" s="227" t="s">
        <v>172</v>
      </c>
      <c r="C27" s="227" t="s">
        <v>180</v>
      </c>
      <c r="D27" s="228">
        <v>2925</v>
      </c>
      <c r="E27" s="228">
        <v>281.16000000000003</v>
      </c>
      <c r="F27" s="228">
        <v>279.62</v>
      </c>
      <c r="G27" s="228">
        <v>1.54</v>
      </c>
      <c r="H27" s="229">
        <v>5.4999999999999997E-3</v>
      </c>
      <c r="I27" s="228">
        <v>280.44</v>
      </c>
      <c r="J27" s="228">
        <v>279.39</v>
      </c>
      <c r="K27" s="228">
        <v>1.05</v>
      </c>
      <c r="L27" s="229">
        <v>3.8E-3</v>
      </c>
      <c r="M27" s="228">
        <v>281.16000000000003</v>
      </c>
      <c r="N27" s="228">
        <v>279.62</v>
      </c>
      <c r="O27" s="228">
        <v>1.54</v>
      </c>
      <c r="P27" s="229">
        <v>5.4999999999999997E-3</v>
      </c>
      <c r="Q27" s="228">
        <v>282.67</v>
      </c>
      <c r="R27" s="228">
        <v>281.27</v>
      </c>
      <c r="S27" s="228">
        <v>1.4</v>
      </c>
      <c r="T27" s="229">
        <v>5.0000000000000001E-3</v>
      </c>
      <c r="U27" s="228">
        <v>284.47000000000003</v>
      </c>
      <c r="V27" s="228">
        <v>282.76</v>
      </c>
      <c r="W27" s="228">
        <v>1.71</v>
      </c>
      <c r="X27" s="229">
        <v>6.0000000000000001E-3</v>
      </c>
      <c r="Y27" s="228">
        <v>0.72</v>
      </c>
      <c r="Z27" s="228">
        <v>0.23</v>
      </c>
      <c r="AA27" s="228">
        <v>0.49</v>
      </c>
      <c r="AB27" s="229">
        <v>2.5999999999999999E-3</v>
      </c>
      <c r="AC27" s="228">
        <v>0.72</v>
      </c>
      <c r="AD27" s="228">
        <v>0.23</v>
      </c>
      <c r="AE27" s="228">
        <v>0.49</v>
      </c>
      <c r="AF27" s="229">
        <v>2.5999999999999999E-3</v>
      </c>
      <c r="AG27" s="228">
        <v>2.23</v>
      </c>
      <c r="AH27" s="228">
        <v>1.88</v>
      </c>
      <c r="AI27" s="228">
        <v>0.35</v>
      </c>
      <c r="AJ27" s="229">
        <v>8.0000000000000002E-3</v>
      </c>
      <c r="AK27" s="228">
        <v>4.03</v>
      </c>
      <c r="AL27" s="228">
        <v>3.37</v>
      </c>
      <c r="AM27" s="228">
        <v>0.66</v>
      </c>
      <c r="AN27" s="229">
        <v>1.44E-2</v>
      </c>
      <c r="AO27" s="228">
        <v>280.64</v>
      </c>
      <c r="AP27" s="228">
        <v>282.05</v>
      </c>
      <c r="AQ27" s="228">
        <v>0</v>
      </c>
      <c r="AR27" s="230">
        <v>27006525</v>
      </c>
      <c r="AS27" s="230">
        <v>15177825</v>
      </c>
      <c r="AT27" s="230">
        <v>11828700</v>
      </c>
      <c r="AU27" s="229">
        <v>0.77929999999999999</v>
      </c>
      <c r="AV27" s="230">
        <v>18722925</v>
      </c>
      <c r="AW27" s="230">
        <v>12916800</v>
      </c>
      <c r="AX27" s="230">
        <v>5806125</v>
      </c>
      <c r="AY27" s="229">
        <v>0.44950000000000001</v>
      </c>
      <c r="AZ27" s="230">
        <v>2553525</v>
      </c>
      <c r="BA27" s="230">
        <v>2132325</v>
      </c>
      <c r="BB27" s="230">
        <v>421200</v>
      </c>
      <c r="BC27" s="229">
        <v>0.19750000000000001</v>
      </c>
      <c r="BD27" s="230">
        <v>5730075</v>
      </c>
      <c r="BE27" s="230">
        <v>128700</v>
      </c>
      <c r="BF27" s="230">
        <v>5601375</v>
      </c>
      <c r="BG27" s="229">
        <v>43.5227</v>
      </c>
      <c r="BH27" s="230">
        <v>33546825</v>
      </c>
      <c r="BI27" s="230">
        <v>31253625</v>
      </c>
      <c r="BJ27" s="230">
        <v>2293200</v>
      </c>
      <c r="BK27" s="229">
        <v>7.3400000000000007E-2</v>
      </c>
      <c r="BL27" s="230">
        <v>23780250</v>
      </c>
      <c r="BM27" s="230">
        <v>19825650</v>
      </c>
      <c r="BN27" s="230">
        <v>3954600</v>
      </c>
      <c r="BO27" s="229">
        <v>0.19950000000000001</v>
      </c>
      <c r="BP27" s="230">
        <v>84333600</v>
      </c>
      <c r="BQ27" s="230">
        <v>66257100</v>
      </c>
      <c r="BR27" s="230">
        <v>18076500</v>
      </c>
      <c r="BS27" s="229">
        <v>0.27279999999999999</v>
      </c>
      <c r="BT27" s="230">
        <v>7246769</v>
      </c>
      <c r="BU27" s="230">
        <v>8208179</v>
      </c>
      <c r="BV27" s="230">
        <v>-961410</v>
      </c>
      <c r="BW27" s="229">
        <v>-0.1171</v>
      </c>
      <c r="BX27" s="230">
        <v>103334400</v>
      </c>
      <c r="BY27" s="230">
        <v>102980475</v>
      </c>
      <c r="BZ27" s="230">
        <v>353925</v>
      </c>
      <c r="CA27" s="229">
        <v>3.3999999999999998E-3</v>
      </c>
      <c r="CB27" s="230">
        <v>89446500</v>
      </c>
      <c r="CC27" s="230">
        <v>95975100</v>
      </c>
      <c r="CD27" s="230">
        <v>-6528600</v>
      </c>
      <c r="CE27" s="229">
        <v>-6.8000000000000005E-2</v>
      </c>
      <c r="CF27" s="230">
        <v>7751250</v>
      </c>
      <c r="CG27" s="230">
        <v>6435000</v>
      </c>
      <c r="CH27" s="230">
        <v>1316250</v>
      </c>
      <c r="CI27" s="229">
        <v>0.20449999999999999</v>
      </c>
      <c r="CJ27" s="230">
        <v>6136650</v>
      </c>
      <c r="CK27" s="230">
        <v>570375</v>
      </c>
      <c r="CL27" s="230">
        <v>5566275</v>
      </c>
      <c r="CM27" s="229">
        <v>9.7590000000000003</v>
      </c>
      <c r="CN27" s="230">
        <v>41283450</v>
      </c>
      <c r="CO27" s="230">
        <v>41254200</v>
      </c>
      <c r="CP27" s="230">
        <v>29250</v>
      </c>
      <c r="CQ27" s="229">
        <v>6.9999999999999999E-4</v>
      </c>
      <c r="CR27" s="230">
        <v>39373425</v>
      </c>
      <c r="CS27" s="230">
        <v>38586600</v>
      </c>
      <c r="CT27" s="230">
        <v>786825</v>
      </c>
      <c r="CU27" s="229">
        <v>2.0400000000000001E-2</v>
      </c>
      <c r="CV27" s="230">
        <v>183991275</v>
      </c>
      <c r="CW27" s="230">
        <v>182821275</v>
      </c>
      <c r="CX27" s="230">
        <v>1170000</v>
      </c>
      <c r="CY27" s="229">
        <v>6.4000000000000003E-3</v>
      </c>
      <c r="CZ27" s="228">
        <v>33.5</v>
      </c>
      <c r="DA27" s="228">
        <v>33.71</v>
      </c>
      <c r="DB27" s="228">
        <v>-0.21</v>
      </c>
      <c r="DC27" s="228">
        <v>-0.21</v>
      </c>
      <c r="DD27" s="228">
        <v>37.020000000000003</v>
      </c>
      <c r="DE27" s="228">
        <v>37.1</v>
      </c>
      <c r="DF27" s="228">
        <v>-3.52</v>
      </c>
      <c r="DG27" s="228">
        <v>-0.08</v>
      </c>
      <c r="DH27" s="228">
        <v>31.6</v>
      </c>
      <c r="DI27" s="228">
        <v>32.67</v>
      </c>
      <c r="DJ27" s="228">
        <v>-1.07</v>
      </c>
      <c r="DK27" s="228">
        <v>-1.07</v>
      </c>
      <c r="DL27" s="228">
        <v>36.18</v>
      </c>
      <c r="DM27" s="228">
        <v>35.36</v>
      </c>
      <c r="DN27" s="228">
        <v>0.82</v>
      </c>
      <c r="DO27" s="228">
        <v>0.82</v>
      </c>
      <c r="DP27" s="228">
        <v>0.95</v>
      </c>
      <c r="DQ27" s="228">
        <v>0.94</v>
      </c>
      <c r="DR27" s="228">
        <v>0.01</v>
      </c>
      <c r="DS27" s="229">
        <v>1.06E-2</v>
      </c>
      <c r="DT27" s="228">
        <v>300</v>
      </c>
      <c r="DU27" s="228">
        <v>250</v>
      </c>
      <c r="DV27" s="228">
        <v>0.71</v>
      </c>
      <c r="DW27" s="228">
        <v>0.63</v>
      </c>
      <c r="DX27" s="228">
        <v>0.08</v>
      </c>
      <c r="DY27" s="229">
        <v>0.127</v>
      </c>
      <c r="DZ27" s="229">
        <v>0.13439999999999999</v>
      </c>
      <c r="EA27" s="230">
        <v>7005375</v>
      </c>
      <c r="EB27" s="229">
        <v>5.4000000000000003E-3</v>
      </c>
      <c r="EC27" s="229">
        <v>0.13439999999999999</v>
      </c>
      <c r="ED27" s="228">
        <v>1.41</v>
      </c>
      <c r="EE27" s="229">
        <v>5.0000000000000001E-3</v>
      </c>
      <c r="EF27" s="230">
        <v>3410331</v>
      </c>
      <c r="EG27" s="230">
        <v>3912305</v>
      </c>
      <c r="EH27" s="229">
        <v>-0.1283</v>
      </c>
      <c r="EI27" s="229">
        <v>0.47060000000000002</v>
      </c>
      <c r="EJ27" s="231">
        <v>97982.07</v>
      </c>
      <c r="EK27" s="231">
        <v>63944.13</v>
      </c>
      <c r="EL27" s="231">
        <v>76038.75</v>
      </c>
      <c r="EM27" s="231">
        <v>5746</v>
      </c>
      <c r="EN27" s="231">
        <v>237964.95</v>
      </c>
      <c r="EO27" s="231">
        <v>188498.75</v>
      </c>
      <c r="EP27" s="231">
        <v>49466.2</v>
      </c>
      <c r="EQ27" s="229">
        <v>0.26240000000000002</v>
      </c>
      <c r="ER27" s="231">
        <v>117134</v>
      </c>
      <c r="ES27" s="231">
        <v>105881</v>
      </c>
      <c r="ET27" s="231">
        <v>290855</v>
      </c>
      <c r="EU27" s="231">
        <v>279476623</v>
      </c>
      <c r="EV27" s="231">
        <v>513870</v>
      </c>
      <c r="EW27" s="231">
        <v>509017</v>
      </c>
      <c r="EX27" s="231">
        <v>4853</v>
      </c>
      <c r="EY27" s="229">
        <v>9.4999999999999998E-3</v>
      </c>
      <c r="EZ27" s="229">
        <v>0.6583</v>
      </c>
      <c r="FA27" s="227" t="s">
        <v>555</v>
      </c>
      <c r="FB27" s="161">
        <f t="shared" si="0"/>
        <v>13887900</v>
      </c>
    </row>
    <row r="28" spans="1:158" ht="17.25" thickBot="1" x14ac:dyDescent="0.3">
      <c r="A28" s="226">
        <v>46129</v>
      </c>
      <c r="B28" s="227" t="s">
        <v>172</v>
      </c>
      <c r="C28" s="227" t="s">
        <v>601</v>
      </c>
      <c r="D28" s="228">
        <v>5200</v>
      </c>
      <c r="E28" s="228">
        <v>148.28</v>
      </c>
      <c r="F28" s="228">
        <v>149.19999999999999</v>
      </c>
      <c r="G28" s="228">
        <v>-0.92</v>
      </c>
      <c r="H28" s="229">
        <v>-6.1999999999999998E-3</v>
      </c>
      <c r="I28" s="228">
        <v>148.1</v>
      </c>
      <c r="J28" s="228">
        <v>148.86000000000001</v>
      </c>
      <c r="K28" s="228">
        <v>-0.76</v>
      </c>
      <c r="L28" s="229">
        <v>-5.1000000000000004E-3</v>
      </c>
      <c r="M28" s="228">
        <v>148.28</v>
      </c>
      <c r="N28" s="228">
        <v>149.19999999999999</v>
      </c>
      <c r="O28" s="228">
        <v>-0.92</v>
      </c>
      <c r="P28" s="229">
        <v>-6.1999999999999998E-3</v>
      </c>
      <c r="Q28" s="228">
        <v>149.11000000000001</v>
      </c>
      <c r="R28" s="228">
        <v>150.05000000000001</v>
      </c>
      <c r="S28" s="228">
        <v>-0.94</v>
      </c>
      <c r="T28" s="229">
        <v>-6.3E-3</v>
      </c>
      <c r="U28" s="228">
        <v>150.01</v>
      </c>
      <c r="V28" s="228">
        <v>150.91999999999999</v>
      </c>
      <c r="W28" s="228">
        <v>-0.91</v>
      </c>
      <c r="X28" s="229">
        <v>-6.0000000000000001E-3</v>
      </c>
      <c r="Y28" s="228">
        <v>0.18</v>
      </c>
      <c r="Z28" s="228">
        <v>0.34</v>
      </c>
      <c r="AA28" s="228">
        <v>-0.16</v>
      </c>
      <c r="AB28" s="229">
        <v>1.1999999999999999E-3</v>
      </c>
      <c r="AC28" s="228">
        <v>0.18</v>
      </c>
      <c r="AD28" s="228">
        <v>0.34</v>
      </c>
      <c r="AE28" s="228">
        <v>-0.16</v>
      </c>
      <c r="AF28" s="229">
        <v>1.1999999999999999E-3</v>
      </c>
      <c r="AG28" s="228">
        <v>1.01</v>
      </c>
      <c r="AH28" s="228">
        <v>1.19</v>
      </c>
      <c r="AI28" s="228">
        <v>-0.18</v>
      </c>
      <c r="AJ28" s="229">
        <v>6.7999999999999996E-3</v>
      </c>
      <c r="AK28" s="228">
        <v>1.91</v>
      </c>
      <c r="AL28" s="228">
        <v>2.06</v>
      </c>
      <c r="AM28" s="228">
        <v>-0.15</v>
      </c>
      <c r="AN28" s="229">
        <v>1.29E-2</v>
      </c>
      <c r="AO28" s="228">
        <v>148.15</v>
      </c>
      <c r="AP28" s="228">
        <v>148.97</v>
      </c>
      <c r="AQ28" s="228">
        <v>0</v>
      </c>
      <c r="AR28" s="230">
        <v>13993200</v>
      </c>
      <c r="AS28" s="230">
        <v>14071200</v>
      </c>
      <c r="AT28" s="230">
        <v>-78000</v>
      </c>
      <c r="AU28" s="229">
        <v>-5.4999999999999997E-3</v>
      </c>
      <c r="AV28" s="230">
        <v>11585600</v>
      </c>
      <c r="AW28" s="230">
        <v>11861200</v>
      </c>
      <c r="AX28" s="230">
        <v>-275600</v>
      </c>
      <c r="AY28" s="229">
        <v>-2.3199999999999998E-2</v>
      </c>
      <c r="AZ28" s="230">
        <v>2334800</v>
      </c>
      <c r="BA28" s="230">
        <v>2054000</v>
      </c>
      <c r="BB28" s="230">
        <v>280800</v>
      </c>
      <c r="BC28" s="229">
        <v>0.13669999999999999</v>
      </c>
      <c r="BD28" s="230">
        <v>72800</v>
      </c>
      <c r="BE28" s="230">
        <v>156000</v>
      </c>
      <c r="BF28" s="230">
        <v>-83200</v>
      </c>
      <c r="BG28" s="229">
        <v>-0.5333</v>
      </c>
      <c r="BH28" s="230">
        <v>23868000</v>
      </c>
      <c r="BI28" s="230">
        <v>22141600</v>
      </c>
      <c r="BJ28" s="230">
        <v>1726400</v>
      </c>
      <c r="BK28" s="229">
        <v>7.8E-2</v>
      </c>
      <c r="BL28" s="230">
        <v>11367200</v>
      </c>
      <c r="BM28" s="230">
        <v>13884000</v>
      </c>
      <c r="BN28" s="230">
        <v>-2516800</v>
      </c>
      <c r="BO28" s="229">
        <v>-0.18129999999999999</v>
      </c>
      <c r="BP28" s="230">
        <v>49228400</v>
      </c>
      <c r="BQ28" s="230">
        <v>50096800</v>
      </c>
      <c r="BR28" s="230">
        <v>-868400</v>
      </c>
      <c r="BS28" s="229">
        <v>-1.7299999999999999E-2</v>
      </c>
      <c r="BT28" s="230">
        <v>9186397</v>
      </c>
      <c r="BU28" s="230">
        <v>9792510</v>
      </c>
      <c r="BV28" s="230">
        <v>-606113</v>
      </c>
      <c r="BW28" s="229">
        <v>-6.1899999999999997E-2</v>
      </c>
      <c r="BX28" s="230">
        <v>56482400</v>
      </c>
      <c r="BY28" s="230">
        <v>56383600</v>
      </c>
      <c r="BZ28" s="230">
        <v>98800</v>
      </c>
      <c r="CA28" s="229">
        <v>1.8E-3</v>
      </c>
      <c r="CB28" s="230">
        <v>52026000</v>
      </c>
      <c r="CC28" s="230">
        <v>53045200</v>
      </c>
      <c r="CD28" s="230">
        <v>-1019200</v>
      </c>
      <c r="CE28" s="229">
        <v>-1.9199999999999998E-2</v>
      </c>
      <c r="CF28" s="230">
        <v>3894800</v>
      </c>
      <c r="CG28" s="230">
        <v>2849600</v>
      </c>
      <c r="CH28" s="230">
        <v>1045200</v>
      </c>
      <c r="CI28" s="229">
        <v>0.36680000000000001</v>
      </c>
      <c r="CJ28" s="230">
        <v>561600</v>
      </c>
      <c r="CK28" s="230">
        <v>488800</v>
      </c>
      <c r="CL28" s="230">
        <v>72800</v>
      </c>
      <c r="CM28" s="229">
        <v>0.1489</v>
      </c>
      <c r="CN28" s="230">
        <v>25625600</v>
      </c>
      <c r="CO28" s="230">
        <v>23514400</v>
      </c>
      <c r="CP28" s="230">
        <v>2111200</v>
      </c>
      <c r="CQ28" s="229">
        <v>8.9800000000000005E-2</v>
      </c>
      <c r="CR28" s="230">
        <v>22391200</v>
      </c>
      <c r="CS28" s="230">
        <v>22817600</v>
      </c>
      <c r="CT28" s="230">
        <v>-426400</v>
      </c>
      <c r="CU28" s="229">
        <v>-1.8700000000000001E-2</v>
      </c>
      <c r="CV28" s="230">
        <v>104499200</v>
      </c>
      <c r="CW28" s="230">
        <v>102715600</v>
      </c>
      <c r="CX28" s="230">
        <v>1783600</v>
      </c>
      <c r="CY28" s="229">
        <v>1.7399999999999999E-2</v>
      </c>
      <c r="CZ28" s="228">
        <v>40.79</v>
      </c>
      <c r="DA28" s="228">
        <v>40.74</v>
      </c>
      <c r="DB28" s="228">
        <v>0.05</v>
      </c>
      <c r="DC28" s="228">
        <v>0.05</v>
      </c>
      <c r="DD28" s="228">
        <v>43.06</v>
      </c>
      <c r="DE28" s="228">
        <v>43.16</v>
      </c>
      <c r="DF28" s="228">
        <v>-2.27</v>
      </c>
      <c r="DG28" s="228">
        <v>-0.1</v>
      </c>
      <c r="DH28" s="228">
        <v>40.35</v>
      </c>
      <c r="DI28" s="228">
        <v>39.950000000000003</v>
      </c>
      <c r="DJ28" s="228">
        <v>0.4</v>
      </c>
      <c r="DK28" s="228">
        <v>0.4</v>
      </c>
      <c r="DL28" s="228">
        <v>41.69</v>
      </c>
      <c r="DM28" s="228">
        <v>42.01</v>
      </c>
      <c r="DN28" s="228">
        <v>-0.32</v>
      </c>
      <c r="DO28" s="228">
        <v>-0.32</v>
      </c>
      <c r="DP28" s="228">
        <v>0.87</v>
      </c>
      <c r="DQ28" s="228">
        <v>0.97</v>
      </c>
      <c r="DR28" s="228">
        <v>-0.1</v>
      </c>
      <c r="DS28" s="229">
        <v>-0.1031</v>
      </c>
      <c r="DT28" s="228">
        <v>150</v>
      </c>
      <c r="DU28" s="228">
        <v>140</v>
      </c>
      <c r="DV28" s="228">
        <v>0.48</v>
      </c>
      <c r="DW28" s="228">
        <v>0.63</v>
      </c>
      <c r="DX28" s="228">
        <v>-0.15</v>
      </c>
      <c r="DY28" s="229">
        <v>-0.23810000000000001</v>
      </c>
      <c r="DZ28" s="229">
        <v>7.8899999999999998E-2</v>
      </c>
      <c r="EA28" s="230">
        <v>3338400</v>
      </c>
      <c r="EB28" s="229">
        <v>5.5999999999999999E-3</v>
      </c>
      <c r="EC28" s="229">
        <v>7.8899999999999998E-2</v>
      </c>
      <c r="ED28" s="228">
        <v>0.82</v>
      </c>
      <c r="EE28" s="229">
        <v>5.4999999999999997E-3</v>
      </c>
      <c r="EF28" s="230">
        <v>3541384</v>
      </c>
      <c r="EG28" s="230">
        <v>3364511</v>
      </c>
      <c r="EH28" s="229">
        <v>5.2600000000000001E-2</v>
      </c>
      <c r="EI28" s="229">
        <v>0.38550000000000001</v>
      </c>
      <c r="EJ28" s="231">
        <v>37072.980000000003</v>
      </c>
      <c r="EK28" s="231">
        <v>16638.71</v>
      </c>
      <c r="EL28" s="231">
        <v>20751.419999999998</v>
      </c>
      <c r="EM28" s="231">
        <v>2943</v>
      </c>
      <c r="EN28" s="231">
        <v>74463.11</v>
      </c>
      <c r="EO28" s="231">
        <v>76442.66</v>
      </c>
      <c r="EP28" s="231">
        <v>-1979.55</v>
      </c>
      <c r="EQ28" s="229">
        <v>-2.5899999999999999E-2</v>
      </c>
      <c r="ER28" s="231">
        <v>39013</v>
      </c>
      <c r="ES28" s="231">
        <v>31944</v>
      </c>
      <c r="ET28" s="231">
        <v>83794</v>
      </c>
      <c r="EU28" s="231">
        <v>181770921</v>
      </c>
      <c r="EV28" s="231">
        <v>154751</v>
      </c>
      <c r="EW28" s="231">
        <v>152463</v>
      </c>
      <c r="EX28" s="231">
        <v>2288</v>
      </c>
      <c r="EY28" s="229">
        <v>1.4999999999999999E-2</v>
      </c>
      <c r="EZ28" s="229">
        <v>0.57489999999999997</v>
      </c>
      <c r="FA28" s="227" t="s">
        <v>566</v>
      </c>
      <c r="FB28" s="161">
        <f t="shared" si="0"/>
        <v>4456400</v>
      </c>
    </row>
    <row r="29" spans="1:158" ht="17.25" thickBot="1" x14ac:dyDescent="0.3">
      <c r="A29" s="226">
        <v>46129</v>
      </c>
      <c r="B29" s="227" t="s">
        <v>181</v>
      </c>
      <c r="C29" s="227" t="s">
        <v>182</v>
      </c>
      <c r="D29" s="228">
        <v>30</v>
      </c>
      <c r="E29" s="231">
        <v>56666.8</v>
      </c>
      <c r="F29" s="231">
        <v>56209.2</v>
      </c>
      <c r="G29" s="228">
        <v>457.6</v>
      </c>
      <c r="H29" s="229">
        <v>8.0999999999999996E-3</v>
      </c>
      <c r="I29" s="231">
        <v>56565.7</v>
      </c>
      <c r="J29" s="231">
        <v>56086.400000000001</v>
      </c>
      <c r="K29" s="228">
        <v>479.3</v>
      </c>
      <c r="L29" s="229">
        <v>8.5000000000000006E-3</v>
      </c>
      <c r="M29" s="231">
        <v>56666.8</v>
      </c>
      <c r="N29" s="231">
        <v>56209.2</v>
      </c>
      <c r="O29" s="228">
        <v>457.6</v>
      </c>
      <c r="P29" s="229">
        <v>8.0999999999999996E-3</v>
      </c>
      <c r="Q29" s="231">
        <v>56928.800000000003</v>
      </c>
      <c r="R29" s="231">
        <v>56482.2</v>
      </c>
      <c r="S29" s="228">
        <v>446.6</v>
      </c>
      <c r="T29" s="229">
        <v>7.9000000000000008E-3</v>
      </c>
      <c r="U29" s="231">
        <v>57250</v>
      </c>
      <c r="V29" s="231">
        <v>56787.6</v>
      </c>
      <c r="W29" s="228">
        <v>462.4</v>
      </c>
      <c r="X29" s="229">
        <v>8.0999999999999996E-3</v>
      </c>
      <c r="Y29" s="228">
        <v>101.1</v>
      </c>
      <c r="Z29" s="228">
        <v>122.8</v>
      </c>
      <c r="AA29" s="228">
        <v>-21.7</v>
      </c>
      <c r="AB29" s="229">
        <v>1.8E-3</v>
      </c>
      <c r="AC29" s="228">
        <v>101.1</v>
      </c>
      <c r="AD29" s="228">
        <v>122.8</v>
      </c>
      <c r="AE29" s="228">
        <v>-21.7</v>
      </c>
      <c r="AF29" s="229">
        <v>1.8E-3</v>
      </c>
      <c r="AG29" s="228">
        <v>363.1</v>
      </c>
      <c r="AH29" s="228">
        <v>395.8</v>
      </c>
      <c r="AI29" s="228">
        <v>-32.700000000000003</v>
      </c>
      <c r="AJ29" s="229">
        <v>6.4000000000000003E-3</v>
      </c>
      <c r="AK29" s="228">
        <v>684.3</v>
      </c>
      <c r="AL29" s="228">
        <v>701.2</v>
      </c>
      <c r="AM29" s="228">
        <v>-16.899999999999999</v>
      </c>
      <c r="AN29" s="229">
        <v>1.21E-2</v>
      </c>
      <c r="AO29" s="231">
        <v>56481.22</v>
      </c>
      <c r="AP29" s="231">
        <v>56700.69</v>
      </c>
      <c r="AQ29" s="228">
        <v>0</v>
      </c>
      <c r="AR29" s="230">
        <v>763170</v>
      </c>
      <c r="AS29" s="230">
        <v>933180</v>
      </c>
      <c r="AT29" s="230">
        <v>-170010</v>
      </c>
      <c r="AU29" s="229">
        <v>-0.1822</v>
      </c>
      <c r="AV29" s="230">
        <v>603690</v>
      </c>
      <c r="AW29" s="230">
        <v>752430</v>
      </c>
      <c r="AX29" s="230">
        <v>-148740</v>
      </c>
      <c r="AY29" s="229">
        <v>-0.19769999999999999</v>
      </c>
      <c r="AZ29" s="230">
        <v>133560</v>
      </c>
      <c r="BA29" s="230">
        <v>143910</v>
      </c>
      <c r="BB29" s="230">
        <v>-10350</v>
      </c>
      <c r="BC29" s="229">
        <v>-7.1900000000000006E-2</v>
      </c>
      <c r="BD29" s="230">
        <v>25920</v>
      </c>
      <c r="BE29" s="230">
        <v>36840</v>
      </c>
      <c r="BF29" s="230">
        <v>-10920</v>
      </c>
      <c r="BG29" s="229">
        <v>-0.2964</v>
      </c>
      <c r="BH29" s="230">
        <v>40643610</v>
      </c>
      <c r="BI29" s="230">
        <v>39677310</v>
      </c>
      <c r="BJ29" s="230">
        <v>966300</v>
      </c>
      <c r="BK29" s="229">
        <v>2.4400000000000002E-2</v>
      </c>
      <c r="BL29" s="230">
        <v>35739930</v>
      </c>
      <c r="BM29" s="230">
        <v>37845840</v>
      </c>
      <c r="BN29" s="230">
        <v>-2105910</v>
      </c>
      <c r="BO29" s="229">
        <v>-5.5599999999999997E-2</v>
      </c>
      <c r="BP29" s="230">
        <v>77146710</v>
      </c>
      <c r="BQ29" s="230">
        <v>78456330</v>
      </c>
      <c r="BR29" s="230">
        <v>-1309620</v>
      </c>
      <c r="BS29" s="229">
        <v>-1.67E-2</v>
      </c>
      <c r="BT29" s="228">
        <v>0</v>
      </c>
      <c r="BU29" s="228">
        <v>0</v>
      </c>
      <c r="BV29" s="228">
        <v>0</v>
      </c>
      <c r="BW29" s="229">
        <v>0</v>
      </c>
      <c r="BX29" s="230">
        <v>2602470</v>
      </c>
      <c r="BY29" s="230">
        <v>2639070</v>
      </c>
      <c r="BZ29" s="230">
        <v>-36600</v>
      </c>
      <c r="CA29" s="229">
        <v>-1.3899999999999999E-2</v>
      </c>
      <c r="CB29" s="230">
        <v>1980030</v>
      </c>
      <c r="CC29" s="230">
        <v>2069340</v>
      </c>
      <c r="CD29" s="230">
        <v>-89310</v>
      </c>
      <c r="CE29" s="229">
        <v>-4.3200000000000002E-2</v>
      </c>
      <c r="CF29" s="230">
        <v>528360</v>
      </c>
      <c r="CG29" s="230">
        <v>475710</v>
      </c>
      <c r="CH29" s="230">
        <v>52650</v>
      </c>
      <c r="CI29" s="229">
        <v>0.11070000000000001</v>
      </c>
      <c r="CJ29" s="230">
        <v>94080</v>
      </c>
      <c r="CK29" s="230">
        <v>94020</v>
      </c>
      <c r="CL29" s="228">
        <v>60</v>
      </c>
      <c r="CM29" s="229">
        <v>5.9999999999999995E-4</v>
      </c>
      <c r="CN29" s="230">
        <v>19926240</v>
      </c>
      <c r="CO29" s="230">
        <v>19325910</v>
      </c>
      <c r="CP29" s="230">
        <v>600330</v>
      </c>
      <c r="CQ29" s="229">
        <v>3.1099999999999999E-2</v>
      </c>
      <c r="CR29" s="230">
        <v>18585390</v>
      </c>
      <c r="CS29" s="230">
        <v>16731750</v>
      </c>
      <c r="CT29" s="230">
        <v>1853640</v>
      </c>
      <c r="CU29" s="229">
        <v>0.1108</v>
      </c>
      <c r="CV29" s="230">
        <v>41114100</v>
      </c>
      <c r="CW29" s="230">
        <v>38696730</v>
      </c>
      <c r="CX29" s="230">
        <v>2417370</v>
      </c>
      <c r="CY29" s="229">
        <v>6.25E-2</v>
      </c>
      <c r="CZ29" s="228">
        <v>21.74</v>
      </c>
      <c r="DA29" s="228">
        <v>22.31</v>
      </c>
      <c r="DB29" s="228">
        <v>-0.56999999999999995</v>
      </c>
      <c r="DC29" s="228">
        <v>-0.56999999999999995</v>
      </c>
      <c r="DD29" s="228">
        <v>21.37</v>
      </c>
      <c r="DE29" s="228">
        <v>21.4</v>
      </c>
      <c r="DF29" s="228">
        <v>0.37</v>
      </c>
      <c r="DG29" s="228">
        <v>-0.03</v>
      </c>
      <c r="DH29" s="228">
        <v>19.78</v>
      </c>
      <c r="DI29" s="228">
        <v>20.41</v>
      </c>
      <c r="DJ29" s="228">
        <v>-0.63</v>
      </c>
      <c r="DK29" s="228">
        <v>-0.63</v>
      </c>
      <c r="DL29" s="228">
        <v>23.97</v>
      </c>
      <c r="DM29" s="228">
        <v>24.29</v>
      </c>
      <c r="DN29" s="228">
        <v>-0.32</v>
      </c>
      <c r="DO29" s="228">
        <v>-0.32</v>
      </c>
      <c r="DP29" s="228">
        <v>0.93</v>
      </c>
      <c r="DQ29" s="228">
        <v>0.87</v>
      </c>
      <c r="DR29" s="228">
        <v>0.06</v>
      </c>
      <c r="DS29" s="229">
        <v>6.9000000000000006E-2</v>
      </c>
      <c r="DT29" s="231">
        <v>60000</v>
      </c>
      <c r="DU29" s="231">
        <v>60000</v>
      </c>
      <c r="DV29" s="228">
        <v>0.88</v>
      </c>
      <c r="DW29" s="228">
        <v>0.95</v>
      </c>
      <c r="DX29" s="228">
        <v>-7.0000000000000007E-2</v>
      </c>
      <c r="DY29" s="229">
        <v>-7.3700000000000002E-2</v>
      </c>
      <c r="DZ29" s="229">
        <v>0.2392</v>
      </c>
      <c r="EA29" s="230">
        <v>569730</v>
      </c>
      <c r="EB29" s="229">
        <v>4.5999999999999999E-3</v>
      </c>
      <c r="EC29" s="229">
        <v>0.2392</v>
      </c>
      <c r="ED29" s="228">
        <v>219.47</v>
      </c>
      <c r="EE29" s="229">
        <v>3.8999999999999998E-3</v>
      </c>
      <c r="EF29" s="228">
        <v>0</v>
      </c>
      <c r="EG29" s="228">
        <v>0</v>
      </c>
      <c r="EH29" s="229">
        <v>0</v>
      </c>
      <c r="EI29" s="229">
        <v>0</v>
      </c>
      <c r="EJ29" s="231">
        <v>23799050.649999999</v>
      </c>
      <c r="EK29" s="231">
        <v>19354078.07</v>
      </c>
      <c r="EL29" s="231">
        <v>431490.61</v>
      </c>
      <c r="EM29" s="228">
        <v>0</v>
      </c>
      <c r="EN29" s="231">
        <v>43584619.329999998</v>
      </c>
      <c r="EO29" s="231">
        <v>44485260.729999997</v>
      </c>
      <c r="EP29" s="231">
        <v>-900641.4</v>
      </c>
      <c r="EQ29" s="229">
        <v>-2.0199999999999999E-2</v>
      </c>
      <c r="ER29" s="231">
        <v>11573844</v>
      </c>
      <c r="ES29" s="231">
        <v>9988426</v>
      </c>
      <c r="ET29" s="231">
        <v>1476669</v>
      </c>
      <c r="EU29" s="228">
        <v>0</v>
      </c>
      <c r="EV29" s="231">
        <v>23038939</v>
      </c>
      <c r="EW29" s="231">
        <v>21660978</v>
      </c>
      <c r="EX29" s="231">
        <v>1377961</v>
      </c>
      <c r="EY29" s="229">
        <v>6.3600000000000004E-2</v>
      </c>
      <c r="EZ29" s="229">
        <v>0</v>
      </c>
      <c r="FA29" s="227" t="s">
        <v>693</v>
      </c>
      <c r="FB29" s="161">
        <f t="shared" si="0"/>
        <v>622440</v>
      </c>
    </row>
    <row r="30" spans="1:158" ht="17.25" thickBot="1" x14ac:dyDescent="0.3">
      <c r="A30" s="226">
        <v>46129</v>
      </c>
      <c r="B30" s="227" t="s">
        <v>184</v>
      </c>
      <c r="C30" s="227" t="s">
        <v>669</v>
      </c>
      <c r="D30" s="228">
        <v>350</v>
      </c>
      <c r="E30" s="231">
        <v>1380.8</v>
      </c>
      <c r="F30" s="231">
        <v>1359.7</v>
      </c>
      <c r="G30" s="228">
        <v>21.1</v>
      </c>
      <c r="H30" s="229">
        <v>1.55E-2</v>
      </c>
      <c r="I30" s="231">
        <v>1380.7</v>
      </c>
      <c r="J30" s="231">
        <v>1359.4</v>
      </c>
      <c r="K30" s="228">
        <v>21.3</v>
      </c>
      <c r="L30" s="229">
        <v>1.5699999999999999E-2</v>
      </c>
      <c r="M30" s="231">
        <v>1380.8</v>
      </c>
      <c r="N30" s="231">
        <v>1359.7</v>
      </c>
      <c r="O30" s="228">
        <v>21.1</v>
      </c>
      <c r="P30" s="229">
        <v>1.55E-2</v>
      </c>
      <c r="Q30" s="231">
        <v>1367.8</v>
      </c>
      <c r="R30" s="231">
        <v>1345.7</v>
      </c>
      <c r="S30" s="228">
        <v>22.1</v>
      </c>
      <c r="T30" s="229">
        <v>1.6400000000000001E-2</v>
      </c>
      <c r="U30" s="231">
        <v>1359.9</v>
      </c>
      <c r="V30" s="231">
        <v>1339.5</v>
      </c>
      <c r="W30" s="228">
        <v>20.399999999999999</v>
      </c>
      <c r="X30" s="229">
        <v>1.52E-2</v>
      </c>
      <c r="Y30" s="228">
        <v>0.1</v>
      </c>
      <c r="Z30" s="228">
        <v>0.3</v>
      </c>
      <c r="AA30" s="228">
        <v>-0.2</v>
      </c>
      <c r="AB30" s="229">
        <v>1E-4</v>
      </c>
      <c r="AC30" s="228">
        <v>0.1</v>
      </c>
      <c r="AD30" s="228">
        <v>0.3</v>
      </c>
      <c r="AE30" s="228">
        <v>-0.2</v>
      </c>
      <c r="AF30" s="229">
        <v>1E-4</v>
      </c>
      <c r="AG30" s="228">
        <v>-12.9</v>
      </c>
      <c r="AH30" s="228">
        <v>-13.7</v>
      </c>
      <c r="AI30" s="228">
        <v>0.8</v>
      </c>
      <c r="AJ30" s="229">
        <v>-9.2999999999999992E-3</v>
      </c>
      <c r="AK30" s="228">
        <v>-20.8</v>
      </c>
      <c r="AL30" s="228">
        <v>-19.899999999999999</v>
      </c>
      <c r="AM30" s="228">
        <v>-0.9</v>
      </c>
      <c r="AN30" s="229">
        <v>-1.5100000000000001E-2</v>
      </c>
      <c r="AO30" s="231">
        <v>1376.31</v>
      </c>
      <c r="AP30" s="231">
        <v>1362.2</v>
      </c>
      <c r="AQ30" s="228">
        <v>0</v>
      </c>
      <c r="AR30" s="230">
        <v>1185800</v>
      </c>
      <c r="AS30" s="230">
        <v>1647800</v>
      </c>
      <c r="AT30" s="230">
        <v>-462000</v>
      </c>
      <c r="AU30" s="229">
        <v>-0.28039999999999998</v>
      </c>
      <c r="AV30" s="230">
        <v>940800</v>
      </c>
      <c r="AW30" s="230">
        <v>1272950</v>
      </c>
      <c r="AX30" s="230">
        <v>-332150</v>
      </c>
      <c r="AY30" s="229">
        <v>-0.26090000000000002</v>
      </c>
      <c r="AZ30" s="230">
        <v>222950</v>
      </c>
      <c r="BA30" s="230">
        <v>329000</v>
      </c>
      <c r="BB30" s="230">
        <v>-106050</v>
      </c>
      <c r="BC30" s="229">
        <v>-0.32229999999999998</v>
      </c>
      <c r="BD30" s="230">
        <v>22050</v>
      </c>
      <c r="BE30" s="230">
        <v>45850</v>
      </c>
      <c r="BF30" s="230">
        <v>-23800</v>
      </c>
      <c r="BG30" s="229">
        <v>-0.51910000000000001</v>
      </c>
      <c r="BH30" s="230">
        <v>6002500</v>
      </c>
      <c r="BI30" s="230">
        <v>4857650</v>
      </c>
      <c r="BJ30" s="230">
        <v>1144850</v>
      </c>
      <c r="BK30" s="229">
        <v>0.23569999999999999</v>
      </c>
      <c r="BL30" s="230">
        <v>3139850</v>
      </c>
      <c r="BM30" s="230">
        <v>2332050</v>
      </c>
      <c r="BN30" s="230">
        <v>807800</v>
      </c>
      <c r="BO30" s="229">
        <v>0.34639999999999999</v>
      </c>
      <c r="BP30" s="230">
        <v>10328150</v>
      </c>
      <c r="BQ30" s="230">
        <v>8837500</v>
      </c>
      <c r="BR30" s="230">
        <v>1490650</v>
      </c>
      <c r="BS30" s="229">
        <v>0.16869999999999999</v>
      </c>
      <c r="BT30" s="230">
        <v>1273066</v>
      </c>
      <c r="BU30" s="230">
        <v>1858266</v>
      </c>
      <c r="BV30" s="230">
        <v>-585200</v>
      </c>
      <c r="BW30" s="229">
        <v>-0.31490000000000001</v>
      </c>
      <c r="BX30" s="230">
        <v>3944850</v>
      </c>
      <c r="BY30" s="230">
        <v>4013450</v>
      </c>
      <c r="BZ30" s="230">
        <v>-68600</v>
      </c>
      <c r="CA30" s="229">
        <v>-1.7100000000000001E-2</v>
      </c>
      <c r="CB30" s="230">
        <v>3113600</v>
      </c>
      <c r="CC30" s="230">
        <v>3214050</v>
      </c>
      <c r="CD30" s="230">
        <v>-100450</v>
      </c>
      <c r="CE30" s="229">
        <v>-3.1300000000000001E-2</v>
      </c>
      <c r="CF30" s="230">
        <v>766850</v>
      </c>
      <c r="CG30" s="230">
        <v>732550</v>
      </c>
      <c r="CH30" s="230">
        <v>34300</v>
      </c>
      <c r="CI30" s="229">
        <v>4.6800000000000001E-2</v>
      </c>
      <c r="CJ30" s="230">
        <v>64400</v>
      </c>
      <c r="CK30" s="230">
        <v>66850</v>
      </c>
      <c r="CL30" s="230">
        <v>-2450</v>
      </c>
      <c r="CM30" s="229">
        <v>-3.6600000000000001E-2</v>
      </c>
      <c r="CN30" s="230">
        <v>3315550</v>
      </c>
      <c r="CO30" s="230">
        <v>3407250</v>
      </c>
      <c r="CP30" s="230">
        <v>-91700</v>
      </c>
      <c r="CQ30" s="229">
        <v>-2.69E-2</v>
      </c>
      <c r="CR30" s="230">
        <v>2664200</v>
      </c>
      <c r="CS30" s="230">
        <v>2529450</v>
      </c>
      <c r="CT30" s="230">
        <v>134750</v>
      </c>
      <c r="CU30" s="229">
        <v>5.33E-2</v>
      </c>
      <c r="CV30" s="230">
        <v>9924600</v>
      </c>
      <c r="CW30" s="230">
        <v>9950150</v>
      </c>
      <c r="CX30" s="230">
        <v>-25550</v>
      </c>
      <c r="CY30" s="229">
        <v>-2.5999999999999999E-3</v>
      </c>
      <c r="CZ30" s="228">
        <v>39.479999999999997</v>
      </c>
      <c r="DA30" s="228">
        <v>40.14</v>
      </c>
      <c r="DB30" s="228">
        <v>-0.66</v>
      </c>
      <c r="DC30" s="228">
        <v>-0.66</v>
      </c>
      <c r="DD30" s="228">
        <v>53.52</v>
      </c>
      <c r="DE30" s="228">
        <v>53.61</v>
      </c>
      <c r="DF30" s="228">
        <v>-14.04</v>
      </c>
      <c r="DG30" s="228">
        <v>-0.09</v>
      </c>
      <c r="DH30" s="228">
        <v>37.53</v>
      </c>
      <c r="DI30" s="228">
        <v>38.67</v>
      </c>
      <c r="DJ30" s="228">
        <v>-1.1399999999999999</v>
      </c>
      <c r="DK30" s="228">
        <v>-1.1399999999999999</v>
      </c>
      <c r="DL30" s="228">
        <v>43.21</v>
      </c>
      <c r="DM30" s="228">
        <v>43.2</v>
      </c>
      <c r="DN30" s="228">
        <v>0.01</v>
      </c>
      <c r="DO30" s="228">
        <v>0.01</v>
      </c>
      <c r="DP30" s="228">
        <v>0.8</v>
      </c>
      <c r="DQ30" s="228">
        <v>0.74</v>
      </c>
      <c r="DR30" s="228">
        <v>0.06</v>
      </c>
      <c r="DS30" s="229">
        <v>8.1100000000000005E-2</v>
      </c>
      <c r="DT30" s="231">
        <v>1400</v>
      </c>
      <c r="DU30" s="231">
        <v>1360</v>
      </c>
      <c r="DV30" s="228">
        <v>0.52</v>
      </c>
      <c r="DW30" s="228">
        <v>0.48</v>
      </c>
      <c r="DX30" s="228">
        <v>0.04</v>
      </c>
      <c r="DY30" s="229">
        <v>8.3299999999999999E-2</v>
      </c>
      <c r="DZ30" s="229">
        <v>0.2107</v>
      </c>
      <c r="EA30" s="230">
        <v>799400</v>
      </c>
      <c r="EB30" s="229">
        <v>-9.4000000000000004E-3</v>
      </c>
      <c r="EC30" s="229">
        <v>0.2107</v>
      </c>
      <c r="ED30" s="228">
        <v>-14.11</v>
      </c>
      <c r="EE30" s="229">
        <v>-1.03E-2</v>
      </c>
      <c r="EF30" s="230">
        <v>403858</v>
      </c>
      <c r="EG30" s="230">
        <v>455985</v>
      </c>
      <c r="EH30" s="229">
        <v>-0.1143</v>
      </c>
      <c r="EI30" s="229">
        <v>0.31719999999999998</v>
      </c>
      <c r="EJ30" s="231">
        <v>86962.94</v>
      </c>
      <c r="EK30" s="231">
        <v>41322.86</v>
      </c>
      <c r="EL30" s="231">
        <v>16284.15</v>
      </c>
      <c r="EM30" s="231">
        <v>3433</v>
      </c>
      <c r="EN30" s="231">
        <v>144569.95000000001</v>
      </c>
      <c r="EO30" s="231">
        <v>122401.49</v>
      </c>
      <c r="EP30" s="231">
        <v>22168.46</v>
      </c>
      <c r="EQ30" s="229">
        <v>0.18110000000000001</v>
      </c>
      <c r="ER30" s="231">
        <v>45120</v>
      </c>
      <c r="ES30" s="231">
        <v>32958</v>
      </c>
      <c r="ET30" s="231">
        <v>54357</v>
      </c>
      <c r="EU30" s="231">
        <v>13786716</v>
      </c>
      <c r="EV30" s="231">
        <v>132434</v>
      </c>
      <c r="EW30" s="231">
        <v>131867</v>
      </c>
      <c r="EX30" s="228">
        <v>567</v>
      </c>
      <c r="EY30" s="229">
        <v>4.3E-3</v>
      </c>
      <c r="EZ30" s="229">
        <v>0.71989999999999998</v>
      </c>
      <c r="FA30" s="227" t="s">
        <v>693</v>
      </c>
      <c r="FB30" s="161">
        <f t="shared" si="0"/>
        <v>831250</v>
      </c>
    </row>
    <row r="31" spans="1:158" ht="17.25" thickBot="1" x14ac:dyDescent="0.3">
      <c r="A31" s="226">
        <v>46129</v>
      </c>
      <c r="B31" s="227" t="s">
        <v>184</v>
      </c>
      <c r="C31" s="227" t="s">
        <v>185</v>
      </c>
      <c r="D31" s="228">
        <v>1425</v>
      </c>
      <c r="E31" s="228">
        <v>462.9</v>
      </c>
      <c r="F31" s="228">
        <v>456.55</v>
      </c>
      <c r="G31" s="228">
        <v>6.35</v>
      </c>
      <c r="H31" s="229">
        <v>1.3899999999999999E-2</v>
      </c>
      <c r="I31" s="228">
        <v>462.75</v>
      </c>
      <c r="J31" s="228">
        <v>455.65</v>
      </c>
      <c r="K31" s="228">
        <v>7.1</v>
      </c>
      <c r="L31" s="229">
        <v>1.5599999999999999E-2</v>
      </c>
      <c r="M31" s="228">
        <v>462.9</v>
      </c>
      <c r="N31" s="228">
        <v>456.55</v>
      </c>
      <c r="O31" s="228">
        <v>6.35</v>
      </c>
      <c r="P31" s="229">
        <v>1.3899999999999999E-2</v>
      </c>
      <c r="Q31" s="228">
        <v>465.55</v>
      </c>
      <c r="R31" s="228">
        <v>459.25</v>
      </c>
      <c r="S31" s="228">
        <v>6.3</v>
      </c>
      <c r="T31" s="229">
        <v>1.37E-2</v>
      </c>
      <c r="U31" s="228">
        <v>468.4</v>
      </c>
      <c r="V31" s="228">
        <v>461.9</v>
      </c>
      <c r="W31" s="228">
        <v>6.5</v>
      </c>
      <c r="X31" s="229">
        <v>1.41E-2</v>
      </c>
      <c r="Y31" s="228">
        <v>0.15</v>
      </c>
      <c r="Z31" s="228">
        <v>0.9</v>
      </c>
      <c r="AA31" s="228">
        <v>-0.75</v>
      </c>
      <c r="AB31" s="229">
        <v>2.9999999999999997E-4</v>
      </c>
      <c r="AC31" s="228">
        <v>0.15</v>
      </c>
      <c r="AD31" s="228">
        <v>0.9</v>
      </c>
      <c r="AE31" s="228">
        <v>-0.75</v>
      </c>
      <c r="AF31" s="229">
        <v>2.9999999999999997E-4</v>
      </c>
      <c r="AG31" s="228">
        <v>2.8</v>
      </c>
      <c r="AH31" s="228">
        <v>3.6</v>
      </c>
      <c r="AI31" s="228">
        <v>-0.8</v>
      </c>
      <c r="AJ31" s="229">
        <v>6.1000000000000004E-3</v>
      </c>
      <c r="AK31" s="228">
        <v>5.65</v>
      </c>
      <c r="AL31" s="228">
        <v>6.25</v>
      </c>
      <c r="AM31" s="228">
        <v>-0.6</v>
      </c>
      <c r="AN31" s="229">
        <v>1.2200000000000001E-2</v>
      </c>
      <c r="AO31" s="228">
        <v>460.06</v>
      </c>
      <c r="AP31" s="228">
        <v>462.56</v>
      </c>
      <c r="AQ31" s="228">
        <v>0</v>
      </c>
      <c r="AR31" s="230">
        <v>12468750</v>
      </c>
      <c r="AS31" s="230">
        <v>14604825</v>
      </c>
      <c r="AT31" s="230">
        <v>-2136075</v>
      </c>
      <c r="AU31" s="229">
        <v>-0.14630000000000001</v>
      </c>
      <c r="AV31" s="230">
        <v>10106100</v>
      </c>
      <c r="AW31" s="230">
        <v>12223650</v>
      </c>
      <c r="AX31" s="230">
        <v>-2117550</v>
      </c>
      <c r="AY31" s="229">
        <v>-0.17319999999999999</v>
      </c>
      <c r="AZ31" s="230">
        <v>2013525</v>
      </c>
      <c r="BA31" s="230">
        <v>2043450</v>
      </c>
      <c r="BB31" s="230">
        <v>-29925</v>
      </c>
      <c r="BC31" s="229">
        <v>-1.46E-2</v>
      </c>
      <c r="BD31" s="230">
        <v>349125</v>
      </c>
      <c r="BE31" s="230">
        <v>337725</v>
      </c>
      <c r="BF31" s="230">
        <v>11400</v>
      </c>
      <c r="BG31" s="229">
        <v>3.3799999999999997E-2</v>
      </c>
      <c r="BH31" s="230">
        <v>77725200</v>
      </c>
      <c r="BI31" s="230">
        <v>70823925</v>
      </c>
      <c r="BJ31" s="230">
        <v>6901275</v>
      </c>
      <c r="BK31" s="229">
        <v>9.74E-2</v>
      </c>
      <c r="BL31" s="230">
        <v>38618925</v>
      </c>
      <c r="BM31" s="230">
        <v>32961675</v>
      </c>
      <c r="BN31" s="230">
        <v>5657250</v>
      </c>
      <c r="BO31" s="229">
        <v>0.1716</v>
      </c>
      <c r="BP31" s="230">
        <v>128812875</v>
      </c>
      <c r="BQ31" s="230">
        <v>118390425</v>
      </c>
      <c r="BR31" s="230">
        <v>10422450</v>
      </c>
      <c r="BS31" s="229">
        <v>8.7999999999999995E-2</v>
      </c>
      <c r="BT31" s="230">
        <v>14792143</v>
      </c>
      <c r="BU31" s="230">
        <v>12746989</v>
      </c>
      <c r="BV31" s="230">
        <v>2045154</v>
      </c>
      <c r="BW31" s="229">
        <v>0.16039999999999999</v>
      </c>
      <c r="BX31" s="230">
        <v>105736425</v>
      </c>
      <c r="BY31" s="230">
        <v>105789150</v>
      </c>
      <c r="BZ31" s="230">
        <v>-52725</v>
      </c>
      <c r="CA31" s="229">
        <v>-5.0000000000000001E-4</v>
      </c>
      <c r="CB31" s="230">
        <v>90809550</v>
      </c>
      <c r="CC31" s="230">
        <v>91559100</v>
      </c>
      <c r="CD31" s="230">
        <v>-749550</v>
      </c>
      <c r="CE31" s="229">
        <v>-8.2000000000000007E-3</v>
      </c>
      <c r="CF31" s="230">
        <v>10854225</v>
      </c>
      <c r="CG31" s="230">
        <v>10254300</v>
      </c>
      <c r="CH31" s="230">
        <v>599925</v>
      </c>
      <c r="CI31" s="229">
        <v>5.8500000000000003E-2</v>
      </c>
      <c r="CJ31" s="230">
        <v>4072650</v>
      </c>
      <c r="CK31" s="230">
        <v>3975750</v>
      </c>
      <c r="CL31" s="230">
        <v>96900</v>
      </c>
      <c r="CM31" s="229">
        <v>2.4400000000000002E-2</v>
      </c>
      <c r="CN31" s="230">
        <v>41927775</v>
      </c>
      <c r="CO31" s="230">
        <v>41283675</v>
      </c>
      <c r="CP31" s="230">
        <v>644100</v>
      </c>
      <c r="CQ31" s="229">
        <v>1.5599999999999999E-2</v>
      </c>
      <c r="CR31" s="230">
        <v>31526700</v>
      </c>
      <c r="CS31" s="230">
        <v>29459025</v>
      </c>
      <c r="CT31" s="230">
        <v>2067675</v>
      </c>
      <c r="CU31" s="229">
        <v>7.0199999999999999E-2</v>
      </c>
      <c r="CV31" s="230">
        <v>179190900</v>
      </c>
      <c r="CW31" s="230">
        <v>176531850</v>
      </c>
      <c r="CX31" s="230">
        <v>2659050</v>
      </c>
      <c r="CY31" s="229">
        <v>1.5100000000000001E-2</v>
      </c>
      <c r="CZ31" s="228">
        <v>31.06</v>
      </c>
      <c r="DA31" s="228">
        <v>31.25</v>
      </c>
      <c r="DB31" s="228">
        <v>-0.19</v>
      </c>
      <c r="DC31" s="228">
        <v>-0.19</v>
      </c>
      <c r="DD31" s="228">
        <v>37.28</v>
      </c>
      <c r="DE31" s="228">
        <v>37.32</v>
      </c>
      <c r="DF31" s="228">
        <v>-6.22</v>
      </c>
      <c r="DG31" s="228">
        <v>-0.04</v>
      </c>
      <c r="DH31" s="228">
        <v>29.9</v>
      </c>
      <c r="DI31" s="228">
        <v>30.17</v>
      </c>
      <c r="DJ31" s="228">
        <v>-0.27</v>
      </c>
      <c r="DK31" s="228">
        <v>-0.27</v>
      </c>
      <c r="DL31" s="228">
        <v>33.409999999999997</v>
      </c>
      <c r="DM31" s="228">
        <v>33.57</v>
      </c>
      <c r="DN31" s="228">
        <v>-0.16</v>
      </c>
      <c r="DO31" s="228">
        <v>-0.16</v>
      </c>
      <c r="DP31" s="228">
        <v>0.75</v>
      </c>
      <c r="DQ31" s="228">
        <v>0.71</v>
      </c>
      <c r="DR31" s="228">
        <v>0.04</v>
      </c>
      <c r="DS31" s="229">
        <v>5.6300000000000003E-2</v>
      </c>
      <c r="DT31" s="228">
        <v>500</v>
      </c>
      <c r="DU31" s="228">
        <v>400</v>
      </c>
      <c r="DV31" s="228">
        <v>0.5</v>
      </c>
      <c r="DW31" s="228">
        <v>0.47</v>
      </c>
      <c r="DX31" s="228">
        <v>0.03</v>
      </c>
      <c r="DY31" s="229">
        <v>6.3799999999999996E-2</v>
      </c>
      <c r="DZ31" s="229">
        <v>0.14119999999999999</v>
      </c>
      <c r="EA31" s="230">
        <v>14230050</v>
      </c>
      <c r="EB31" s="229">
        <v>5.7000000000000002E-3</v>
      </c>
      <c r="EC31" s="229">
        <v>0.14119999999999999</v>
      </c>
      <c r="ED31" s="228">
        <v>2.5</v>
      </c>
      <c r="EE31" s="229">
        <v>5.4000000000000003E-3</v>
      </c>
      <c r="EF31" s="230">
        <v>6636162</v>
      </c>
      <c r="EG31" s="230">
        <v>5683324</v>
      </c>
      <c r="EH31" s="229">
        <v>0.16769999999999999</v>
      </c>
      <c r="EI31" s="229">
        <v>0.4486</v>
      </c>
      <c r="EJ31" s="231">
        <v>373293.13</v>
      </c>
      <c r="EK31" s="231">
        <v>171253.75</v>
      </c>
      <c r="EL31" s="231">
        <v>57432.61</v>
      </c>
      <c r="EM31" s="231">
        <v>9637</v>
      </c>
      <c r="EN31" s="231">
        <v>601979.49</v>
      </c>
      <c r="EO31" s="231">
        <v>546862.54</v>
      </c>
      <c r="EP31" s="231">
        <v>55116.95</v>
      </c>
      <c r="EQ31" s="229">
        <v>0.1008</v>
      </c>
      <c r="ER31" s="231">
        <v>193603</v>
      </c>
      <c r="ES31" s="231">
        <v>133771</v>
      </c>
      <c r="ET31" s="231">
        <v>489966</v>
      </c>
      <c r="EU31" s="231">
        <v>535778534</v>
      </c>
      <c r="EV31" s="231">
        <v>817340</v>
      </c>
      <c r="EW31" s="231">
        <v>797244</v>
      </c>
      <c r="EX31" s="231">
        <v>20096</v>
      </c>
      <c r="EY31" s="229">
        <v>2.52E-2</v>
      </c>
      <c r="EZ31" s="229">
        <v>0.33439999999999998</v>
      </c>
      <c r="FA31" s="227" t="s">
        <v>693</v>
      </c>
      <c r="FB31" s="161">
        <f t="shared" si="0"/>
        <v>14926875</v>
      </c>
    </row>
    <row r="32" spans="1:158" ht="17.25" thickBot="1" x14ac:dyDescent="0.3">
      <c r="A32" s="226">
        <v>46129</v>
      </c>
      <c r="B32" s="227" t="s">
        <v>162</v>
      </c>
      <c r="C32" s="227" t="s">
        <v>187</v>
      </c>
      <c r="D32" s="228">
        <v>500</v>
      </c>
      <c r="E32" s="231">
        <v>1858.1</v>
      </c>
      <c r="F32" s="231">
        <v>1847.3</v>
      </c>
      <c r="G32" s="228">
        <v>10.8</v>
      </c>
      <c r="H32" s="229">
        <v>5.7999999999999996E-3</v>
      </c>
      <c r="I32" s="231">
        <v>1860.5</v>
      </c>
      <c r="J32" s="231">
        <v>1855.8</v>
      </c>
      <c r="K32" s="228">
        <v>4.7</v>
      </c>
      <c r="L32" s="229">
        <v>2.5000000000000001E-3</v>
      </c>
      <c r="M32" s="231">
        <v>1858.1</v>
      </c>
      <c r="N32" s="231">
        <v>1847.3</v>
      </c>
      <c r="O32" s="228">
        <v>10.8</v>
      </c>
      <c r="P32" s="229">
        <v>5.7999999999999996E-3</v>
      </c>
      <c r="Q32" s="231">
        <v>1854.9</v>
      </c>
      <c r="R32" s="231">
        <v>1843.8</v>
      </c>
      <c r="S32" s="228">
        <v>11.1</v>
      </c>
      <c r="T32" s="229">
        <v>6.0000000000000001E-3</v>
      </c>
      <c r="U32" s="231">
        <v>1852.6</v>
      </c>
      <c r="V32" s="231">
        <v>1849.4</v>
      </c>
      <c r="W32" s="228">
        <v>3.2</v>
      </c>
      <c r="X32" s="229">
        <v>1.6999999999999999E-3</v>
      </c>
      <c r="Y32" s="228">
        <v>-2.4</v>
      </c>
      <c r="Z32" s="228">
        <v>-8.5</v>
      </c>
      <c r="AA32" s="228">
        <v>6.1</v>
      </c>
      <c r="AB32" s="229">
        <v>-1.2999999999999999E-3</v>
      </c>
      <c r="AC32" s="228">
        <v>-2.4</v>
      </c>
      <c r="AD32" s="228">
        <v>-8.5</v>
      </c>
      <c r="AE32" s="228">
        <v>6.1</v>
      </c>
      <c r="AF32" s="229">
        <v>-1.2999999999999999E-3</v>
      </c>
      <c r="AG32" s="228">
        <v>-5.6</v>
      </c>
      <c r="AH32" s="228">
        <v>-12</v>
      </c>
      <c r="AI32" s="228">
        <v>6.4</v>
      </c>
      <c r="AJ32" s="229">
        <v>-3.0000000000000001E-3</v>
      </c>
      <c r="AK32" s="228">
        <v>-7.9</v>
      </c>
      <c r="AL32" s="228">
        <v>-6.4</v>
      </c>
      <c r="AM32" s="228">
        <v>-1.5</v>
      </c>
      <c r="AN32" s="229">
        <v>-4.1999999999999997E-3</v>
      </c>
      <c r="AO32" s="231">
        <v>1855.47</v>
      </c>
      <c r="AP32" s="231">
        <v>1853.99</v>
      </c>
      <c r="AQ32" s="228">
        <v>0</v>
      </c>
      <c r="AR32" s="230">
        <v>1484500</v>
      </c>
      <c r="AS32" s="230">
        <v>1634000</v>
      </c>
      <c r="AT32" s="230">
        <v>-149500</v>
      </c>
      <c r="AU32" s="229">
        <v>-9.1499999999999998E-2</v>
      </c>
      <c r="AV32" s="230">
        <v>1182500</v>
      </c>
      <c r="AW32" s="230">
        <v>1529500</v>
      </c>
      <c r="AX32" s="230">
        <v>-347000</v>
      </c>
      <c r="AY32" s="229">
        <v>-0.22689999999999999</v>
      </c>
      <c r="AZ32" s="230">
        <v>282000</v>
      </c>
      <c r="BA32" s="230">
        <v>97500</v>
      </c>
      <c r="BB32" s="230">
        <v>184500</v>
      </c>
      <c r="BC32" s="229">
        <v>1.8923000000000001</v>
      </c>
      <c r="BD32" s="230">
        <v>20000</v>
      </c>
      <c r="BE32" s="230">
        <v>7000</v>
      </c>
      <c r="BF32" s="230">
        <v>13000</v>
      </c>
      <c r="BG32" s="229">
        <v>1.8571</v>
      </c>
      <c r="BH32" s="230">
        <v>3798000</v>
      </c>
      <c r="BI32" s="230">
        <v>3500000</v>
      </c>
      <c r="BJ32" s="230">
        <v>298000</v>
      </c>
      <c r="BK32" s="229">
        <v>8.5099999999999995E-2</v>
      </c>
      <c r="BL32" s="230">
        <v>2424500</v>
      </c>
      <c r="BM32" s="230">
        <v>1850500</v>
      </c>
      <c r="BN32" s="230">
        <v>574000</v>
      </c>
      <c r="BO32" s="229">
        <v>0.31019999999999998</v>
      </c>
      <c r="BP32" s="230">
        <v>7707000</v>
      </c>
      <c r="BQ32" s="230">
        <v>6984500</v>
      </c>
      <c r="BR32" s="230">
        <v>722500</v>
      </c>
      <c r="BS32" s="229">
        <v>0.10340000000000001</v>
      </c>
      <c r="BT32" s="230">
        <v>1059041</v>
      </c>
      <c r="BU32" s="230">
        <v>1306013</v>
      </c>
      <c r="BV32" s="230">
        <v>-246972</v>
      </c>
      <c r="BW32" s="229">
        <v>-0.18909999999999999</v>
      </c>
      <c r="BX32" s="230">
        <v>8086000</v>
      </c>
      <c r="BY32" s="230">
        <v>7839000</v>
      </c>
      <c r="BZ32" s="230">
        <v>247000</v>
      </c>
      <c r="CA32" s="229">
        <v>3.15E-2</v>
      </c>
      <c r="CB32" s="230">
        <v>7725500</v>
      </c>
      <c r="CC32" s="230">
        <v>7667000</v>
      </c>
      <c r="CD32" s="230">
        <v>58500</v>
      </c>
      <c r="CE32" s="229">
        <v>7.6E-3</v>
      </c>
      <c r="CF32" s="230">
        <v>334000</v>
      </c>
      <c r="CG32" s="230">
        <v>152500</v>
      </c>
      <c r="CH32" s="230">
        <v>181500</v>
      </c>
      <c r="CI32" s="229">
        <v>1.1901999999999999</v>
      </c>
      <c r="CJ32" s="230">
        <v>26500</v>
      </c>
      <c r="CK32" s="230">
        <v>19500</v>
      </c>
      <c r="CL32" s="230">
        <v>7000</v>
      </c>
      <c r="CM32" s="229">
        <v>0.35899999999999999</v>
      </c>
      <c r="CN32" s="230">
        <v>3239000</v>
      </c>
      <c r="CO32" s="230">
        <v>3302000</v>
      </c>
      <c r="CP32" s="230">
        <v>-63000</v>
      </c>
      <c r="CQ32" s="229">
        <v>-1.9099999999999999E-2</v>
      </c>
      <c r="CR32" s="230">
        <v>1985500</v>
      </c>
      <c r="CS32" s="230">
        <v>2020000</v>
      </c>
      <c r="CT32" s="230">
        <v>-34500</v>
      </c>
      <c r="CU32" s="229">
        <v>-1.7100000000000001E-2</v>
      </c>
      <c r="CV32" s="230">
        <v>13310500</v>
      </c>
      <c r="CW32" s="230">
        <v>13161000</v>
      </c>
      <c r="CX32" s="230">
        <v>149500</v>
      </c>
      <c r="CY32" s="229">
        <v>1.14E-2</v>
      </c>
      <c r="CZ32" s="228">
        <v>33.83</v>
      </c>
      <c r="DA32" s="228">
        <v>35.909999999999997</v>
      </c>
      <c r="DB32" s="228">
        <v>-2.08</v>
      </c>
      <c r="DC32" s="228">
        <v>-2.08</v>
      </c>
      <c r="DD32" s="228">
        <v>39.880000000000003</v>
      </c>
      <c r="DE32" s="228">
        <v>39.97</v>
      </c>
      <c r="DF32" s="228">
        <v>-6.05</v>
      </c>
      <c r="DG32" s="228">
        <v>-0.09</v>
      </c>
      <c r="DH32" s="228">
        <v>32.47</v>
      </c>
      <c r="DI32" s="228">
        <v>34.92</v>
      </c>
      <c r="DJ32" s="228">
        <v>-2.4500000000000002</v>
      </c>
      <c r="DK32" s="228">
        <v>-2.4500000000000002</v>
      </c>
      <c r="DL32" s="228">
        <v>35.96</v>
      </c>
      <c r="DM32" s="228">
        <v>37.799999999999997</v>
      </c>
      <c r="DN32" s="228">
        <v>-1.84</v>
      </c>
      <c r="DO32" s="228">
        <v>-1.84</v>
      </c>
      <c r="DP32" s="228">
        <v>0.61</v>
      </c>
      <c r="DQ32" s="228">
        <v>0.61</v>
      </c>
      <c r="DR32" s="228">
        <v>0</v>
      </c>
      <c r="DS32" s="229">
        <v>0</v>
      </c>
      <c r="DT32" s="231">
        <v>1800</v>
      </c>
      <c r="DU32" s="231">
        <v>1800</v>
      </c>
      <c r="DV32" s="228">
        <v>0.64</v>
      </c>
      <c r="DW32" s="228">
        <v>0.53</v>
      </c>
      <c r="DX32" s="228">
        <v>0.11</v>
      </c>
      <c r="DY32" s="229">
        <v>0.20749999999999999</v>
      </c>
      <c r="DZ32" s="229">
        <v>4.4600000000000001E-2</v>
      </c>
      <c r="EA32" s="230">
        <v>172000</v>
      </c>
      <c r="EB32" s="229">
        <v>-1.6999999999999999E-3</v>
      </c>
      <c r="EC32" s="229">
        <v>4.4600000000000001E-2</v>
      </c>
      <c r="ED32" s="228">
        <v>-1.48</v>
      </c>
      <c r="EE32" s="229">
        <v>-8.0000000000000004E-4</v>
      </c>
      <c r="EF32" s="230">
        <v>488987</v>
      </c>
      <c r="EG32" s="230">
        <v>750930</v>
      </c>
      <c r="EH32" s="229">
        <v>-0.3488</v>
      </c>
      <c r="EI32" s="229">
        <v>0.4617</v>
      </c>
      <c r="EJ32" s="231">
        <v>73337.240000000005</v>
      </c>
      <c r="EK32" s="231">
        <v>43752.93</v>
      </c>
      <c r="EL32" s="231">
        <v>27538.79</v>
      </c>
      <c r="EM32" s="231">
        <v>3661</v>
      </c>
      <c r="EN32" s="231">
        <v>144628.96</v>
      </c>
      <c r="EO32" s="231">
        <v>130690.56</v>
      </c>
      <c r="EP32" s="231">
        <v>13938.4</v>
      </c>
      <c r="EQ32" s="229">
        <v>0.1067</v>
      </c>
      <c r="ER32" s="231">
        <v>59966</v>
      </c>
      <c r="ES32" s="231">
        <v>33792</v>
      </c>
      <c r="ET32" s="231">
        <v>150234</v>
      </c>
      <c r="EU32" s="231">
        <v>40107751</v>
      </c>
      <c r="EV32" s="231">
        <v>243992</v>
      </c>
      <c r="EW32" s="231">
        <v>240116</v>
      </c>
      <c r="EX32" s="231">
        <v>3876</v>
      </c>
      <c r="EY32" s="229">
        <v>1.61E-2</v>
      </c>
      <c r="EZ32" s="229">
        <v>0.33189999999999997</v>
      </c>
      <c r="FA32" s="227" t="s">
        <v>555</v>
      </c>
      <c r="FB32" s="161">
        <f t="shared" si="0"/>
        <v>360500</v>
      </c>
    </row>
    <row r="33" spans="1:158" ht="17.25" thickBot="1" x14ac:dyDescent="0.3">
      <c r="A33" s="226">
        <v>46129</v>
      </c>
      <c r="B33" s="227" t="s">
        <v>188</v>
      </c>
      <c r="C33" s="227" t="s">
        <v>189</v>
      </c>
      <c r="D33" s="228">
        <v>475</v>
      </c>
      <c r="E33" s="231">
        <v>1849</v>
      </c>
      <c r="F33" s="231">
        <v>1844</v>
      </c>
      <c r="G33" s="228">
        <v>5</v>
      </c>
      <c r="H33" s="229">
        <v>2.7000000000000001E-3</v>
      </c>
      <c r="I33" s="231">
        <v>1846.9</v>
      </c>
      <c r="J33" s="231">
        <v>1840.6</v>
      </c>
      <c r="K33" s="228">
        <v>6.3</v>
      </c>
      <c r="L33" s="229">
        <v>3.3999999999999998E-3</v>
      </c>
      <c r="M33" s="231">
        <v>1849</v>
      </c>
      <c r="N33" s="231">
        <v>1844</v>
      </c>
      <c r="O33" s="228">
        <v>5</v>
      </c>
      <c r="P33" s="229">
        <v>2.7000000000000001E-3</v>
      </c>
      <c r="Q33" s="231">
        <v>1859.5</v>
      </c>
      <c r="R33" s="231">
        <v>1852.5</v>
      </c>
      <c r="S33" s="228">
        <v>7</v>
      </c>
      <c r="T33" s="229">
        <v>3.8E-3</v>
      </c>
      <c r="U33" s="231">
        <v>1870.8</v>
      </c>
      <c r="V33" s="231">
        <v>1865.9</v>
      </c>
      <c r="W33" s="228">
        <v>4.9000000000000004</v>
      </c>
      <c r="X33" s="229">
        <v>2.5999999999999999E-3</v>
      </c>
      <c r="Y33" s="228">
        <v>2.1</v>
      </c>
      <c r="Z33" s="228">
        <v>3.4</v>
      </c>
      <c r="AA33" s="228">
        <v>-1.3</v>
      </c>
      <c r="AB33" s="229">
        <v>1.1000000000000001E-3</v>
      </c>
      <c r="AC33" s="228">
        <v>2.1</v>
      </c>
      <c r="AD33" s="228">
        <v>3.4</v>
      </c>
      <c r="AE33" s="228">
        <v>-1.3</v>
      </c>
      <c r="AF33" s="229">
        <v>1.1000000000000001E-3</v>
      </c>
      <c r="AG33" s="228">
        <v>12.6</v>
      </c>
      <c r="AH33" s="228">
        <v>11.9</v>
      </c>
      <c r="AI33" s="228">
        <v>0.7</v>
      </c>
      <c r="AJ33" s="229">
        <v>6.7999999999999996E-3</v>
      </c>
      <c r="AK33" s="228">
        <v>23.9</v>
      </c>
      <c r="AL33" s="228">
        <v>25.3</v>
      </c>
      <c r="AM33" s="228">
        <v>-1.4</v>
      </c>
      <c r="AN33" s="229">
        <v>1.29E-2</v>
      </c>
      <c r="AO33" s="231">
        <v>1844.71</v>
      </c>
      <c r="AP33" s="231">
        <v>1853.02</v>
      </c>
      <c r="AQ33" s="228">
        <v>0</v>
      </c>
      <c r="AR33" s="230">
        <v>3909250</v>
      </c>
      <c r="AS33" s="230">
        <v>7742975</v>
      </c>
      <c r="AT33" s="230">
        <v>-3833725</v>
      </c>
      <c r="AU33" s="229">
        <v>-0.49509999999999998</v>
      </c>
      <c r="AV33" s="230">
        <v>3121225</v>
      </c>
      <c r="AW33" s="230">
        <v>5576500</v>
      </c>
      <c r="AX33" s="230">
        <v>-2455275</v>
      </c>
      <c r="AY33" s="229">
        <v>-0.44030000000000002</v>
      </c>
      <c r="AZ33" s="230">
        <v>755725</v>
      </c>
      <c r="BA33" s="230">
        <v>1150925</v>
      </c>
      <c r="BB33" s="230">
        <v>-395200</v>
      </c>
      <c r="BC33" s="229">
        <v>-0.34339999999999998</v>
      </c>
      <c r="BD33" s="230">
        <v>32300</v>
      </c>
      <c r="BE33" s="230">
        <v>1015550</v>
      </c>
      <c r="BF33" s="230">
        <v>-983250</v>
      </c>
      <c r="BG33" s="229">
        <v>-0.96819999999999995</v>
      </c>
      <c r="BH33" s="230">
        <v>15595200</v>
      </c>
      <c r="BI33" s="230">
        <v>24614025</v>
      </c>
      <c r="BJ33" s="230">
        <v>-9018825</v>
      </c>
      <c r="BK33" s="229">
        <v>-0.3664</v>
      </c>
      <c r="BL33" s="230">
        <v>7372950</v>
      </c>
      <c r="BM33" s="230">
        <v>10621000</v>
      </c>
      <c r="BN33" s="230">
        <v>-3248050</v>
      </c>
      <c r="BO33" s="229">
        <v>-0.30580000000000002</v>
      </c>
      <c r="BP33" s="230">
        <v>26877400</v>
      </c>
      <c r="BQ33" s="230">
        <v>42978000</v>
      </c>
      <c r="BR33" s="230">
        <v>-16100600</v>
      </c>
      <c r="BS33" s="229">
        <v>-0.37459999999999999</v>
      </c>
      <c r="BT33" s="230">
        <v>7465210</v>
      </c>
      <c r="BU33" s="230">
        <v>17135469</v>
      </c>
      <c r="BV33" s="230">
        <v>-9670259</v>
      </c>
      <c r="BW33" s="229">
        <v>-0.56430000000000002</v>
      </c>
      <c r="BX33" s="230">
        <v>60683150</v>
      </c>
      <c r="BY33" s="230">
        <v>60781475</v>
      </c>
      <c r="BZ33" s="230">
        <v>-98325</v>
      </c>
      <c r="CA33" s="229">
        <v>-1.6000000000000001E-3</v>
      </c>
      <c r="CB33" s="230">
        <v>45203375</v>
      </c>
      <c r="CC33" s="230">
        <v>45823250</v>
      </c>
      <c r="CD33" s="230">
        <v>-619875</v>
      </c>
      <c r="CE33" s="229">
        <v>-1.35E-2</v>
      </c>
      <c r="CF33" s="230">
        <v>10397750</v>
      </c>
      <c r="CG33" s="230">
        <v>9887600</v>
      </c>
      <c r="CH33" s="230">
        <v>510150</v>
      </c>
      <c r="CI33" s="229">
        <v>5.16E-2</v>
      </c>
      <c r="CJ33" s="230">
        <v>5082025</v>
      </c>
      <c r="CK33" s="230">
        <v>5070625</v>
      </c>
      <c r="CL33" s="230">
        <v>11400</v>
      </c>
      <c r="CM33" s="229">
        <v>2.2000000000000001E-3</v>
      </c>
      <c r="CN33" s="230">
        <v>13701850</v>
      </c>
      <c r="CO33" s="230">
        <v>13129000</v>
      </c>
      <c r="CP33" s="230">
        <v>572850</v>
      </c>
      <c r="CQ33" s="229">
        <v>4.36E-2</v>
      </c>
      <c r="CR33" s="230">
        <v>8349550</v>
      </c>
      <c r="CS33" s="230">
        <v>8065025</v>
      </c>
      <c r="CT33" s="230">
        <v>284525</v>
      </c>
      <c r="CU33" s="229">
        <v>3.5299999999999998E-2</v>
      </c>
      <c r="CV33" s="230">
        <v>82734550</v>
      </c>
      <c r="CW33" s="230">
        <v>81975500</v>
      </c>
      <c r="CX33" s="230">
        <v>759050</v>
      </c>
      <c r="CY33" s="229">
        <v>9.2999999999999992E-3</v>
      </c>
      <c r="CZ33" s="228">
        <v>22.81</v>
      </c>
      <c r="DA33" s="228">
        <v>24.12</v>
      </c>
      <c r="DB33" s="228">
        <v>-1.31</v>
      </c>
      <c r="DC33" s="228">
        <v>-1.31</v>
      </c>
      <c r="DD33" s="228">
        <v>24.21</v>
      </c>
      <c r="DE33" s="228">
        <v>24.27</v>
      </c>
      <c r="DF33" s="228">
        <v>-1.4</v>
      </c>
      <c r="DG33" s="228">
        <v>-0.06</v>
      </c>
      <c r="DH33" s="228">
        <v>22.06</v>
      </c>
      <c r="DI33" s="228">
        <v>24.18</v>
      </c>
      <c r="DJ33" s="228">
        <v>-2.12</v>
      </c>
      <c r="DK33" s="228">
        <v>-2.12</v>
      </c>
      <c r="DL33" s="228">
        <v>24.41</v>
      </c>
      <c r="DM33" s="228">
        <v>23.98</v>
      </c>
      <c r="DN33" s="228">
        <v>0.43</v>
      </c>
      <c r="DO33" s="228">
        <v>0.43</v>
      </c>
      <c r="DP33" s="228">
        <v>0.61</v>
      </c>
      <c r="DQ33" s="228">
        <v>0.61</v>
      </c>
      <c r="DR33" s="228">
        <v>0</v>
      </c>
      <c r="DS33" s="229">
        <v>0</v>
      </c>
      <c r="DT33" s="231">
        <v>1900</v>
      </c>
      <c r="DU33" s="231">
        <v>1800</v>
      </c>
      <c r="DV33" s="228">
        <v>0.47</v>
      </c>
      <c r="DW33" s="228">
        <v>0.43</v>
      </c>
      <c r="DX33" s="228">
        <v>0.04</v>
      </c>
      <c r="DY33" s="229">
        <v>9.2999999999999999E-2</v>
      </c>
      <c r="DZ33" s="229">
        <v>0.25509999999999999</v>
      </c>
      <c r="EA33" s="230">
        <v>14958225</v>
      </c>
      <c r="EB33" s="229">
        <v>5.7000000000000002E-3</v>
      </c>
      <c r="EC33" s="229">
        <v>0.25509999999999999</v>
      </c>
      <c r="ED33" s="228">
        <v>8.31</v>
      </c>
      <c r="EE33" s="229">
        <v>4.4999999999999997E-3</v>
      </c>
      <c r="EF33" s="230">
        <v>3966487</v>
      </c>
      <c r="EG33" s="230">
        <v>6335316</v>
      </c>
      <c r="EH33" s="229">
        <v>-0.37390000000000001</v>
      </c>
      <c r="EI33" s="229">
        <v>0.53129999999999999</v>
      </c>
      <c r="EJ33" s="231">
        <v>297155.61</v>
      </c>
      <c r="EK33" s="231">
        <v>133244.92000000001</v>
      </c>
      <c r="EL33" s="231">
        <v>72183.960000000006</v>
      </c>
      <c r="EM33" s="231">
        <v>14252</v>
      </c>
      <c r="EN33" s="231">
        <v>502584.49</v>
      </c>
      <c r="EO33" s="231">
        <v>809767.51</v>
      </c>
      <c r="EP33" s="231">
        <v>-307183.02</v>
      </c>
      <c r="EQ33" s="229">
        <v>-0.37930000000000003</v>
      </c>
      <c r="ER33" s="231">
        <v>259884</v>
      </c>
      <c r="ES33" s="231">
        <v>150440</v>
      </c>
      <c r="ET33" s="231">
        <v>1124231</v>
      </c>
      <c r="EU33" s="231">
        <v>342859930</v>
      </c>
      <c r="EV33" s="231">
        <v>1534556</v>
      </c>
      <c r="EW33" s="231">
        <v>1517116</v>
      </c>
      <c r="EX33" s="231">
        <v>17440</v>
      </c>
      <c r="EY33" s="229">
        <v>1.15E-2</v>
      </c>
      <c r="EZ33" s="229">
        <v>0.24129999999999999</v>
      </c>
      <c r="FA33" s="227" t="s">
        <v>693</v>
      </c>
      <c r="FB33" s="161">
        <f t="shared" si="0"/>
        <v>15479775</v>
      </c>
    </row>
    <row r="34" spans="1:158" ht="17.25" thickBot="1" x14ac:dyDescent="0.3">
      <c r="A34" s="226">
        <v>46129</v>
      </c>
      <c r="B34" s="227" t="s">
        <v>184</v>
      </c>
      <c r="C34" s="227" t="s">
        <v>190</v>
      </c>
      <c r="D34" s="228">
        <v>2625</v>
      </c>
      <c r="E34" s="228">
        <v>317.22000000000003</v>
      </c>
      <c r="F34" s="228">
        <v>309.98</v>
      </c>
      <c r="G34" s="228">
        <v>7.24</v>
      </c>
      <c r="H34" s="229">
        <v>2.3400000000000001E-2</v>
      </c>
      <c r="I34" s="228">
        <v>316.79000000000002</v>
      </c>
      <c r="J34" s="228">
        <v>309.26</v>
      </c>
      <c r="K34" s="228">
        <v>7.53</v>
      </c>
      <c r="L34" s="229">
        <v>2.4299999999999999E-2</v>
      </c>
      <c r="M34" s="228">
        <v>317.22000000000003</v>
      </c>
      <c r="N34" s="228">
        <v>309.98</v>
      </c>
      <c r="O34" s="228">
        <v>7.24</v>
      </c>
      <c r="P34" s="229">
        <v>2.3400000000000001E-2</v>
      </c>
      <c r="Q34" s="228">
        <v>318.72000000000003</v>
      </c>
      <c r="R34" s="228">
        <v>312.20999999999998</v>
      </c>
      <c r="S34" s="228">
        <v>6.51</v>
      </c>
      <c r="T34" s="229">
        <v>2.0899999999999998E-2</v>
      </c>
      <c r="U34" s="228">
        <v>320.14999999999998</v>
      </c>
      <c r="V34" s="228">
        <v>314</v>
      </c>
      <c r="W34" s="228">
        <v>6.15</v>
      </c>
      <c r="X34" s="229">
        <v>1.9599999999999999E-2</v>
      </c>
      <c r="Y34" s="228">
        <v>0.43</v>
      </c>
      <c r="Z34" s="228">
        <v>0.72</v>
      </c>
      <c r="AA34" s="228">
        <v>-0.28999999999999998</v>
      </c>
      <c r="AB34" s="229">
        <v>1.4E-3</v>
      </c>
      <c r="AC34" s="228">
        <v>0.43</v>
      </c>
      <c r="AD34" s="228">
        <v>0.72</v>
      </c>
      <c r="AE34" s="228">
        <v>-0.28999999999999998</v>
      </c>
      <c r="AF34" s="229">
        <v>1.4E-3</v>
      </c>
      <c r="AG34" s="228">
        <v>1.93</v>
      </c>
      <c r="AH34" s="228">
        <v>2.95</v>
      </c>
      <c r="AI34" s="228">
        <v>-1.02</v>
      </c>
      <c r="AJ34" s="229">
        <v>6.1000000000000004E-3</v>
      </c>
      <c r="AK34" s="228">
        <v>3.36</v>
      </c>
      <c r="AL34" s="228">
        <v>4.74</v>
      </c>
      <c r="AM34" s="228">
        <v>-1.38</v>
      </c>
      <c r="AN34" s="229">
        <v>1.06E-2</v>
      </c>
      <c r="AO34" s="228">
        <v>313.02</v>
      </c>
      <c r="AP34" s="228">
        <v>314.19</v>
      </c>
      <c r="AQ34" s="228">
        <v>0</v>
      </c>
      <c r="AR34" s="230">
        <v>37033500</v>
      </c>
      <c r="AS34" s="230">
        <v>50124375</v>
      </c>
      <c r="AT34" s="230">
        <v>-13090875</v>
      </c>
      <c r="AU34" s="229">
        <v>-0.26119999999999999</v>
      </c>
      <c r="AV34" s="230">
        <v>31381875</v>
      </c>
      <c r="AW34" s="230">
        <v>45619875</v>
      </c>
      <c r="AX34" s="230">
        <v>-14238000</v>
      </c>
      <c r="AY34" s="229">
        <v>-0.31209999999999999</v>
      </c>
      <c r="AZ34" s="230">
        <v>5129250</v>
      </c>
      <c r="BA34" s="230">
        <v>4066125</v>
      </c>
      <c r="BB34" s="230">
        <v>1063125</v>
      </c>
      <c r="BC34" s="229">
        <v>0.26150000000000001</v>
      </c>
      <c r="BD34" s="230">
        <v>522375</v>
      </c>
      <c r="BE34" s="230">
        <v>438375</v>
      </c>
      <c r="BF34" s="230">
        <v>84000</v>
      </c>
      <c r="BG34" s="229">
        <v>0.19159999999999999</v>
      </c>
      <c r="BH34" s="230">
        <v>148863750</v>
      </c>
      <c r="BI34" s="230">
        <v>147183750</v>
      </c>
      <c r="BJ34" s="230">
        <v>1680000</v>
      </c>
      <c r="BK34" s="229">
        <v>1.14E-2</v>
      </c>
      <c r="BL34" s="230">
        <v>88927125</v>
      </c>
      <c r="BM34" s="230">
        <v>63732375</v>
      </c>
      <c r="BN34" s="230">
        <v>25194750</v>
      </c>
      <c r="BO34" s="229">
        <v>0.39529999999999998</v>
      </c>
      <c r="BP34" s="230">
        <v>274824375</v>
      </c>
      <c r="BQ34" s="230">
        <v>261040500</v>
      </c>
      <c r="BR34" s="230">
        <v>13783875</v>
      </c>
      <c r="BS34" s="229">
        <v>5.28E-2</v>
      </c>
      <c r="BT34" s="230">
        <v>26045345</v>
      </c>
      <c r="BU34" s="230">
        <v>29471776</v>
      </c>
      <c r="BV34" s="230">
        <v>-3426431</v>
      </c>
      <c r="BW34" s="229">
        <v>-0.1163</v>
      </c>
      <c r="BX34" s="230">
        <v>99781500</v>
      </c>
      <c r="BY34" s="230">
        <v>100185750</v>
      </c>
      <c r="BZ34" s="230">
        <v>-404250</v>
      </c>
      <c r="CA34" s="229">
        <v>-4.0000000000000001E-3</v>
      </c>
      <c r="CB34" s="230">
        <v>94752000</v>
      </c>
      <c r="CC34" s="230">
        <v>96017250</v>
      </c>
      <c r="CD34" s="230">
        <v>-1265250</v>
      </c>
      <c r="CE34" s="229">
        <v>-1.32E-2</v>
      </c>
      <c r="CF34" s="230">
        <v>4515000</v>
      </c>
      <c r="CG34" s="230">
        <v>3614625</v>
      </c>
      <c r="CH34" s="230">
        <v>900375</v>
      </c>
      <c r="CI34" s="229">
        <v>0.24909999999999999</v>
      </c>
      <c r="CJ34" s="230">
        <v>514500</v>
      </c>
      <c r="CK34" s="230">
        <v>553875</v>
      </c>
      <c r="CL34" s="230">
        <v>-39375</v>
      </c>
      <c r="CM34" s="229">
        <v>-7.1099999999999997E-2</v>
      </c>
      <c r="CN34" s="230">
        <v>43795500</v>
      </c>
      <c r="CO34" s="230">
        <v>42322875</v>
      </c>
      <c r="CP34" s="230">
        <v>1472625</v>
      </c>
      <c r="CQ34" s="229">
        <v>3.4799999999999998E-2</v>
      </c>
      <c r="CR34" s="230">
        <v>38739750</v>
      </c>
      <c r="CS34" s="230">
        <v>38624250</v>
      </c>
      <c r="CT34" s="230">
        <v>115500</v>
      </c>
      <c r="CU34" s="229">
        <v>3.0000000000000001E-3</v>
      </c>
      <c r="CV34" s="230">
        <v>182316750</v>
      </c>
      <c r="CW34" s="230">
        <v>181132875</v>
      </c>
      <c r="CX34" s="230">
        <v>1183875</v>
      </c>
      <c r="CY34" s="229">
        <v>6.4999999999999997E-3</v>
      </c>
      <c r="CZ34" s="228">
        <v>40.03</v>
      </c>
      <c r="DA34" s="228">
        <v>45.78</v>
      </c>
      <c r="DB34" s="228">
        <v>-5.75</v>
      </c>
      <c r="DC34" s="228">
        <v>-5.75</v>
      </c>
      <c r="DD34" s="228">
        <v>47.37</v>
      </c>
      <c r="DE34" s="228">
        <v>47.38</v>
      </c>
      <c r="DF34" s="228">
        <v>-7.34</v>
      </c>
      <c r="DG34" s="228">
        <v>-0.01</v>
      </c>
      <c r="DH34" s="228">
        <v>38.44</v>
      </c>
      <c r="DI34" s="228">
        <v>44.99</v>
      </c>
      <c r="DJ34" s="228">
        <v>-6.55</v>
      </c>
      <c r="DK34" s="228">
        <v>-6.55</v>
      </c>
      <c r="DL34" s="228">
        <v>42.69</v>
      </c>
      <c r="DM34" s="228">
        <v>47.62</v>
      </c>
      <c r="DN34" s="228">
        <v>-4.93</v>
      </c>
      <c r="DO34" s="228">
        <v>-4.93</v>
      </c>
      <c r="DP34" s="228">
        <v>0.88</v>
      </c>
      <c r="DQ34" s="228">
        <v>0.91</v>
      </c>
      <c r="DR34" s="228">
        <v>-0.03</v>
      </c>
      <c r="DS34" s="229">
        <v>-3.3000000000000002E-2</v>
      </c>
      <c r="DT34" s="228">
        <v>300</v>
      </c>
      <c r="DU34" s="228">
        <v>310</v>
      </c>
      <c r="DV34" s="228">
        <v>0.6</v>
      </c>
      <c r="DW34" s="228">
        <v>0.43</v>
      </c>
      <c r="DX34" s="228">
        <v>0.17</v>
      </c>
      <c r="DY34" s="229">
        <v>0.39529999999999998</v>
      </c>
      <c r="DZ34" s="229">
        <v>5.04E-2</v>
      </c>
      <c r="EA34" s="230">
        <v>4168500</v>
      </c>
      <c r="EB34" s="229">
        <v>4.7000000000000002E-3</v>
      </c>
      <c r="EC34" s="229">
        <v>5.04E-2</v>
      </c>
      <c r="ED34" s="228">
        <v>1.17</v>
      </c>
      <c r="EE34" s="229">
        <v>3.7000000000000002E-3</v>
      </c>
      <c r="EF34" s="230">
        <v>8067151</v>
      </c>
      <c r="EG34" s="230">
        <v>13462571</v>
      </c>
      <c r="EH34" s="229">
        <v>-0.40079999999999999</v>
      </c>
      <c r="EI34" s="229">
        <v>0.30969999999999998</v>
      </c>
      <c r="EJ34" s="231">
        <v>486581.38</v>
      </c>
      <c r="EK34" s="231">
        <v>266024.31</v>
      </c>
      <c r="EL34" s="231">
        <v>115999.52</v>
      </c>
      <c r="EM34" s="231">
        <v>13402</v>
      </c>
      <c r="EN34" s="231">
        <v>868605.21</v>
      </c>
      <c r="EO34" s="231">
        <v>805716.83</v>
      </c>
      <c r="EP34" s="231">
        <v>62888.38</v>
      </c>
      <c r="EQ34" s="229">
        <v>7.8100000000000003E-2</v>
      </c>
      <c r="ER34" s="231">
        <v>130198</v>
      </c>
      <c r="ES34" s="231">
        <v>107465</v>
      </c>
      <c r="ET34" s="231">
        <v>316610</v>
      </c>
      <c r="EU34" s="231">
        <v>192361942</v>
      </c>
      <c r="EV34" s="231">
        <v>554273</v>
      </c>
      <c r="EW34" s="231">
        <v>539492</v>
      </c>
      <c r="EX34" s="231">
        <v>14781</v>
      </c>
      <c r="EY34" s="229">
        <v>2.7400000000000001E-2</v>
      </c>
      <c r="EZ34" s="229">
        <v>0.94779999999999998</v>
      </c>
      <c r="FA34" s="227" t="s">
        <v>693</v>
      </c>
      <c r="FB34" s="161">
        <f t="shared" si="0"/>
        <v>5029500</v>
      </c>
    </row>
    <row r="35" spans="1:158" ht="17.25" thickBot="1" x14ac:dyDescent="0.3">
      <c r="A35" s="226">
        <v>46129</v>
      </c>
      <c r="B35" s="227" t="s">
        <v>170</v>
      </c>
      <c r="C35" s="227" t="s">
        <v>191</v>
      </c>
      <c r="D35" s="228">
        <v>2500</v>
      </c>
      <c r="E35" s="228">
        <v>358.45</v>
      </c>
      <c r="F35" s="228">
        <v>350.8</v>
      </c>
      <c r="G35" s="228">
        <v>7.65</v>
      </c>
      <c r="H35" s="229">
        <v>2.18E-2</v>
      </c>
      <c r="I35" s="228">
        <v>358.1</v>
      </c>
      <c r="J35" s="228">
        <v>350.75</v>
      </c>
      <c r="K35" s="228">
        <v>7.35</v>
      </c>
      <c r="L35" s="229">
        <v>2.1000000000000001E-2</v>
      </c>
      <c r="M35" s="228">
        <v>358.45</v>
      </c>
      <c r="N35" s="228">
        <v>350.8</v>
      </c>
      <c r="O35" s="228">
        <v>7.65</v>
      </c>
      <c r="P35" s="229">
        <v>2.18E-2</v>
      </c>
      <c r="Q35" s="228">
        <v>360.55</v>
      </c>
      <c r="R35" s="228">
        <v>352.7</v>
      </c>
      <c r="S35" s="228">
        <v>7.85</v>
      </c>
      <c r="T35" s="229">
        <v>2.23E-2</v>
      </c>
      <c r="U35" s="228">
        <v>362.75</v>
      </c>
      <c r="V35" s="228">
        <v>354.8</v>
      </c>
      <c r="W35" s="228">
        <v>7.95</v>
      </c>
      <c r="X35" s="229">
        <v>2.24E-2</v>
      </c>
      <c r="Y35" s="228">
        <v>0.35</v>
      </c>
      <c r="Z35" s="228">
        <v>0.05</v>
      </c>
      <c r="AA35" s="228">
        <v>0.3</v>
      </c>
      <c r="AB35" s="229">
        <v>1E-3</v>
      </c>
      <c r="AC35" s="228">
        <v>0.35</v>
      </c>
      <c r="AD35" s="228">
        <v>0.05</v>
      </c>
      <c r="AE35" s="228">
        <v>0.3</v>
      </c>
      <c r="AF35" s="229">
        <v>1E-3</v>
      </c>
      <c r="AG35" s="228">
        <v>2.4500000000000002</v>
      </c>
      <c r="AH35" s="228">
        <v>1.95</v>
      </c>
      <c r="AI35" s="228">
        <v>0.5</v>
      </c>
      <c r="AJ35" s="229">
        <v>6.7999999999999996E-3</v>
      </c>
      <c r="AK35" s="228">
        <v>4.6500000000000004</v>
      </c>
      <c r="AL35" s="228">
        <v>4.05</v>
      </c>
      <c r="AM35" s="228">
        <v>0.6</v>
      </c>
      <c r="AN35" s="229">
        <v>1.2999999999999999E-2</v>
      </c>
      <c r="AO35" s="228">
        <v>355.97</v>
      </c>
      <c r="AP35" s="228">
        <v>357.95</v>
      </c>
      <c r="AQ35" s="228">
        <v>0</v>
      </c>
      <c r="AR35" s="230">
        <v>9135000</v>
      </c>
      <c r="AS35" s="230">
        <v>5522500</v>
      </c>
      <c r="AT35" s="230">
        <v>3612500</v>
      </c>
      <c r="AU35" s="229">
        <v>0.65410000000000001</v>
      </c>
      <c r="AV35" s="230">
        <v>7390000</v>
      </c>
      <c r="AW35" s="230">
        <v>4580000</v>
      </c>
      <c r="AX35" s="230">
        <v>2810000</v>
      </c>
      <c r="AY35" s="229">
        <v>0.61350000000000005</v>
      </c>
      <c r="AZ35" s="230">
        <v>1602500</v>
      </c>
      <c r="BA35" s="230">
        <v>850000</v>
      </c>
      <c r="BB35" s="230">
        <v>752500</v>
      </c>
      <c r="BC35" s="229">
        <v>0.88529999999999998</v>
      </c>
      <c r="BD35" s="230">
        <v>142500</v>
      </c>
      <c r="BE35" s="230">
        <v>92500</v>
      </c>
      <c r="BF35" s="230">
        <v>50000</v>
      </c>
      <c r="BG35" s="229">
        <v>0.54049999999999998</v>
      </c>
      <c r="BH35" s="230">
        <v>60077500</v>
      </c>
      <c r="BI35" s="230">
        <v>18965000</v>
      </c>
      <c r="BJ35" s="230">
        <v>41112500</v>
      </c>
      <c r="BK35" s="229">
        <v>2.1678000000000002</v>
      </c>
      <c r="BL35" s="230">
        <v>14220000</v>
      </c>
      <c r="BM35" s="230">
        <v>7182500</v>
      </c>
      <c r="BN35" s="230">
        <v>7037500</v>
      </c>
      <c r="BO35" s="229">
        <v>0.9798</v>
      </c>
      <c r="BP35" s="230">
        <v>83432500</v>
      </c>
      <c r="BQ35" s="230">
        <v>31670000</v>
      </c>
      <c r="BR35" s="230">
        <v>51762500</v>
      </c>
      <c r="BS35" s="229">
        <v>1.6344000000000001</v>
      </c>
      <c r="BT35" s="230">
        <v>2494709</v>
      </c>
      <c r="BU35" s="230">
        <v>2753733</v>
      </c>
      <c r="BV35" s="230">
        <v>-259024</v>
      </c>
      <c r="BW35" s="229">
        <v>-9.4100000000000003E-2</v>
      </c>
      <c r="BX35" s="230">
        <v>36852500</v>
      </c>
      <c r="BY35" s="230">
        <v>38220000</v>
      </c>
      <c r="BZ35" s="230">
        <v>-1367500</v>
      </c>
      <c r="CA35" s="229">
        <v>-3.5799999999999998E-2</v>
      </c>
      <c r="CB35" s="230">
        <v>33737500</v>
      </c>
      <c r="CC35" s="230">
        <v>35540000</v>
      </c>
      <c r="CD35" s="230">
        <v>-1802500</v>
      </c>
      <c r="CE35" s="229">
        <v>-5.0700000000000002E-2</v>
      </c>
      <c r="CF35" s="230">
        <v>2892500</v>
      </c>
      <c r="CG35" s="230">
        <v>2460000</v>
      </c>
      <c r="CH35" s="230">
        <v>432500</v>
      </c>
      <c r="CI35" s="229">
        <v>0.17580000000000001</v>
      </c>
      <c r="CJ35" s="230">
        <v>222500</v>
      </c>
      <c r="CK35" s="230">
        <v>220000</v>
      </c>
      <c r="CL35" s="230">
        <v>2500</v>
      </c>
      <c r="CM35" s="229">
        <v>1.14E-2</v>
      </c>
      <c r="CN35" s="230">
        <v>24287500</v>
      </c>
      <c r="CO35" s="230">
        <v>23897500</v>
      </c>
      <c r="CP35" s="230">
        <v>390000</v>
      </c>
      <c r="CQ35" s="229">
        <v>1.6299999999999999E-2</v>
      </c>
      <c r="CR35" s="230">
        <v>15532500</v>
      </c>
      <c r="CS35" s="230">
        <v>15215000</v>
      </c>
      <c r="CT35" s="230">
        <v>317500</v>
      </c>
      <c r="CU35" s="229">
        <v>2.0899999999999998E-2</v>
      </c>
      <c r="CV35" s="230">
        <v>76672500</v>
      </c>
      <c r="CW35" s="230">
        <v>77332500</v>
      </c>
      <c r="CX35" s="230">
        <v>-660000</v>
      </c>
      <c r="CY35" s="229">
        <v>-8.5000000000000006E-3</v>
      </c>
      <c r="CZ35" s="228">
        <v>31.91</v>
      </c>
      <c r="DA35" s="228">
        <v>33.24</v>
      </c>
      <c r="DB35" s="228">
        <v>-1.33</v>
      </c>
      <c r="DC35" s="228">
        <v>-1.33</v>
      </c>
      <c r="DD35" s="228">
        <v>36.340000000000003</v>
      </c>
      <c r="DE35" s="228">
        <v>36.32</v>
      </c>
      <c r="DF35" s="228">
        <v>-4.43</v>
      </c>
      <c r="DG35" s="228">
        <v>0.02</v>
      </c>
      <c r="DH35" s="228">
        <v>31.36</v>
      </c>
      <c r="DI35" s="228">
        <v>32.86</v>
      </c>
      <c r="DJ35" s="228">
        <v>-1.5</v>
      </c>
      <c r="DK35" s="228">
        <v>-1.5</v>
      </c>
      <c r="DL35" s="228">
        <v>34.200000000000003</v>
      </c>
      <c r="DM35" s="228">
        <v>34.25</v>
      </c>
      <c r="DN35" s="228">
        <v>-0.05</v>
      </c>
      <c r="DO35" s="228">
        <v>-0.05</v>
      </c>
      <c r="DP35" s="228">
        <v>0.64</v>
      </c>
      <c r="DQ35" s="228">
        <v>0.64</v>
      </c>
      <c r="DR35" s="228">
        <v>0</v>
      </c>
      <c r="DS35" s="229">
        <v>0</v>
      </c>
      <c r="DT35" s="228">
        <v>370</v>
      </c>
      <c r="DU35" s="228">
        <v>340</v>
      </c>
      <c r="DV35" s="228">
        <v>0.24</v>
      </c>
      <c r="DW35" s="228">
        <v>0.38</v>
      </c>
      <c r="DX35" s="228">
        <v>-0.14000000000000001</v>
      </c>
      <c r="DY35" s="229">
        <v>-0.36840000000000001</v>
      </c>
      <c r="DZ35" s="229">
        <v>8.4500000000000006E-2</v>
      </c>
      <c r="EA35" s="230">
        <v>2680000</v>
      </c>
      <c r="EB35" s="229">
        <v>5.8999999999999999E-3</v>
      </c>
      <c r="EC35" s="229">
        <v>8.4500000000000006E-2</v>
      </c>
      <c r="ED35" s="228">
        <v>1.98</v>
      </c>
      <c r="EE35" s="229">
        <v>5.5999999999999999E-3</v>
      </c>
      <c r="EF35" s="230">
        <v>1185108</v>
      </c>
      <c r="EG35" s="230">
        <v>1608434</v>
      </c>
      <c r="EH35" s="229">
        <v>-0.26319999999999999</v>
      </c>
      <c r="EI35" s="229">
        <v>0.47499999999999998</v>
      </c>
      <c r="EJ35" s="231">
        <v>221777.8</v>
      </c>
      <c r="EK35" s="231">
        <v>49835.040000000001</v>
      </c>
      <c r="EL35" s="231">
        <v>32555.279999999999</v>
      </c>
      <c r="EM35" s="231">
        <v>2211</v>
      </c>
      <c r="EN35" s="231">
        <v>304168.12</v>
      </c>
      <c r="EO35" s="231">
        <v>114360.95</v>
      </c>
      <c r="EP35" s="231">
        <v>189807.17</v>
      </c>
      <c r="EQ35" s="229">
        <v>1.6597</v>
      </c>
      <c r="ER35" s="231">
        <v>90893</v>
      </c>
      <c r="ES35" s="231">
        <v>54279</v>
      </c>
      <c r="ET35" s="231">
        <v>132168</v>
      </c>
      <c r="EU35" s="231">
        <v>108004143</v>
      </c>
      <c r="EV35" s="231">
        <v>277340</v>
      </c>
      <c r="EW35" s="231">
        <v>276290</v>
      </c>
      <c r="EX35" s="231">
        <v>1050</v>
      </c>
      <c r="EY35" s="229">
        <v>3.8E-3</v>
      </c>
      <c r="EZ35" s="229">
        <v>0.70989999999999998</v>
      </c>
      <c r="FA35" s="227" t="s">
        <v>693</v>
      </c>
      <c r="FB35" s="161">
        <f t="shared" si="0"/>
        <v>3115000</v>
      </c>
    </row>
    <row r="36" spans="1:158" ht="17.25" thickBot="1" x14ac:dyDescent="0.3">
      <c r="A36" s="226">
        <v>46129</v>
      </c>
      <c r="B36" s="227" t="s">
        <v>184</v>
      </c>
      <c r="C36" s="227" t="s">
        <v>677</v>
      </c>
      <c r="D36" s="228">
        <v>325</v>
      </c>
      <c r="E36" s="231">
        <v>1856.5</v>
      </c>
      <c r="F36" s="231">
        <v>1839.5</v>
      </c>
      <c r="G36" s="228">
        <v>17</v>
      </c>
      <c r="H36" s="229">
        <v>9.1999999999999998E-3</v>
      </c>
      <c r="I36" s="231">
        <v>1866.1</v>
      </c>
      <c r="J36" s="231">
        <v>1849.3</v>
      </c>
      <c r="K36" s="228">
        <v>16.8</v>
      </c>
      <c r="L36" s="229">
        <v>9.1000000000000004E-3</v>
      </c>
      <c r="M36" s="231">
        <v>1856.5</v>
      </c>
      <c r="N36" s="231">
        <v>1839.5</v>
      </c>
      <c r="O36" s="228">
        <v>17</v>
      </c>
      <c r="P36" s="229">
        <v>9.1999999999999998E-3</v>
      </c>
      <c r="Q36" s="231">
        <v>1837.2</v>
      </c>
      <c r="R36" s="231">
        <v>1824.2</v>
      </c>
      <c r="S36" s="228">
        <v>13</v>
      </c>
      <c r="T36" s="229">
        <v>7.1000000000000004E-3</v>
      </c>
      <c r="U36" s="231">
        <v>1805</v>
      </c>
      <c r="V36" s="231">
        <v>1805</v>
      </c>
      <c r="W36" s="228">
        <v>0</v>
      </c>
      <c r="X36" s="229">
        <v>0</v>
      </c>
      <c r="Y36" s="228">
        <v>-9.6</v>
      </c>
      <c r="Z36" s="228">
        <v>-9.8000000000000007</v>
      </c>
      <c r="AA36" s="228">
        <v>0.2</v>
      </c>
      <c r="AB36" s="229">
        <v>-5.1000000000000004E-3</v>
      </c>
      <c r="AC36" s="228">
        <v>-9.6</v>
      </c>
      <c r="AD36" s="228">
        <v>-9.8000000000000007</v>
      </c>
      <c r="AE36" s="228">
        <v>0.2</v>
      </c>
      <c r="AF36" s="229">
        <v>-5.1000000000000004E-3</v>
      </c>
      <c r="AG36" s="228">
        <v>-28.9</v>
      </c>
      <c r="AH36" s="228">
        <v>-25.1</v>
      </c>
      <c r="AI36" s="228">
        <v>-3.8</v>
      </c>
      <c r="AJ36" s="229">
        <v>-1.55E-2</v>
      </c>
      <c r="AK36" s="228">
        <v>-61.1</v>
      </c>
      <c r="AL36" s="228">
        <v>-44.3</v>
      </c>
      <c r="AM36" s="228">
        <v>-16.8</v>
      </c>
      <c r="AN36" s="229">
        <v>-3.27E-2</v>
      </c>
      <c r="AO36" s="231">
        <v>1841.28</v>
      </c>
      <c r="AP36" s="231">
        <v>1819.61</v>
      </c>
      <c r="AQ36" s="228">
        <v>0</v>
      </c>
      <c r="AR36" s="230">
        <v>1398150</v>
      </c>
      <c r="AS36" s="230">
        <v>1784575</v>
      </c>
      <c r="AT36" s="230">
        <v>-386425</v>
      </c>
      <c r="AU36" s="229">
        <v>-0.2165</v>
      </c>
      <c r="AV36" s="230">
        <v>1016600</v>
      </c>
      <c r="AW36" s="230">
        <v>1406275</v>
      </c>
      <c r="AX36" s="230">
        <v>-389675</v>
      </c>
      <c r="AY36" s="229">
        <v>-0.27710000000000001</v>
      </c>
      <c r="AZ36" s="230">
        <v>381550</v>
      </c>
      <c r="BA36" s="230">
        <v>374400</v>
      </c>
      <c r="BB36" s="230">
        <v>7150</v>
      </c>
      <c r="BC36" s="229">
        <v>1.9099999999999999E-2</v>
      </c>
      <c r="BD36" s="228">
        <v>0</v>
      </c>
      <c r="BE36" s="230">
        <v>3900</v>
      </c>
      <c r="BF36" s="230">
        <v>-3900</v>
      </c>
      <c r="BG36" s="229">
        <v>-1</v>
      </c>
      <c r="BH36" s="230">
        <v>1745250</v>
      </c>
      <c r="BI36" s="230">
        <v>6842225</v>
      </c>
      <c r="BJ36" s="230">
        <v>-5096975</v>
      </c>
      <c r="BK36" s="229">
        <v>-0.74490000000000001</v>
      </c>
      <c r="BL36" s="230">
        <v>899925</v>
      </c>
      <c r="BM36" s="230">
        <v>2020200</v>
      </c>
      <c r="BN36" s="230">
        <v>-1120275</v>
      </c>
      <c r="BO36" s="229">
        <v>-0.55449999999999999</v>
      </c>
      <c r="BP36" s="230">
        <v>4043325</v>
      </c>
      <c r="BQ36" s="230">
        <v>10647000</v>
      </c>
      <c r="BR36" s="230">
        <v>-6603675</v>
      </c>
      <c r="BS36" s="229">
        <v>-0.62019999999999997</v>
      </c>
      <c r="BT36" s="230">
        <v>455812</v>
      </c>
      <c r="BU36" s="230">
        <v>1596922</v>
      </c>
      <c r="BV36" s="230">
        <v>-1141110</v>
      </c>
      <c r="BW36" s="229">
        <v>-0.71460000000000001</v>
      </c>
      <c r="BX36" s="230">
        <v>3556475</v>
      </c>
      <c r="BY36" s="230">
        <v>3211975</v>
      </c>
      <c r="BZ36" s="230">
        <v>344500</v>
      </c>
      <c r="CA36" s="229">
        <v>0.10730000000000001</v>
      </c>
      <c r="CB36" s="230">
        <v>2578875</v>
      </c>
      <c r="CC36" s="230">
        <v>2503800</v>
      </c>
      <c r="CD36" s="230">
        <v>75075</v>
      </c>
      <c r="CE36" s="229">
        <v>0.03</v>
      </c>
      <c r="CF36" s="230">
        <v>970125</v>
      </c>
      <c r="CG36" s="230">
        <v>700700</v>
      </c>
      <c r="CH36" s="230">
        <v>269425</v>
      </c>
      <c r="CI36" s="229">
        <v>0.38450000000000001</v>
      </c>
      <c r="CJ36" s="230">
        <v>7475</v>
      </c>
      <c r="CK36" s="230">
        <v>7475</v>
      </c>
      <c r="CL36" s="228">
        <v>0</v>
      </c>
      <c r="CM36" s="229">
        <v>0</v>
      </c>
      <c r="CN36" s="230">
        <v>1554475</v>
      </c>
      <c r="CO36" s="230">
        <v>1579175</v>
      </c>
      <c r="CP36" s="230">
        <v>-24700</v>
      </c>
      <c r="CQ36" s="229">
        <v>-1.5599999999999999E-2</v>
      </c>
      <c r="CR36" s="230">
        <v>976300</v>
      </c>
      <c r="CS36" s="230">
        <v>960700</v>
      </c>
      <c r="CT36" s="230">
        <v>15600</v>
      </c>
      <c r="CU36" s="229">
        <v>1.6199999999999999E-2</v>
      </c>
      <c r="CV36" s="230">
        <v>6087250</v>
      </c>
      <c r="CW36" s="230">
        <v>5751850</v>
      </c>
      <c r="CX36" s="230">
        <v>335400</v>
      </c>
      <c r="CY36" s="229">
        <v>5.8299999999999998E-2</v>
      </c>
      <c r="CZ36" s="228">
        <v>40.380000000000003</v>
      </c>
      <c r="DA36" s="228">
        <v>39.94</v>
      </c>
      <c r="DB36" s="228">
        <v>0.44</v>
      </c>
      <c r="DC36" s="228">
        <v>0.44</v>
      </c>
      <c r="DD36" s="228">
        <v>42.65</v>
      </c>
      <c r="DE36" s="228">
        <v>42.74</v>
      </c>
      <c r="DF36" s="228">
        <v>-2.27</v>
      </c>
      <c r="DG36" s="228">
        <v>-0.09</v>
      </c>
      <c r="DH36" s="228">
        <v>38.1</v>
      </c>
      <c r="DI36" s="228">
        <v>39.479999999999997</v>
      </c>
      <c r="DJ36" s="228">
        <v>-1.38</v>
      </c>
      <c r="DK36" s="228">
        <v>-1.38</v>
      </c>
      <c r="DL36" s="228">
        <v>44.79</v>
      </c>
      <c r="DM36" s="228">
        <v>41.51</v>
      </c>
      <c r="DN36" s="228">
        <v>3.28</v>
      </c>
      <c r="DO36" s="228">
        <v>3.28</v>
      </c>
      <c r="DP36" s="228">
        <v>0.63</v>
      </c>
      <c r="DQ36" s="228">
        <v>0.61</v>
      </c>
      <c r="DR36" s="228">
        <v>0.02</v>
      </c>
      <c r="DS36" s="229">
        <v>3.2800000000000003E-2</v>
      </c>
      <c r="DT36" s="231">
        <v>1960</v>
      </c>
      <c r="DU36" s="231">
        <v>1500</v>
      </c>
      <c r="DV36" s="228">
        <v>0.52</v>
      </c>
      <c r="DW36" s="228">
        <v>0.3</v>
      </c>
      <c r="DX36" s="228">
        <v>0.22</v>
      </c>
      <c r="DY36" s="229">
        <v>0.73329999999999995</v>
      </c>
      <c r="DZ36" s="229">
        <v>0.27489999999999998</v>
      </c>
      <c r="EA36" s="230">
        <v>708175</v>
      </c>
      <c r="EB36" s="229">
        <v>-1.04E-2</v>
      </c>
      <c r="EC36" s="229">
        <v>0.27489999999999998</v>
      </c>
      <c r="ED36" s="228">
        <v>-21.67</v>
      </c>
      <c r="EE36" s="229">
        <v>-1.18E-2</v>
      </c>
      <c r="EF36" s="230">
        <v>160540</v>
      </c>
      <c r="EG36" s="230">
        <v>614502</v>
      </c>
      <c r="EH36" s="229">
        <v>-0.73870000000000002</v>
      </c>
      <c r="EI36" s="229">
        <v>0.35220000000000001</v>
      </c>
      <c r="EJ36" s="231">
        <v>34172.47</v>
      </c>
      <c r="EK36" s="231">
        <v>15323.05</v>
      </c>
      <c r="EL36" s="231">
        <v>25661.21</v>
      </c>
      <c r="EM36" s="231">
        <v>4531</v>
      </c>
      <c r="EN36" s="231">
        <v>75156.73</v>
      </c>
      <c r="EO36" s="231">
        <v>201270.39</v>
      </c>
      <c r="EP36" s="231">
        <v>-126113.66</v>
      </c>
      <c r="EQ36" s="229">
        <v>-0.62660000000000005</v>
      </c>
      <c r="ER36" s="231">
        <v>28318</v>
      </c>
      <c r="ES36" s="231">
        <v>16067</v>
      </c>
      <c r="ET36" s="231">
        <v>65835</v>
      </c>
      <c r="EU36" s="231">
        <v>15745076</v>
      </c>
      <c r="EV36" s="231">
        <v>110220</v>
      </c>
      <c r="EW36" s="231">
        <v>103351</v>
      </c>
      <c r="EX36" s="231">
        <v>6869</v>
      </c>
      <c r="EY36" s="229">
        <v>6.6500000000000004E-2</v>
      </c>
      <c r="EZ36" s="229">
        <v>0.3866</v>
      </c>
      <c r="FA36" s="227" t="s">
        <v>555</v>
      </c>
      <c r="FB36" s="161">
        <f t="shared" si="0"/>
        <v>977600</v>
      </c>
    </row>
    <row r="37" spans="1:158" ht="17.25" thickBot="1" x14ac:dyDescent="0.3">
      <c r="A37" s="226">
        <v>46129</v>
      </c>
      <c r="B37" s="227" t="s">
        <v>162</v>
      </c>
      <c r="C37" s="227" t="s">
        <v>192</v>
      </c>
      <c r="D37" s="228">
        <v>25</v>
      </c>
      <c r="E37" s="231">
        <v>37580</v>
      </c>
      <c r="F37" s="231">
        <v>37570</v>
      </c>
      <c r="G37" s="228">
        <v>10</v>
      </c>
      <c r="H37" s="229">
        <v>2.9999999999999997E-4</v>
      </c>
      <c r="I37" s="231">
        <v>37505</v>
      </c>
      <c r="J37" s="231">
        <v>37440</v>
      </c>
      <c r="K37" s="228">
        <v>65</v>
      </c>
      <c r="L37" s="229">
        <v>1.6999999999999999E-3</v>
      </c>
      <c r="M37" s="231">
        <v>37580</v>
      </c>
      <c r="N37" s="231">
        <v>37570</v>
      </c>
      <c r="O37" s="228">
        <v>10</v>
      </c>
      <c r="P37" s="229">
        <v>2.9999999999999997E-4</v>
      </c>
      <c r="Q37" s="231">
        <v>37730</v>
      </c>
      <c r="R37" s="231">
        <v>37710</v>
      </c>
      <c r="S37" s="228">
        <v>20</v>
      </c>
      <c r="T37" s="229">
        <v>5.0000000000000001E-4</v>
      </c>
      <c r="U37" s="231">
        <v>38015</v>
      </c>
      <c r="V37" s="231">
        <v>37825</v>
      </c>
      <c r="W37" s="228">
        <v>190</v>
      </c>
      <c r="X37" s="229">
        <v>5.0000000000000001E-3</v>
      </c>
      <c r="Y37" s="228">
        <v>75</v>
      </c>
      <c r="Z37" s="228">
        <v>130</v>
      </c>
      <c r="AA37" s="228">
        <v>-55</v>
      </c>
      <c r="AB37" s="229">
        <v>2E-3</v>
      </c>
      <c r="AC37" s="228">
        <v>75</v>
      </c>
      <c r="AD37" s="228">
        <v>130</v>
      </c>
      <c r="AE37" s="228">
        <v>-55</v>
      </c>
      <c r="AF37" s="229">
        <v>2E-3</v>
      </c>
      <c r="AG37" s="228">
        <v>225</v>
      </c>
      <c r="AH37" s="228">
        <v>270</v>
      </c>
      <c r="AI37" s="228">
        <v>-45</v>
      </c>
      <c r="AJ37" s="229">
        <v>6.0000000000000001E-3</v>
      </c>
      <c r="AK37" s="228">
        <v>510</v>
      </c>
      <c r="AL37" s="228">
        <v>385</v>
      </c>
      <c r="AM37" s="228">
        <v>125</v>
      </c>
      <c r="AN37" s="229">
        <v>1.3599999999999999E-2</v>
      </c>
      <c r="AO37" s="231">
        <v>37655.879999999997</v>
      </c>
      <c r="AP37" s="231">
        <v>37838.199999999997</v>
      </c>
      <c r="AQ37" s="228">
        <v>0</v>
      </c>
      <c r="AR37" s="230">
        <v>28300</v>
      </c>
      <c r="AS37" s="230">
        <v>41925</v>
      </c>
      <c r="AT37" s="230">
        <v>-13625</v>
      </c>
      <c r="AU37" s="229">
        <v>-0.32500000000000001</v>
      </c>
      <c r="AV37" s="230">
        <v>25250</v>
      </c>
      <c r="AW37" s="230">
        <v>38350</v>
      </c>
      <c r="AX37" s="230">
        <v>-13100</v>
      </c>
      <c r="AY37" s="229">
        <v>-0.34160000000000001</v>
      </c>
      <c r="AZ37" s="230">
        <v>2775</v>
      </c>
      <c r="BA37" s="230">
        <v>3300</v>
      </c>
      <c r="BB37" s="228">
        <v>-525</v>
      </c>
      <c r="BC37" s="229">
        <v>-0.15909999999999999</v>
      </c>
      <c r="BD37" s="228">
        <v>275</v>
      </c>
      <c r="BE37" s="228">
        <v>275</v>
      </c>
      <c r="BF37" s="228">
        <v>0</v>
      </c>
      <c r="BG37" s="229">
        <v>0</v>
      </c>
      <c r="BH37" s="230">
        <v>177175</v>
      </c>
      <c r="BI37" s="230">
        <v>243125</v>
      </c>
      <c r="BJ37" s="230">
        <v>-65950</v>
      </c>
      <c r="BK37" s="229">
        <v>-0.27129999999999999</v>
      </c>
      <c r="BL37" s="230">
        <v>666225</v>
      </c>
      <c r="BM37" s="230">
        <v>254200</v>
      </c>
      <c r="BN37" s="230">
        <v>412025</v>
      </c>
      <c r="BO37" s="229">
        <v>1.6209</v>
      </c>
      <c r="BP37" s="230">
        <v>871700</v>
      </c>
      <c r="BQ37" s="230">
        <v>539250</v>
      </c>
      <c r="BR37" s="230">
        <v>332450</v>
      </c>
      <c r="BS37" s="229">
        <v>0.61650000000000005</v>
      </c>
      <c r="BT37" s="230">
        <v>29588</v>
      </c>
      <c r="BU37" s="230">
        <v>32630</v>
      </c>
      <c r="BV37" s="230">
        <v>-3042</v>
      </c>
      <c r="BW37" s="229">
        <v>-9.3200000000000005E-2</v>
      </c>
      <c r="BX37" s="230">
        <v>273350</v>
      </c>
      <c r="BY37" s="230">
        <v>277725</v>
      </c>
      <c r="BZ37" s="230">
        <v>-4375</v>
      </c>
      <c r="CA37" s="229">
        <v>-1.5800000000000002E-2</v>
      </c>
      <c r="CB37" s="230">
        <v>263450</v>
      </c>
      <c r="CC37" s="230">
        <v>268400</v>
      </c>
      <c r="CD37" s="230">
        <v>-4950</v>
      </c>
      <c r="CE37" s="229">
        <v>-1.84E-2</v>
      </c>
      <c r="CF37" s="230">
        <v>9175</v>
      </c>
      <c r="CG37" s="230">
        <v>8725</v>
      </c>
      <c r="CH37" s="228">
        <v>450</v>
      </c>
      <c r="CI37" s="229">
        <v>5.16E-2</v>
      </c>
      <c r="CJ37" s="228">
        <v>725</v>
      </c>
      <c r="CK37" s="228">
        <v>600</v>
      </c>
      <c r="CL37" s="228">
        <v>125</v>
      </c>
      <c r="CM37" s="229">
        <v>0.20830000000000001</v>
      </c>
      <c r="CN37" s="230">
        <v>253925</v>
      </c>
      <c r="CO37" s="230">
        <v>254800</v>
      </c>
      <c r="CP37" s="228">
        <v>-875</v>
      </c>
      <c r="CQ37" s="229">
        <v>-3.3999999999999998E-3</v>
      </c>
      <c r="CR37" s="230">
        <v>225650</v>
      </c>
      <c r="CS37" s="230">
        <v>226300</v>
      </c>
      <c r="CT37" s="228">
        <v>-650</v>
      </c>
      <c r="CU37" s="229">
        <v>-2.8999999999999998E-3</v>
      </c>
      <c r="CV37" s="230">
        <v>752925</v>
      </c>
      <c r="CW37" s="230">
        <v>758825</v>
      </c>
      <c r="CX37" s="230">
        <v>-5900</v>
      </c>
      <c r="CY37" s="229">
        <v>-7.7999999999999996E-3</v>
      </c>
      <c r="CZ37" s="228">
        <v>38.76</v>
      </c>
      <c r="DA37" s="228">
        <v>41.97</v>
      </c>
      <c r="DB37" s="228">
        <v>-3.21</v>
      </c>
      <c r="DC37" s="228">
        <v>-3.21</v>
      </c>
      <c r="DD37" s="228">
        <v>35</v>
      </c>
      <c r="DE37" s="228">
        <v>35.08</v>
      </c>
      <c r="DF37" s="228">
        <v>3.76</v>
      </c>
      <c r="DG37" s="228">
        <v>-0.08</v>
      </c>
      <c r="DH37" s="228">
        <v>35</v>
      </c>
      <c r="DI37" s="228">
        <v>35.950000000000003</v>
      </c>
      <c r="DJ37" s="228">
        <v>-0.95</v>
      </c>
      <c r="DK37" s="228">
        <v>-0.95</v>
      </c>
      <c r="DL37" s="228">
        <v>39.76</v>
      </c>
      <c r="DM37" s="228">
        <v>47.73</v>
      </c>
      <c r="DN37" s="228">
        <v>-7.97</v>
      </c>
      <c r="DO37" s="228">
        <v>-7.97</v>
      </c>
      <c r="DP37" s="228">
        <v>0.89</v>
      </c>
      <c r="DQ37" s="228">
        <v>0.89</v>
      </c>
      <c r="DR37" s="228">
        <v>0</v>
      </c>
      <c r="DS37" s="229">
        <v>0</v>
      </c>
      <c r="DT37" s="231">
        <v>40000</v>
      </c>
      <c r="DU37" s="231">
        <v>30000</v>
      </c>
      <c r="DV37" s="228">
        <v>3.76</v>
      </c>
      <c r="DW37" s="228">
        <v>1.05</v>
      </c>
      <c r="DX37" s="228">
        <v>2.71</v>
      </c>
      <c r="DY37" s="229">
        <v>2.581</v>
      </c>
      <c r="DZ37" s="229">
        <v>3.6200000000000003E-2</v>
      </c>
      <c r="EA37" s="230">
        <v>9325</v>
      </c>
      <c r="EB37" s="229">
        <v>4.0000000000000001E-3</v>
      </c>
      <c r="EC37" s="229">
        <v>3.6200000000000003E-2</v>
      </c>
      <c r="ED37" s="228">
        <v>182.32</v>
      </c>
      <c r="EE37" s="229">
        <v>4.7999999999999996E-3</v>
      </c>
      <c r="EF37" s="230">
        <v>7703</v>
      </c>
      <c r="EG37" s="230">
        <v>11609</v>
      </c>
      <c r="EH37" s="229">
        <v>-0.33650000000000002</v>
      </c>
      <c r="EI37" s="229">
        <v>0.26029999999999998</v>
      </c>
      <c r="EJ37" s="231">
        <v>70296.05</v>
      </c>
      <c r="EK37" s="231">
        <v>203856.32</v>
      </c>
      <c r="EL37" s="231">
        <v>10662.67</v>
      </c>
      <c r="EM37" s="231">
        <v>3607</v>
      </c>
      <c r="EN37" s="231">
        <v>284815.03999999998</v>
      </c>
      <c r="EO37" s="231">
        <v>195558.04</v>
      </c>
      <c r="EP37" s="231">
        <v>89257</v>
      </c>
      <c r="EQ37" s="229">
        <v>0.45639999999999997</v>
      </c>
      <c r="ER37" s="231">
        <v>94339</v>
      </c>
      <c r="ES37" s="231">
        <v>73708</v>
      </c>
      <c r="ET37" s="231">
        <v>102742</v>
      </c>
      <c r="EU37" s="231">
        <v>868841</v>
      </c>
      <c r="EV37" s="231">
        <v>270789</v>
      </c>
      <c r="EW37" s="231">
        <v>273467</v>
      </c>
      <c r="EX37" s="231">
        <v>-2678</v>
      </c>
      <c r="EY37" s="229">
        <v>-9.7999999999999997E-3</v>
      </c>
      <c r="EZ37" s="229">
        <v>0.86660000000000004</v>
      </c>
      <c r="FA37" s="227" t="s">
        <v>693</v>
      </c>
      <c r="FB37" s="161">
        <f t="shared" si="0"/>
        <v>9900</v>
      </c>
    </row>
    <row r="38" spans="1:158" ht="17.25" thickBot="1" x14ac:dyDescent="0.3">
      <c r="A38" s="226">
        <v>46129</v>
      </c>
      <c r="B38" s="227" t="s">
        <v>193</v>
      </c>
      <c r="C38" s="227" t="s">
        <v>194</v>
      </c>
      <c r="D38" s="228">
        <v>1975</v>
      </c>
      <c r="E38" s="228">
        <v>313.05</v>
      </c>
      <c r="F38" s="228">
        <v>308.85000000000002</v>
      </c>
      <c r="G38" s="228">
        <v>4.2</v>
      </c>
      <c r="H38" s="229">
        <v>1.3599999999999999E-2</v>
      </c>
      <c r="I38" s="228">
        <v>312.10000000000002</v>
      </c>
      <c r="J38" s="228">
        <v>307.95</v>
      </c>
      <c r="K38" s="228">
        <v>4.1500000000000004</v>
      </c>
      <c r="L38" s="229">
        <v>1.35E-2</v>
      </c>
      <c r="M38" s="228">
        <v>313.05</v>
      </c>
      <c r="N38" s="228">
        <v>308.85000000000002</v>
      </c>
      <c r="O38" s="228">
        <v>4.2</v>
      </c>
      <c r="P38" s="229">
        <v>1.3599999999999999E-2</v>
      </c>
      <c r="Q38" s="228">
        <v>314.55</v>
      </c>
      <c r="R38" s="228">
        <v>310.45</v>
      </c>
      <c r="S38" s="228">
        <v>4.0999999999999996</v>
      </c>
      <c r="T38" s="229">
        <v>1.32E-2</v>
      </c>
      <c r="U38" s="228">
        <v>316.64999999999998</v>
      </c>
      <c r="V38" s="228">
        <v>312.05</v>
      </c>
      <c r="W38" s="228">
        <v>4.5999999999999996</v>
      </c>
      <c r="X38" s="229">
        <v>1.47E-2</v>
      </c>
      <c r="Y38" s="228">
        <v>0.95</v>
      </c>
      <c r="Z38" s="228">
        <v>0.9</v>
      </c>
      <c r="AA38" s="228">
        <v>0.05</v>
      </c>
      <c r="AB38" s="229">
        <v>3.0000000000000001E-3</v>
      </c>
      <c r="AC38" s="228">
        <v>0.95</v>
      </c>
      <c r="AD38" s="228">
        <v>0.9</v>
      </c>
      <c r="AE38" s="228">
        <v>0.05</v>
      </c>
      <c r="AF38" s="229">
        <v>3.0000000000000001E-3</v>
      </c>
      <c r="AG38" s="228">
        <v>2.4500000000000002</v>
      </c>
      <c r="AH38" s="228">
        <v>2.5</v>
      </c>
      <c r="AI38" s="228">
        <v>-0.05</v>
      </c>
      <c r="AJ38" s="229">
        <v>7.9000000000000008E-3</v>
      </c>
      <c r="AK38" s="228">
        <v>4.55</v>
      </c>
      <c r="AL38" s="228">
        <v>4.0999999999999996</v>
      </c>
      <c r="AM38" s="228">
        <v>0.45</v>
      </c>
      <c r="AN38" s="229">
        <v>1.46E-2</v>
      </c>
      <c r="AO38" s="228">
        <v>311.77</v>
      </c>
      <c r="AP38" s="228">
        <v>312.95999999999998</v>
      </c>
      <c r="AQ38" s="228">
        <v>0</v>
      </c>
      <c r="AR38" s="230">
        <v>7886175</v>
      </c>
      <c r="AS38" s="230">
        <v>8105400</v>
      </c>
      <c r="AT38" s="230">
        <v>-219225</v>
      </c>
      <c r="AU38" s="229">
        <v>-2.7E-2</v>
      </c>
      <c r="AV38" s="230">
        <v>6829550</v>
      </c>
      <c r="AW38" s="230">
        <v>7192950</v>
      </c>
      <c r="AX38" s="230">
        <v>-363400</v>
      </c>
      <c r="AY38" s="229">
        <v>-5.0500000000000003E-2</v>
      </c>
      <c r="AZ38" s="230">
        <v>934175</v>
      </c>
      <c r="BA38" s="230">
        <v>837400</v>
      </c>
      <c r="BB38" s="230">
        <v>96775</v>
      </c>
      <c r="BC38" s="229">
        <v>0.11559999999999999</v>
      </c>
      <c r="BD38" s="230">
        <v>122450</v>
      </c>
      <c r="BE38" s="230">
        <v>75050</v>
      </c>
      <c r="BF38" s="230">
        <v>47400</v>
      </c>
      <c r="BG38" s="229">
        <v>0.63160000000000005</v>
      </c>
      <c r="BH38" s="230">
        <v>35060200</v>
      </c>
      <c r="BI38" s="230">
        <v>23729625</v>
      </c>
      <c r="BJ38" s="230">
        <v>11330575</v>
      </c>
      <c r="BK38" s="229">
        <v>0.47749999999999998</v>
      </c>
      <c r="BL38" s="230">
        <v>16832925</v>
      </c>
      <c r="BM38" s="230">
        <v>13984975</v>
      </c>
      <c r="BN38" s="230">
        <v>2847950</v>
      </c>
      <c r="BO38" s="229">
        <v>0.2036</v>
      </c>
      <c r="BP38" s="230">
        <v>59779300</v>
      </c>
      <c r="BQ38" s="230">
        <v>45820000</v>
      </c>
      <c r="BR38" s="230">
        <v>13959300</v>
      </c>
      <c r="BS38" s="229">
        <v>0.30470000000000003</v>
      </c>
      <c r="BT38" s="230">
        <v>11291151</v>
      </c>
      <c r="BU38" s="230">
        <v>14433575</v>
      </c>
      <c r="BV38" s="230">
        <v>-3142424</v>
      </c>
      <c r="BW38" s="229">
        <v>-0.2177</v>
      </c>
      <c r="BX38" s="230">
        <v>54719350</v>
      </c>
      <c r="BY38" s="230">
        <v>54776625</v>
      </c>
      <c r="BZ38" s="230">
        <v>-57275</v>
      </c>
      <c r="CA38" s="229">
        <v>-1E-3</v>
      </c>
      <c r="CB38" s="230">
        <v>52161725</v>
      </c>
      <c r="CC38" s="230">
        <v>52286150</v>
      </c>
      <c r="CD38" s="230">
        <v>-124425</v>
      </c>
      <c r="CE38" s="229">
        <v>-2.3999999999999998E-3</v>
      </c>
      <c r="CF38" s="230">
        <v>2371975</v>
      </c>
      <c r="CG38" s="230">
        <v>2324575</v>
      </c>
      <c r="CH38" s="230">
        <v>47400</v>
      </c>
      <c r="CI38" s="229">
        <v>2.0400000000000001E-2</v>
      </c>
      <c r="CJ38" s="230">
        <v>185650</v>
      </c>
      <c r="CK38" s="230">
        <v>165900</v>
      </c>
      <c r="CL38" s="230">
        <v>19750</v>
      </c>
      <c r="CM38" s="229">
        <v>0.11899999999999999</v>
      </c>
      <c r="CN38" s="230">
        <v>22821125</v>
      </c>
      <c r="CO38" s="230">
        <v>22430075</v>
      </c>
      <c r="CP38" s="230">
        <v>391050</v>
      </c>
      <c r="CQ38" s="229">
        <v>1.7399999999999999E-2</v>
      </c>
      <c r="CR38" s="230">
        <v>20014650</v>
      </c>
      <c r="CS38" s="230">
        <v>19698650</v>
      </c>
      <c r="CT38" s="230">
        <v>316000</v>
      </c>
      <c r="CU38" s="229">
        <v>1.6E-2</v>
      </c>
      <c r="CV38" s="230">
        <v>97555125</v>
      </c>
      <c r="CW38" s="230">
        <v>96905350</v>
      </c>
      <c r="CX38" s="230">
        <v>649775</v>
      </c>
      <c r="CY38" s="229">
        <v>6.7000000000000002E-3</v>
      </c>
      <c r="CZ38" s="228">
        <v>38.549999999999997</v>
      </c>
      <c r="DA38" s="228">
        <v>40.56</v>
      </c>
      <c r="DB38" s="228">
        <v>-2.0099999999999998</v>
      </c>
      <c r="DC38" s="228">
        <v>-2.0099999999999998</v>
      </c>
      <c r="DD38" s="228">
        <v>37.35</v>
      </c>
      <c r="DE38" s="228">
        <v>37.4</v>
      </c>
      <c r="DF38" s="228">
        <v>1.2</v>
      </c>
      <c r="DG38" s="228">
        <v>-0.05</v>
      </c>
      <c r="DH38" s="228">
        <v>37.909999999999997</v>
      </c>
      <c r="DI38" s="228">
        <v>39.880000000000003</v>
      </c>
      <c r="DJ38" s="228">
        <v>-1.97</v>
      </c>
      <c r="DK38" s="228">
        <v>-1.97</v>
      </c>
      <c r="DL38" s="228">
        <v>39.89</v>
      </c>
      <c r="DM38" s="228">
        <v>41.72</v>
      </c>
      <c r="DN38" s="228">
        <v>-1.83</v>
      </c>
      <c r="DO38" s="228">
        <v>-1.83</v>
      </c>
      <c r="DP38" s="228">
        <v>0.88</v>
      </c>
      <c r="DQ38" s="228">
        <v>0.88</v>
      </c>
      <c r="DR38" s="228">
        <v>0</v>
      </c>
      <c r="DS38" s="229">
        <v>0</v>
      </c>
      <c r="DT38" s="228">
        <v>350</v>
      </c>
      <c r="DU38" s="228">
        <v>300</v>
      </c>
      <c r="DV38" s="228">
        <v>0.48</v>
      </c>
      <c r="DW38" s="228">
        <v>0.59</v>
      </c>
      <c r="DX38" s="228">
        <v>-0.11</v>
      </c>
      <c r="DY38" s="229">
        <v>-0.18640000000000001</v>
      </c>
      <c r="DZ38" s="229">
        <v>4.6699999999999998E-2</v>
      </c>
      <c r="EA38" s="230">
        <v>2490475</v>
      </c>
      <c r="EB38" s="229">
        <v>4.7999999999999996E-3</v>
      </c>
      <c r="EC38" s="229">
        <v>4.6699999999999998E-2</v>
      </c>
      <c r="ED38" s="228">
        <v>1.19</v>
      </c>
      <c r="EE38" s="229">
        <v>3.8E-3</v>
      </c>
      <c r="EF38" s="230">
        <v>6893701</v>
      </c>
      <c r="EG38" s="230">
        <v>8357898</v>
      </c>
      <c r="EH38" s="229">
        <v>-0.17519999999999999</v>
      </c>
      <c r="EI38" s="229">
        <v>0.61050000000000004</v>
      </c>
      <c r="EJ38" s="231">
        <v>115845.73</v>
      </c>
      <c r="EK38" s="231">
        <v>51257.87</v>
      </c>
      <c r="EL38" s="231">
        <v>24601.98</v>
      </c>
      <c r="EM38" s="231">
        <v>5592</v>
      </c>
      <c r="EN38" s="231">
        <v>191705.58</v>
      </c>
      <c r="EO38" s="231">
        <v>145548.5</v>
      </c>
      <c r="EP38" s="231">
        <v>46157.08</v>
      </c>
      <c r="EQ38" s="229">
        <v>0.31709999999999999</v>
      </c>
      <c r="ER38" s="231">
        <v>72375</v>
      </c>
      <c r="ES38" s="231">
        <v>57702</v>
      </c>
      <c r="ET38" s="231">
        <v>171341</v>
      </c>
      <c r="EU38" s="231">
        <v>306020745</v>
      </c>
      <c r="EV38" s="231">
        <v>301418</v>
      </c>
      <c r="EW38" s="231">
        <v>296583</v>
      </c>
      <c r="EX38" s="231">
        <v>4835</v>
      </c>
      <c r="EY38" s="229">
        <v>1.6299999999999999E-2</v>
      </c>
      <c r="EZ38" s="229">
        <v>0.31879999999999997</v>
      </c>
      <c r="FA38" s="227" t="s">
        <v>693</v>
      </c>
      <c r="FB38" s="161">
        <f t="shared" si="0"/>
        <v>2557625</v>
      </c>
    </row>
    <row r="39" spans="1:158" ht="17.25" thickBot="1" x14ac:dyDescent="0.3">
      <c r="A39" s="226">
        <v>46129</v>
      </c>
      <c r="B39" s="227" t="s">
        <v>168</v>
      </c>
      <c r="C39" s="227" t="s">
        <v>195</v>
      </c>
      <c r="D39" s="228">
        <v>125</v>
      </c>
      <c r="E39" s="231">
        <v>5737.5</v>
      </c>
      <c r="F39" s="231">
        <v>5588</v>
      </c>
      <c r="G39" s="228">
        <v>149.5</v>
      </c>
      <c r="H39" s="229">
        <v>2.6800000000000001E-2</v>
      </c>
      <c r="I39" s="231">
        <v>5735.5</v>
      </c>
      <c r="J39" s="231">
        <v>5586</v>
      </c>
      <c r="K39" s="228">
        <v>149.5</v>
      </c>
      <c r="L39" s="229">
        <v>2.6800000000000001E-2</v>
      </c>
      <c r="M39" s="231">
        <v>5737.5</v>
      </c>
      <c r="N39" s="231">
        <v>5588</v>
      </c>
      <c r="O39" s="228">
        <v>149.5</v>
      </c>
      <c r="P39" s="229">
        <v>2.6800000000000001E-2</v>
      </c>
      <c r="Q39" s="231">
        <v>5771.5</v>
      </c>
      <c r="R39" s="231">
        <v>5623</v>
      </c>
      <c r="S39" s="228">
        <v>148.5</v>
      </c>
      <c r="T39" s="229">
        <v>2.64E-2</v>
      </c>
      <c r="U39" s="231">
        <v>5792</v>
      </c>
      <c r="V39" s="231">
        <v>5649</v>
      </c>
      <c r="W39" s="228">
        <v>143</v>
      </c>
      <c r="X39" s="229">
        <v>2.53E-2</v>
      </c>
      <c r="Y39" s="228">
        <v>2</v>
      </c>
      <c r="Z39" s="228">
        <v>2</v>
      </c>
      <c r="AA39" s="228">
        <v>0</v>
      </c>
      <c r="AB39" s="229">
        <v>2.9999999999999997E-4</v>
      </c>
      <c r="AC39" s="228">
        <v>2</v>
      </c>
      <c r="AD39" s="228">
        <v>2</v>
      </c>
      <c r="AE39" s="228">
        <v>0</v>
      </c>
      <c r="AF39" s="229">
        <v>2.9999999999999997E-4</v>
      </c>
      <c r="AG39" s="228">
        <v>36</v>
      </c>
      <c r="AH39" s="228">
        <v>37</v>
      </c>
      <c r="AI39" s="228">
        <v>-1</v>
      </c>
      <c r="AJ39" s="229">
        <v>6.3E-3</v>
      </c>
      <c r="AK39" s="228">
        <v>56.5</v>
      </c>
      <c r="AL39" s="228">
        <v>63</v>
      </c>
      <c r="AM39" s="228">
        <v>-6.5</v>
      </c>
      <c r="AN39" s="229">
        <v>9.9000000000000008E-3</v>
      </c>
      <c r="AO39" s="231">
        <v>5706</v>
      </c>
      <c r="AP39" s="231">
        <v>5724.4</v>
      </c>
      <c r="AQ39" s="228">
        <v>0</v>
      </c>
      <c r="AR39" s="230">
        <v>437625</v>
      </c>
      <c r="AS39" s="230">
        <v>400875</v>
      </c>
      <c r="AT39" s="230">
        <v>36750</v>
      </c>
      <c r="AU39" s="229">
        <v>9.1700000000000004E-2</v>
      </c>
      <c r="AV39" s="230">
        <v>409750</v>
      </c>
      <c r="AW39" s="230">
        <v>370875</v>
      </c>
      <c r="AX39" s="230">
        <v>38875</v>
      </c>
      <c r="AY39" s="229">
        <v>0.1048</v>
      </c>
      <c r="AZ39" s="230">
        <v>26375</v>
      </c>
      <c r="BA39" s="230">
        <v>28000</v>
      </c>
      <c r="BB39" s="230">
        <v>-1625</v>
      </c>
      <c r="BC39" s="229">
        <v>-5.8000000000000003E-2</v>
      </c>
      <c r="BD39" s="230">
        <v>1500</v>
      </c>
      <c r="BE39" s="230">
        <v>2000</v>
      </c>
      <c r="BF39" s="228">
        <v>-500</v>
      </c>
      <c r="BG39" s="229">
        <v>-0.25</v>
      </c>
      <c r="BH39" s="230">
        <v>2503000</v>
      </c>
      <c r="BI39" s="230">
        <v>1187125</v>
      </c>
      <c r="BJ39" s="230">
        <v>1315875</v>
      </c>
      <c r="BK39" s="229">
        <v>1.1085</v>
      </c>
      <c r="BL39" s="230">
        <v>706375</v>
      </c>
      <c r="BM39" s="230">
        <v>511625</v>
      </c>
      <c r="BN39" s="230">
        <v>194750</v>
      </c>
      <c r="BO39" s="229">
        <v>0.38059999999999999</v>
      </c>
      <c r="BP39" s="230">
        <v>3647000</v>
      </c>
      <c r="BQ39" s="230">
        <v>2099625</v>
      </c>
      <c r="BR39" s="230">
        <v>1547375</v>
      </c>
      <c r="BS39" s="229">
        <v>0.73699999999999999</v>
      </c>
      <c r="BT39" s="230">
        <v>358878</v>
      </c>
      <c r="BU39" s="230">
        <v>465602</v>
      </c>
      <c r="BV39" s="230">
        <v>-106724</v>
      </c>
      <c r="BW39" s="229">
        <v>-0.22919999999999999</v>
      </c>
      <c r="BX39" s="230">
        <v>2789750</v>
      </c>
      <c r="BY39" s="230">
        <v>2748375</v>
      </c>
      <c r="BZ39" s="230">
        <v>41375</v>
      </c>
      <c r="CA39" s="229">
        <v>1.5100000000000001E-2</v>
      </c>
      <c r="CB39" s="230">
        <v>2690625</v>
      </c>
      <c r="CC39" s="230">
        <v>2648250</v>
      </c>
      <c r="CD39" s="230">
        <v>42375</v>
      </c>
      <c r="CE39" s="229">
        <v>1.6E-2</v>
      </c>
      <c r="CF39" s="230">
        <v>94000</v>
      </c>
      <c r="CG39" s="230">
        <v>94000</v>
      </c>
      <c r="CH39" s="228">
        <v>0</v>
      </c>
      <c r="CI39" s="229">
        <v>0</v>
      </c>
      <c r="CJ39" s="230">
        <v>5125</v>
      </c>
      <c r="CK39" s="230">
        <v>6125</v>
      </c>
      <c r="CL39" s="230">
        <v>-1000</v>
      </c>
      <c r="CM39" s="229">
        <v>-0.1633</v>
      </c>
      <c r="CN39" s="230">
        <v>569875</v>
      </c>
      <c r="CO39" s="230">
        <v>580500</v>
      </c>
      <c r="CP39" s="230">
        <v>-10625</v>
      </c>
      <c r="CQ39" s="229">
        <v>-1.83E-2</v>
      </c>
      <c r="CR39" s="230">
        <v>603625</v>
      </c>
      <c r="CS39" s="230">
        <v>538000</v>
      </c>
      <c r="CT39" s="230">
        <v>65625</v>
      </c>
      <c r="CU39" s="229">
        <v>0.122</v>
      </c>
      <c r="CV39" s="230">
        <v>3963250</v>
      </c>
      <c r="CW39" s="230">
        <v>3866875</v>
      </c>
      <c r="CX39" s="230">
        <v>96375</v>
      </c>
      <c r="CY39" s="229">
        <v>2.4899999999999999E-2</v>
      </c>
      <c r="CZ39" s="228">
        <v>25.06</v>
      </c>
      <c r="DA39" s="228">
        <v>26.6</v>
      </c>
      <c r="DB39" s="228">
        <v>-1.54</v>
      </c>
      <c r="DC39" s="228">
        <v>-1.54</v>
      </c>
      <c r="DD39" s="228">
        <v>24.79</v>
      </c>
      <c r="DE39" s="228">
        <v>24.6</v>
      </c>
      <c r="DF39" s="228">
        <v>0.27</v>
      </c>
      <c r="DG39" s="228">
        <v>0.19</v>
      </c>
      <c r="DH39" s="228">
        <v>24.5</v>
      </c>
      <c r="DI39" s="228">
        <v>26.29</v>
      </c>
      <c r="DJ39" s="228">
        <v>-1.79</v>
      </c>
      <c r="DK39" s="228">
        <v>-1.79</v>
      </c>
      <c r="DL39" s="228">
        <v>27.06</v>
      </c>
      <c r="DM39" s="228">
        <v>27.32</v>
      </c>
      <c r="DN39" s="228">
        <v>-0.26</v>
      </c>
      <c r="DO39" s="228">
        <v>-0.26</v>
      </c>
      <c r="DP39" s="228">
        <v>1.06</v>
      </c>
      <c r="DQ39" s="228">
        <v>0.93</v>
      </c>
      <c r="DR39" s="228">
        <v>0.13</v>
      </c>
      <c r="DS39" s="229">
        <v>0.13980000000000001</v>
      </c>
      <c r="DT39" s="231">
        <v>6000</v>
      </c>
      <c r="DU39" s="231">
        <v>5000</v>
      </c>
      <c r="DV39" s="228">
        <v>0.28000000000000003</v>
      </c>
      <c r="DW39" s="228">
        <v>0.43</v>
      </c>
      <c r="DX39" s="228">
        <v>-0.15</v>
      </c>
      <c r="DY39" s="229">
        <v>-0.3488</v>
      </c>
      <c r="DZ39" s="229">
        <v>3.5499999999999997E-2</v>
      </c>
      <c r="EA39" s="230">
        <v>100125</v>
      </c>
      <c r="EB39" s="229">
        <v>5.8999999999999999E-3</v>
      </c>
      <c r="EC39" s="229">
        <v>3.5499999999999997E-2</v>
      </c>
      <c r="ED39" s="228">
        <v>18.399999999999999</v>
      </c>
      <c r="EE39" s="229">
        <v>3.2000000000000002E-3</v>
      </c>
      <c r="EF39" s="230">
        <v>193427</v>
      </c>
      <c r="EG39" s="230">
        <v>287854</v>
      </c>
      <c r="EH39" s="229">
        <v>-0.32800000000000001</v>
      </c>
      <c r="EI39" s="229">
        <v>0.53900000000000003</v>
      </c>
      <c r="EJ39" s="231">
        <v>146985.26</v>
      </c>
      <c r="EK39" s="231">
        <v>39445.94</v>
      </c>
      <c r="EL39" s="231">
        <v>24976.6</v>
      </c>
      <c r="EM39" s="231">
        <v>3105</v>
      </c>
      <c r="EN39" s="231">
        <v>211407.8</v>
      </c>
      <c r="EO39" s="231">
        <v>119906.3</v>
      </c>
      <c r="EP39" s="231">
        <v>91501.5</v>
      </c>
      <c r="EQ39" s="229">
        <v>0.7631</v>
      </c>
      <c r="ER39" s="231">
        <v>33381</v>
      </c>
      <c r="ES39" s="231">
        <v>31814</v>
      </c>
      <c r="ET39" s="231">
        <v>160097</v>
      </c>
      <c r="EU39" s="231">
        <v>14553559</v>
      </c>
      <c r="EV39" s="231">
        <v>225291</v>
      </c>
      <c r="EW39" s="231">
        <v>215701</v>
      </c>
      <c r="EX39" s="231">
        <v>9590</v>
      </c>
      <c r="EY39" s="229">
        <v>4.4499999999999998E-2</v>
      </c>
      <c r="EZ39" s="229">
        <v>0.27229999999999999</v>
      </c>
      <c r="FA39" s="227" t="s">
        <v>555</v>
      </c>
      <c r="FB39" s="161">
        <f t="shared" si="0"/>
        <v>99125</v>
      </c>
    </row>
    <row r="40" spans="1:158" ht="17.25" thickBot="1" x14ac:dyDescent="0.3">
      <c r="A40" s="226">
        <v>46129</v>
      </c>
      <c r="B40" s="227" t="s">
        <v>175</v>
      </c>
      <c r="C40" s="227" t="s">
        <v>583</v>
      </c>
      <c r="D40" s="228">
        <v>375</v>
      </c>
      <c r="E40" s="231">
        <v>3540.9</v>
      </c>
      <c r="F40" s="231">
        <v>3443.3</v>
      </c>
      <c r="G40" s="228">
        <v>97.6</v>
      </c>
      <c r="H40" s="229">
        <v>2.8299999999999999E-2</v>
      </c>
      <c r="I40" s="231">
        <v>3531.5</v>
      </c>
      <c r="J40" s="231">
        <v>3446.7</v>
      </c>
      <c r="K40" s="228">
        <v>84.8</v>
      </c>
      <c r="L40" s="229">
        <v>2.46E-2</v>
      </c>
      <c r="M40" s="231">
        <v>3540.9</v>
      </c>
      <c r="N40" s="231">
        <v>3443.3</v>
      </c>
      <c r="O40" s="228">
        <v>97.6</v>
      </c>
      <c r="P40" s="229">
        <v>2.8299999999999999E-2</v>
      </c>
      <c r="Q40" s="231">
        <v>3542.2</v>
      </c>
      <c r="R40" s="231">
        <v>3443.9</v>
      </c>
      <c r="S40" s="228">
        <v>98.3</v>
      </c>
      <c r="T40" s="229">
        <v>2.8500000000000001E-2</v>
      </c>
      <c r="U40" s="231">
        <v>3546.4</v>
      </c>
      <c r="V40" s="231">
        <v>3453.6</v>
      </c>
      <c r="W40" s="228">
        <v>92.8</v>
      </c>
      <c r="X40" s="229">
        <v>2.69E-2</v>
      </c>
      <c r="Y40" s="228">
        <v>9.4</v>
      </c>
      <c r="Z40" s="228">
        <v>-3.4</v>
      </c>
      <c r="AA40" s="228">
        <v>12.8</v>
      </c>
      <c r="AB40" s="229">
        <v>2.7000000000000001E-3</v>
      </c>
      <c r="AC40" s="228">
        <v>9.4</v>
      </c>
      <c r="AD40" s="228">
        <v>-3.4</v>
      </c>
      <c r="AE40" s="228">
        <v>12.8</v>
      </c>
      <c r="AF40" s="229">
        <v>2.7000000000000001E-3</v>
      </c>
      <c r="AG40" s="228">
        <v>10.7</v>
      </c>
      <c r="AH40" s="228">
        <v>-2.8</v>
      </c>
      <c r="AI40" s="228">
        <v>13.5</v>
      </c>
      <c r="AJ40" s="229">
        <v>3.0000000000000001E-3</v>
      </c>
      <c r="AK40" s="228">
        <v>14.9</v>
      </c>
      <c r="AL40" s="228">
        <v>6.9</v>
      </c>
      <c r="AM40" s="228">
        <v>8</v>
      </c>
      <c r="AN40" s="229">
        <v>4.1999999999999997E-3</v>
      </c>
      <c r="AO40" s="231">
        <v>3491.04</v>
      </c>
      <c r="AP40" s="231">
        <v>3495.16</v>
      </c>
      <c r="AQ40" s="228">
        <v>0</v>
      </c>
      <c r="AR40" s="230">
        <v>5644875</v>
      </c>
      <c r="AS40" s="230">
        <v>3221625</v>
      </c>
      <c r="AT40" s="230">
        <v>2423250</v>
      </c>
      <c r="AU40" s="229">
        <v>0.75219999999999998</v>
      </c>
      <c r="AV40" s="230">
        <v>4706250</v>
      </c>
      <c r="AW40" s="230">
        <v>2781750</v>
      </c>
      <c r="AX40" s="230">
        <v>1924500</v>
      </c>
      <c r="AY40" s="229">
        <v>0.69179999999999997</v>
      </c>
      <c r="AZ40" s="230">
        <v>808125</v>
      </c>
      <c r="BA40" s="230">
        <v>371625</v>
      </c>
      <c r="BB40" s="230">
        <v>436500</v>
      </c>
      <c r="BC40" s="229">
        <v>1.1746000000000001</v>
      </c>
      <c r="BD40" s="230">
        <v>130500</v>
      </c>
      <c r="BE40" s="230">
        <v>68250</v>
      </c>
      <c r="BF40" s="230">
        <v>62250</v>
      </c>
      <c r="BG40" s="229">
        <v>0.91210000000000002</v>
      </c>
      <c r="BH40" s="230">
        <v>33615750</v>
      </c>
      <c r="BI40" s="230">
        <v>16083000</v>
      </c>
      <c r="BJ40" s="230">
        <v>17532750</v>
      </c>
      <c r="BK40" s="229">
        <v>1.0901000000000001</v>
      </c>
      <c r="BL40" s="230">
        <v>25735875</v>
      </c>
      <c r="BM40" s="230">
        <v>14324625</v>
      </c>
      <c r="BN40" s="230">
        <v>11411250</v>
      </c>
      <c r="BO40" s="229">
        <v>0.79659999999999997</v>
      </c>
      <c r="BP40" s="230">
        <v>64996500</v>
      </c>
      <c r="BQ40" s="230">
        <v>33629250</v>
      </c>
      <c r="BR40" s="230">
        <v>31367250</v>
      </c>
      <c r="BS40" s="229">
        <v>0.93269999999999997</v>
      </c>
      <c r="BT40" s="230">
        <v>6083283</v>
      </c>
      <c r="BU40" s="230">
        <v>4790050</v>
      </c>
      <c r="BV40" s="230">
        <v>1293233</v>
      </c>
      <c r="BW40" s="229">
        <v>0.27</v>
      </c>
      <c r="BX40" s="230">
        <v>8407500</v>
      </c>
      <c r="BY40" s="230">
        <v>7952625</v>
      </c>
      <c r="BZ40" s="230">
        <v>454875</v>
      </c>
      <c r="CA40" s="229">
        <v>5.7200000000000001E-2</v>
      </c>
      <c r="CB40" s="230">
        <v>7321500</v>
      </c>
      <c r="CC40" s="230">
        <v>7174875</v>
      </c>
      <c r="CD40" s="230">
        <v>146625</v>
      </c>
      <c r="CE40" s="229">
        <v>2.0400000000000001E-2</v>
      </c>
      <c r="CF40" s="230">
        <v>949500</v>
      </c>
      <c r="CG40" s="230">
        <v>658125</v>
      </c>
      <c r="CH40" s="230">
        <v>291375</v>
      </c>
      <c r="CI40" s="229">
        <v>0.44269999999999998</v>
      </c>
      <c r="CJ40" s="230">
        <v>136500</v>
      </c>
      <c r="CK40" s="230">
        <v>119625</v>
      </c>
      <c r="CL40" s="230">
        <v>16875</v>
      </c>
      <c r="CM40" s="229">
        <v>0.1411</v>
      </c>
      <c r="CN40" s="230">
        <v>8000250</v>
      </c>
      <c r="CO40" s="230">
        <v>7076250</v>
      </c>
      <c r="CP40" s="230">
        <v>924000</v>
      </c>
      <c r="CQ40" s="229">
        <v>0.13059999999999999</v>
      </c>
      <c r="CR40" s="230">
        <v>10598625</v>
      </c>
      <c r="CS40" s="230">
        <v>9145500</v>
      </c>
      <c r="CT40" s="230">
        <v>1453125</v>
      </c>
      <c r="CU40" s="229">
        <v>0.15890000000000001</v>
      </c>
      <c r="CV40" s="230">
        <v>27006375</v>
      </c>
      <c r="CW40" s="230">
        <v>24174375</v>
      </c>
      <c r="CX40" s="230">
        <v>2832000</v>
      </c>
      <c r="CY40" s="229">
        <v>0.1171</v>
      </c>
      <c r="CZ40" s="228">
        <v>41.49</v>
      </c>
      <c r="DA40" s="228">
        <v>43.82</v>
      </c>
      <c r="DB40" s="228">
        <v>-2.33</v>
      </c>
      <c r="DC40" s="228">
        <v>-2.33</v>
      </c>
      <c r="DD40" s="228">
        <v>59.22</v>
      </c>
      <c r="DE40" s="228">
        <v>59.28</v>
      </c>
      <c r="DF40" s="228">
        <v>-17.73</v>
      </c>
      <c r="DG40" s="228">
        <v>-0.06</v>
      </c>
      <c r="DH40" s="228">
        <v>38.4</v>
      </c>
      <c r="DI40" s="228">
        <v>41.05</v>
      </c>
      <c r="DJ40" s="228">
        <v>-2.65</v>
      </c>
      <c r="DK40" s="228">
        <v>-2.65</v>
      </c>
      <c r="DL40" s="228">
        <v>45.53</v>
      </c>
      <c r="DM40" s="228">
        <v>46.93</v>
      </c>
      <c r="DN40" s="228">
        <v>-1.4</v>
      </c>
      <c r="DO40" s="228">
        <v>-1.4</v>
      </c>
      <c r="DP40" s="228">
        <v>1.32</v>
      </c>
      <c r="DQ40" s="228">
        <v>1.29</v>
      </c>
      <c r="DR40" s="228">
        <v>0.03</v>
      </c>
      <c r="DS40" s="229">
        <v>2.3300000000000001E-2</v>
      </c>
      <c r="DT40" s="231">
        <v>3500</v>
      </c>
      <c r="DU40" s="231">
        <v>3400</v>
      </c>
      <c r="DV40" s="228">
        <v>0.77</v>
      </c>
      <c r="DW40" s="228">
        <v>0.89</v>
      </c>
      <c r="DX40" s="228">
        <v>-0.12</v>
      </c>
      <c r="DY40" s="229">
        <v>-0.1348</v>
      </c>
      <c r="DZ40" s="229">
        <v>0.12920000000000001</v>
      </c>
      <c r="EA40" s="230">
        <v>777750</v>
      </c>
      <c r="EB40" s="229">
        <v>4.0000000000000002E-4</v>
      </c>
      <c r="EC40" s="229">
        <v>0.12920000000000001</v>
      </c>
      <c r="ED40" s="228">
        <v>4.12</v>
      </c>
      <c r="EE40" s="229">
        <v>1.1999999999999999E-3</v>
      </c>
      <c r="EF40" s="230">
        <v>1244324</v>
      </c>
      <c r="EG40" s="230">
        <v>1452309</v>
      </c>
      <c r="EH40" s="229">
        <v>-0.14319999999999999</v>
      </c>
      <c r="EI40" s="229">
        <v>0.20449999999999999</v>
      </c>
      <c r="EJ40" s="231">
        <v>1225785.22</v>
      </c>
      <c r="EK40" s="231">
        <v>861447</v>
      </c>
      <c r="EL40" s="231">
        <v>197122.11</v>
      </c>
      <c r="EM40" s="231">
        <v>9605</v>
      </c>
      <c r="EN40" s="231">
        <v>2284354.33</v>
      </c>
      <c r="EO40" s="231">
        <v>1161173.94</v>
      </c>
      <c r="EP40" s="231">
        <v>1123180.3899999999</v>
      </c>
      <c r="EQ40" s="229">
        <v>0.96730000000000005</v>
      </c>
      <c r="ER40" s="231">
        <v>267447</v>
      </c>
      <c r="ES40" s="231">
        <v>325587</v>
      </c>
      <c r="ET40" s="231">
        <v>297721</v>
      </c>
      <c r="EU40" s="231">
        <v>61182611</v>
      </c>
      <c r="EV40" s="231">
        <v>890755</v>
      </c>
      <c r="EW40" s="231">
        <v>781415</v>
      </c>
      <c r="EX40" s="231">
        <v>109340</v>
      </c>
      <c r="EY40" s="229">
        <v>0.1399</v>
      </c>
      <c r="EZ40" s="229">
        <v>0.44140000000000001</v>
      </c>
      <c r="FA40" s="227" t="s">
        <v>555</v>
      </c>
      <c r="FB40" s="161">
        <f t="shared" si="0"/>
        <v>1086000</v>
      </c>
    </row>
    <row r="41" spans="1:158" ht="17.25" thickBot="1" x14ac:dyDescent="0.3">
      <c r="A41" s="226">
        <v>46129</v>
      </c>
      <c r="B41" s="227" t="s">
        <v>175</v>
      </c>
      <c r="C41" s="227" t="s">
        <v>610</v>
      </c>
      <c r="D41" s="228">
        <v>750</v>
      </c>
      <c r="E41" s="228">
        <v>752.35</v>
      </c>
      <c r="F41" s="228">
        <v>738.1</v>
      </c>
      <c r="G41" s="228">
        <v>14.25</v>
      </c>
      <c r="H41" s="229">
        <v>1.9300000000000001E-2</v>
      </c>
      <c r="I41" s="228">
        <v>750.15</v>
      </c>
      <c r="J41" s="228">
        <v>738.4</v>
      </c>
      <c r="K41" s="228">
        <v>11.75</v>
      </c>
      <c r="L41" s="229">
        <v>1.5900000000000001E-2</v>
      </c>
      <c r="M41" s="228">
        <v>752.35</v>
      </c>
      <c r="N41" s="228">
        <v>738.1</v>
      </c>
      <c r="O41" s="228">
        <v>14.25</v>
      </c>
      <c r="P41" s="229">
        <v>1.9300000000000001E-2</v>
      </c>
      <c r="Q41" s="228">
        <v>742.7</v>
      </c>
      <c r="R41" s="228">
        <v>729.95</v>
      </c>
      <c r="S41" s="228">
        <v>12.75</v>
      </c>
      <c r="T41" s="229">
        <v>1.7500000000000002E-2</v>
      </c>
      <c r="U41" s="228">
        <v>738.65</v>
      </c>
      <c r="V41" s="228">
        <v>730.05</v>
      </c>
      <c r="W41" s="228">
        <v>8.6</v>
      </c>
      <c r="X41" s="229">
        <v>1.18E-2</v>
      </c>
      <c r="Y41" s="228">
        <v>2.2000000000000002</v>
      </c>
      <c r="Z41" s="228">
        <v>-0.3</v>
      </c>
      <c r="AA41" s="228">
        <v>2.5</v>
      </c>
      <c r="AB41" s="229">
        <v>2.8999999999999998E-3</v>
      </c>
      <c r="AC41" s="228">
        <v>2.2000000000000002</v>
      </c>
      <c r="AD41" s="228">
        <v>-0.3</v>
      </c>
      <c r="AE41" s="228">
        <v>2.5</v>
      </c>
      <c r="AF41" s="229">
        <v>2.8999999999999998E-3</v>
      </c>
      <c r="AG41" s="228">
        <v>-7.45</v>
      </c>
      <c r="AH41" s="228">
        <v>-8.4499999999999993</v>
      </c>
      <c r="AI41" s="228">
        <v>1</v>
      </c>
      <c r="AJ41" s="229">
        <v>-9.9000000000000008E-3</v>
      </c>
      <c r="AK41" s="228">
        <v>-11.5</v>
      </c>
      <c r="AL41" s="228">
        <v>-8.35</v>
      </c>
      <c r="AM41" s="228">
        <v>-3.15</v>
      </c>
      <c r="AN41" s="229">
        <v>-1.5299999999999999E-2</v>
      </c>
      <c r="AO41" s="228">
        <v>747.49</v>
      </c>
      <c r="AP41" s="228">
        <v>736.18</v>
      </c>
      <c r="AQ41" s="228">
        <v>0</v>
      </c>
      <c r="AR41" s="230">
        <v>2547000</v>
      </c>
      <c r="AS41" s="230">
        <v>1593750</v>
      </c>
      <c r="AT41" s="230">
        <v>953250</v>
      </c>
      <c r="AU41" s="229">
        <v>0.59809999999999997</v>
      </c>
      <c r="AV41" s="230">
        <v>1964250</v>
      </c>
      <c r="AW41" s="230">
        <v>1270500</v>
      </c>
      <c r="AX41" s="230">
        <v>693750</v>
      </c>
      <c r="AY41" s="229">
        <v>0.54600000000000004</v>
      </c>
      <c r="AZ41" s="230">
        <v>542250</v>
      </c>
      <c r="BA41" s="230">
        <v>294000</v>
      </c>
      <c r="BB41" s="230">
        <v>248250</v>
      </c>
      <c r="BC41" s="229">
        <v>0.84440000000000004</v>
      </c>
      <c r="BD41" s="230">
        <v>40500</v>
      </c>
      <c r="BE41" s="230">
        <v>29250</v>
      </c>
      <c r="BF41" s="230">
        <v>11250</v>
      </c>
      <c r="BG41" s="229">
        <v>0.3846</v>
      </c>
      <c r="BH41" s="230">
        <v>6810750</v>
      </c>
      <c r="BI41" s="230">
        <v>3742500</v>
      </c>
      <c r="BJ41" s="230">
        <v>3068250</v>
      </c>
      <c r="BK41" s="229">
        <v>0.81979999999999997</v>
      </c>
      <c r="BL41" s="230">
        <v>3327000</v>
      </c>
      <c r="BM41" s="230">
        <v>1929000</v>
      </c>
      <c r="BN41" s="230">
        <v>1398000</v>
      </c>
      <c r="BO41" s="229">
        <v>0.72470000000000001</v>
      </c>
      <c r="BP41" s="230">
        <v>12684750</v>
      </c>
      <c r="BQ41" s="230">
        <v>7265250</v>
      </c>
      <c r="BR41" s="230">
        <v>5419500</v>
      </c>
      <c r="BS41" s="229">
        <v>0.74590000000000001</v>
      </c>
      <c r="BT41" s="230">
        <v>2371105</v>
      </c>
      <c r="BU41" s="230">
        <v>1530576</v>
      </c>
      <c r="BV41" s="230">
        <v>840529</v>
      </c>
      <c r="BW41" s="229">
        <v>0.54920000000000002</v>
      </c>
      <c r="BX41" s="230">
        <v>7596000</v>
      </c>
      <c r="BY41" s="230">
        <v>7374750</v>
      </c>
      <c r="BZ41" s="230">
        <v>221250</v>
      </c>
      <c r="CA41" s="229">
        <v>0.03</v>
      </c>
      <c r="CB41" s="230">
        <v>6367500</v>
      </c>
      <c r="CC41" s="230">
        <v>6285000</v>
      </c>
      <c r="CD41" s="230">
        <v>82500</v>
      </c>
      <c r="CE41" s="229">
        <v>1.3100000000000001E-2</v>
      </c>
      <c r="CF41" s="230">
        <v>1156500</v>
      </c>
      <c r="CG41" s="230">
        <v>1029000</v>
      </c>
      <c r="CH41" s="230">
        <v>127500</v>
      </c>
      <c r="CI41" s="229">
        <v>0.1239</v>
      </c>
      <c r="CJ41" s="230">
        <v>72000</v>
      </c>
      <c r="CK41" s="230">
        <v>60750</v>
      </c>
      <c r="CL41" s="230">
        <v>11250</v>
      </c>
      <c r="CM41" s="229">
        <v>0.1852</v>
      </c>
      <c r="CN41" s="230">
        <v>2984250</v>
      </c>
      <c r="CO41" s="230">
        <v>2654250</v>
      </c>
      <c r="CP41" s="230">
        <v>330000</v>
      </c>
      <c r="CQ41" s="229">
        <v>0.12429999999999999</v>
      </c>
      <c r="CR41" s="230">
        <v>2545500</v>
      </c>
      <c r="CS41" s="230">
        <v>2046750</v>
      </c>
      <c r="CT41" s="230">
        <v>498750</v>
      </c>
      <c r="CU41" s="229">
        <v>0.2437</v>
      </c>
      <c r="CV41" s="230">
        <v>13125750</v>
      </c>
      <c r="CW41" s="230">
        <v>12075750</v>
      </c>
      <c r="CX41" s="230">
        <v>1050000</v>
      </c>
      <c r="CY41" s="229">
        <v>8.6999999999999994E-2</v>
      </c>
      <c r="CZ41" s="228">
        <v>32.450000000000003</v>
      </c>
      <c r="DA41" s="228">
        <v>32.53</v>
      </c>
      <c r="DB41" s="228">
        <v>-0.08</v>
      </c>
      <c r="DC41" s="228">
        <v>-0.08</v>
      </c>
      <c r="DD41" s="228">
        <v>40.96</v>
      </c>
      <c r="DE41" s="228">
        <v>40.98</v>
      </c>
      <c r="DF41" s="228">
        <v>-8.51</v>
      </c>
      <c r="DG41" s="228">
        <v>-0.02</v>
      </c>
      <c r="DH41" s="228">
        <v>30.68</v>
      </c>
      <c r="DI41" s="228">
        <v>31.41</v>
      </c>
      <c r="DJ41" s="228">
        <v>-0.73</v>
      </c>
      <c r="DK41" s="228">
        <v>-0.73</v>
      </c>
      <c r="DL41" s="228">
        <v>36.06</v>
      </c>
      <c r="DM41" s="228">
        <v>34.69</v>
      </c>
      <c r="DN41" s="228">
        <v>1.37</v>
      </c>
      <c r="DO41" s="228">
        <v>1.37</v>
      </c>
      <c r="DP41" s="228">
        <v>0.85</v>
      </c>
      <c r="DQ41" s="228">
        <v>0.77</v>
      </c>
      <c r="DR41" s="228">
        <v>0.08</v>
      </c>
      <c r="DS41" s="229">
        <v>0.10390000000000001</v>
      </c>
      <c r="DT41" s="228">
        <v>800</v>
      </c>
      <c r="DU41" s="228">
        <v>700</v>
      </c>
      <c r="DV41" s="228">
        <v>0.49</v>
      </c>
      <c r="DW41" s="228">
        <v>0.52</v>
      </c>
      <c r="DX41" s="228">
        <v>-0.03</v>
      </c>
      <c r="DY41" s="229">
        <v>-5.7700000000000001E-2</v>
      </c>
      <c r="DZ41" s="229">
        <v>0.16170000000000001</v>
      </c>
      <c r="EA41" s="230">
        <v>1089750</v>
      </c>
      <c r="EB41" s="229">
        <v>-1.2800000000000001E-2</v>
      </c>
      <c r="EC41" s="229">
        <v>0.16170000000000001</v>
      </c>
      <c r="ED41" s="228">
        <v>-11.31</v>
      </c>
      <c r="EE41" s="229">
        <v>-1.5100000000000001E-2</v>
      </c>
      <c r="EF41" s="230">
        <v>1017656</v>
      </c>
      <c r="EG41" s="230">
        <v>526736</v>
      </c>
      <c r="EH41" s="229">
        <v>0.93200000000000005</v>
      </c>
      <c r="EI41" s="229">
        <v>0.42920000000000003</v>
      </c>
      <c r="EJ41" s="231">
        <v>52961.67</v>
      </c>
      <c r="EK41" s="231">
        <v>23947.73</v>
      </c>
      <c r="EL41" s="231">
        <v>18971.939999999999</v>
      </c>
      <c r="EM41" s="231">
        <v>2294</v>
      </c>
      <c r="EN41" s="231">
        <v>95881.34</v>
      </c>
      <c r="EO41" s="231">
        <v>53955.43</v>
      </c>
      <c r="EP41" s="231">
        <v>41925.910000000003</v>
      </c>
      <c r="EQ41" s="229">
        <v>0.77700000000000002</v>
      </c>
      <c r="ER41" s="231">
        <v>22180</v>
      </c>
      <c r="ES41" s="231">
        <v>17393</v>
      </c>
      <c r="ET41" s="231">
        <v>57027</v>
      </c>
      <c r="EU41" s="231">
        <v>37147595</v>
      </c>
      <c r="EV41" s="231">
        <v>96600</v>
      </c>
      <c r="EW41" s="231">
        <v>87681</v>
      </c>
      <c r="EX41" s="231">
        <v>8919</v>
      </c>
      <c r="EY41" s="229">
        <v>0.1017</v>
      </c>
      <c r="EZ41" s="229">
        <v>0.3533</v>
      </c>
      <c r="FA41" s="227" t="s">
        <v>555</v>
      </c>
      <c r="FB41" s="161">
        <f t="shared" si="0"/>
        <v>1228500</v>
      </c>
    </row>
    <row r="42" spans="1:158" ht="17.25" thickBot="1" x14ac:dyDescent="0.3">
      <c r="A42" s="226">
        <v>46129</v>
      </c>
      <c r="B42" s="227" t="s">
        <v>172</v>
      </c>
      <c r="C42" s="227" t="s">
        <v>196</v>
      </c>
      <c r="D42" s="228">
        <v>6750</v>
      </c>
      <c r="E42" s="228">
        <v>142.61000000000001</v>
      </c>
      <c r="F42" s="228">
        <v>141.46</v>
      </c>
      <c r="G42" s="228">
        <v>1.1499999999999999</v>
      </c>
      <c r="H42" s="229">
        <v>8.0999999999999996E-3</v>
      </c>
      <c r="I42" s="228">
        <v>142.37</v>
      </c>
      <c r="J42" s="228">
        <v>141.03</v>
      </c>
      <c r="K42" s="228">
        <v>1.34</v>
      </c>
      <c r="L42" s="229">
        <v>9.4999999999999998E-3</v>
      </c>
      <c r="M42" s="228">
        <v>142.61000000000001</v>
      </c>
      <c r="N42" s="228">
        <v>141.46</v>
      </c>
      <c r="O42" s="228">
        <v>1.1499999999999999</v>
      </c>
      <c r="P42" s="229">
        <v>8.0999999999999996E-3</v>
      </c>
      <c r="Q42" s="228">
        <v>143.41</v>
      </c>
      <c r="R42" s="228">
        <v>142.19999999999999</v>
      </c>
      <c r="S42" s="228">
        <v>1.21</v>
      </c>
      <c r="T42" s="229">
        <v>8.5000000000000006E-3</v>
      </c>
      <c r="U42" s="228">
        <v>144.37</v>
      </c>
      <c r="V42" s="228">
        <v>143.13999999999999</v>
      </c>
      <c r="W42" s="228">
        <v>1.23</v>
      </c>
      <c r="X42" s="229">
        <v>8.6E-3</v>
      </c>
      <c r="Y42" s="228">
        <v>0.24</v>
      </c>
      <c r="Z42" s="228">
        <v>0.43</v>
      </c>
      <c r="AA42" s="228">
        <v>-0.19</v>
      </c>
      <c r="AB42" s="229">
        <v>1.6999999999999999E-3</v>
      </c>
      <c r="AC42" s="228">
        <v>0.24</v>
      </c>
      <c r="AD42" s="228">
        <v>0.43</v>
      </c>
      <c r="AE42" s="228">
        <v>-0.19</v>
      </c>
      <c r="AF42" s="229">
        <v>1.6999999999999999E-3</v>
      </c>
      <c r="AG42" s="228">
        <v>1.04</v>
      </c>
      <c r="AH42" s="228">
        <v>1.17</v>
      </c>
      <c r="AI42" s="228">
        <v>-0.13</v>
      </c>
      <c r="AJ42" s="229">
        <v>7.3000000000000001E-3</v>
      </c>
      <c r="AK42" s="228">
        <v>2</v>
      </c>
      <c r="AL42" s="228">
        <v>2.11</v>
      </c>
      <c r="AM42" s="228">
        <v>-0.11</v>
      </c>
      <c r="AN42" s="229">
        <v>1.4E-2</v>
      </c>
      <c r="AO42" s="228">
        <v>142.08000000000001</v>
      </c>
      <c r="AP42" s="228">
        <v>142.97</v>
      </c>
      <c r="AQ42" s="228">
        <v>0</v>
      </c>
      <c r="AR42" s="230">
        <v>51306750</v>
      </c>
      <c r="AS42" s="230">
        <v>31394250</v>
      </c>
      <c r="AT42" s="230">
        <v>19912500</v>
      </c>
      <c r="AU42" s="229">
        <v>0.63429999999999997</v>
      </c>
      <c r="AV42" s="230">
        <v>32609250</v>
      </c>
      <c r="AW42" s="230">
        <v>24374250</v>
      </c>
      <c r="AX42" s="230">
        <v>8235000</v>
      </c>
      <c r="AY42" s="229">
        <v>0.33789999999999998</v>
      </c>
      <c r="AZ42" s="230">
        <v>6061500</v>
      </c>
      <c r="BA42" s="230">
        <v>6446250</v>
      </c>
      <c r="BB42" s="230">
        <v>-384750</v>
      </c>
      <c r="BC42" s="229">
        <v>-5.9700000000000003E-2</v>
      </c>
      <c r="BD42" s="230">
        <v>12636000</v>
      </c>
      <c r="BE42" s="230">
        <v>573750</v>
      </c>
      <c r="BF42" s="230">
        <v>12062250</v>
      </c>
      <c r="BG42" s="229">
        <v>21.023499999999999</v>
      </c>
      <c r="BH42" s="230">
        <v>65164500</v>
      </c>
      <c r="BI42" s="230">
        <v>53217000</v>
      </c>
      <c r="BJ42" s="230">
        <v>11947500</v>
      </c>
      <c r="BK42" s="229">
        <v>0.22450000000000001</v>
      </c>
      <c r="BL42" s="230">
        <v>37084500</v>
      </c>
      <c r="BM42" s="230">
        <v>41863500</v>
      </c>
      <c r="BN42" s="230">
        <v>-4779000</v>
      </c>
      <c r="BO42" s="229">
        <v>-0.1142</v>
      </c>
      <c r="BP42" s="230">
        <v>153555750</v>
      </c>
      <c r="BQ42" s="230">
        <v>126474750</v>
      </c>
      <c r="BR42" s="230">
        <v>27081000</v>
      </c>
      <c r="BS42" s="229">
        <v>0.21410000000000001</v>
      </c>
      <c r="BT42" s="230">
        <v>14964789</v>
      </c>
      <c r="BU42" s="230">
        <v>27622484</v>
      </c>
      <c r="BV42" s="230">
        <v>-12657695</v>
      </c>
      <c r="BW42" s="229">
        <v>-0.4582</v>
      </c>
      <c r="BX42" s="230">
        <v>198470250</v>
      </c>
      <c r="BY42" s="230">
        <v>198396000</v>
      </c>
      <c r="BZ42" s="230">
        <v>74250</v>
      </c>
      <c r="CA42" s="229">
        <v>4.0000000000000002E-4</v>
      </c>
      <c r="CB42" s="230">
        <v>167514750</v>
      </c>
      <c r="CC42" s="230">
        <v>182668500</v>
      </c>
      <c r="CD42" s="230">
        <v>-15153750</v>
      </c>
      <c r="CE42" s="229">
        <v>-8.3000000000000004E-2</v>
      </c>
      <c r="CF42" s="230">
        <v>17138250</v>
      </c>
      <c r="CG42" s="230">
        <v>14127750</v>
      </c>
      <c r="CH42" s="230">
        <v>3010500</v>
      </c>
      <c r="CI42" s="229">
        <v>0.21310000000000001</v>
      </c>
      <c r="CJ42" s="230">
        <v>13817250</v>
      </c>
      <c r="CK42" s="230">
        <v>1599750</v>
      </c>
      <c r="CL42" s="230">
        <v>12217500</v>
      </c>
      <c r="CM42" s="229">
        <v>7.6371000000000002</v>
      </c>
      <c r="CN42" s="230">
        <v>75303000</v>
      </c>
      <c r="CO42" s="230">
        <v>74196000</v>
      </c>
      <c r="CP42" s="230">
        <v>1107000</v>
      </c>
      <c r="CQ42" s="229">
        <v>1.49E-2</v>
      </c>
      <c r="CR42" s="230">
        <v>69835500</v>
      </c>
      <c r="CS42" s="230">
        <v>69241500</v>
      </c>
      <c r="CT42" s="230">
        <v>594000</v>
      </c>
      <c r="CU42" s="229">
        <v>8.6E-3</v>
      </c>
      <c r="CV42" s="230">
        <v>343608750</v>
      </c>
      <c r="CW42" s="230">
        <v>341833500</v>
      </c>
      <c r="CX42" s="230">
        <v>1775250</v>
      </c>
      <c r="CY42" s="229">
        <v>5.1999999999999998E-3</v>
      </c>
      <c r="CZ42" s="228">
        <v>35.15</v>
      </c>
      <c r="DA42" s="228">
        <v>35.58</v>
      </c>
      <c r="DB42" s="228">
        <v>-0.43</v>
      </c>
      <c r="DC42" s="228">
        <v>-0.43</v>
      </c>
      <c r="DD42" s="228">
        <v>39.14</v>
      </c>
      <c r="DE42" s="228">
        <v>39.22</v>
      </c>
      <c r="DF42" s="228">
        <v>-3.99</v>
      </c>
      <c r="DG42" s="228">
        <v>-0.08</v>
      </c>
      <c r="DH42" s="228">
        <v>33.97</v>
      </c>
      <c r="DI42" s="228">
        <v>34.299999999999997</v>
      </c>
      <c r="DJ42" s="228">
        <v>-0.33</v>
      </c>
      <c r="DK42" s="228">
        <v>-0.33</v>
      </c>
      <c r="DL42" s="228">
        <v>37.229999999999997</v>
      </c>
      <c r="DM42" s="228">
        <v>37.21</v>
      </c>
      <c r="DN42" s="228">
        <v>0.02</v>
      </c>
      <c r="DO42" s="228">
        <v>0.02</v>
      </c>
      <c r="DP42" s="228">
        <v>0.93</v>
      </c>
      <c r="DQ42" s="228">
        <v>0.93</v>
      </c>
      <c r="DR42" s="228">
        <v>0</v>
      </c>
      <c r="DS42" s="229">
        <v>0</v>
      </c>
      <c r="DT42" s="228">
        <v>150</v>
      </c>
      <c r="DU42" s="228">
        <v>140</v>
      </c>
      <c r="DV42" s="228">
        <v>0.56999999999999995</v>
      </c>
      <c r="DW42" s="228">
        <v>0.79</v>
      </c>
      <c r="DX42" s="228">
        <v>-0.22</v>
      </c>
      <c r="DY42" s="229">
        <v>-0.27850000000000003</v>
      </c>
      <c r="DZ42" s="229">
        <v>0.156</v>
      </c>
      <c r="EA42" s="230">
        <v>15727500</v>
      </c>
      <c r="EB42" s="229">
        <v>5.5999999999999999E-3</v>
      </c>
      <c r="EC42" s="229">
        <v>0.156</v>
      </c>
      <c r="ED42" s="228">
        <v>0.89</v>
      </c>
      <c r="EE42" s="229">
        <v>6.3E-3</v>
      </c>
      <c r="EF42" s="230">
        <v>5133895</v>
      </c>
      <c r="EG42" s="230">
        <v>13685743</v>
      </c>
      <c r="EH42" s="229">
        <v>-0.62490000000000001</v>
      </c>
      <c r="EI42" s="229">
        <v>0.34310000000000002</v>
      </c>
      <c r="EJ42" s="231">
        <v>96314.41</v>
      </c>
      <c r="EK42" s="231">
        <v>52186.36</v>
      </c>
      <c r="EL42" s="231">
        <v>73163.55</v>
      </c>
      <c r="EM42" s="231">
        <v>4973</v>
      </c>
      <c r="EN42" s="231">
        <v>221664.32</v>
      </c>
      <c r="EO42" s="231">
        <v>182054.33</v>
      </c>
      <c r="EP42" s="231">
        <v>39609.99</v>
      </c>
      <c r="EQ42" s="229">
        <v>0.21759999999999999</v>
      </c>
      <c r="ER42" s="231">
        <v>107731</v>
      </c>
      <c r="ES42" s="231">
        <v>94843</v>
      </c>
      <c r="ET42" s="231">
        <v>283419</v>
      </c>
      <c r="EU42" s="231">
        <v>504315430</v>
      </c>
      <c r="EV42" s="231">
        <v>485993</v>
      </c>
      <c r="EW42" s="231">
        <v>480508</v>
      </c>
      <c r="EX42" s="231">
        <v>5485</v>
      </c>
      <c r="EY42" s="229">
        <v>1.14E-2</v>
      </c>
      <c r="EZ42" s="229">
        <v>0.68130000000000002</v>
      </c>
      <c r="FA42" s="227" t="s">
        <v>555</v>
      </c>
      <c r="FB42" s="161">
        <f t="shared" si="0"/>
        <v>30955500</v>
      </c>
    </row>
    <row r="43" spans="1:158" ht="17.25" thickBot="1" x14ac:dyDescent="0.3">
      <c r="A43" s="226">
        <v>46129</v>
      </c>
      <c r="B43" s="227" t="s">
        <v>175</v>
      </c>
      <c r="C43" s="227" t="s">
        <v>596</v>
      </c>
      <c r="D43" s="228">
        <v>475</v>
      </c>
      <c r="E43" s="231">
        <v>1396.1</v>
      </c>
      <c r="F43" s="231">
        <v>1372.3</v>
      </c>
      <c r="G43" s="228">
        <v>23.8</v>
      </c>
      <c r="H43" s="229">
        <v>1.7299999999999999E-2</v>
      </c>
      <c r="I43" s="231">
        <v>1393.2</v>
      </c>
      <c r="J43" s="231">
        <v>1367.8</v>
      </c>
      <c r="K43" s="228">
        <v>25.4</v>
      </c>
      <c r="L43" s="229">
        <v>1.8599999999999998E-2</v>
      </c>
      <c r="M43" s="231">
        <v>1396.1</v>
      </c>
      <c r="N43" s="231">
        <v>1372.3</v>
      </c>
      <c r="O43" s="228">
        <v>23.8</v>
      </c>
      <c r="P43" s="229">
        <v>1.7299999999999999E-2</v>
      </c>
      <c r="Q43" s="231">
        <v>1386.2</v>
      </c>
      <c r="R43" s="231">
        <v>1360.7</v>
      </c>
      <c r="S43" s="228">
        <v>25.5</v>
      </c>
      <c r="T43" s="229">
        <v>1.8700000000000001E-2</v>
      </c>
      <c r="U43" s="231">
        <v>1380.7</v>
      </c>
      <c r="V43" s="231">
        <v>1353.5</v>
      </c>
      <c r="W43" s="228">
        <v>27.2</v>
      </c>
      <c r="X43" s="229">
        <v>2.01E-2</v>
      </c>
      <c r="Y43" s="228">
        <v>2.9</v>
      </c>
      <c r="Z43" s="228">
        <v>4.5</v>
      </c>
      <c r="AA43" s="228">
        <v>-1.6</v>
      </c>
      <c r="AB43" s="229">
        <v>2.0999999999999999E-3</v>
      </c>
      <c r="AC43" s="228">
        <v>2.9</v>
      </c>
      <c r="AD43" s="228">
        <v>4.5</v>
      </c>
      <c r="AE43" s="228">
        <v>-1.6</v>
      </c>
      <c r="AF43" s="229">
        <v>2.0999999999999999E-3</v>
      </c>
      <c r="AG43" s="228">
        <v>-7</v>
      </c>
      <c r="AH43" s="228">
        <v>-7.1</v>
      </c>
      <c r="AI43" s="228">
        <v>0.1</v>
      </c>
      <c r="AJ43" s="229">
        <v>-5.0000000000000001E-3</v>
      </c>
      <c r="AK43" s="228">
        <v>-12.5</v>
      </c>
      <c r="AL43" s="228">
        <v>-14.3</v>
      </c>
      <c r="AM43" s="228">
        <v>1.8</v>
      </c>
      <c r="AN43" s="229">
        <v>-8.9999999999999993E-3</v>
      </c>
      <c r="AO43" s="231">
        <v>1389.45</v>
      </c>
      <c r="AP43" s="231">
        <v>1379.74</v>
      </c>
      <c r="AQ43" s="228">
        <v>0</v>
      </c>
      <c r="AR43" s="230">
        <v>2435325</v>
      </c>
      <c r="AS43" s="230">
        <v>2547425</v>
      </c>
      <c r="AT43" s="230">
        <v>-112100</v>
      </c>
      <c r="AU43" s="229">
        <v>-4.3999999999999997E-2</v>
      </c>
      <c r="AV43" s="230">
        <v>1727575</v>
      </c>
      <c r="AW43" s="230">
        <v>1783150</v>
      </c>
      <c r="AX43" s="230">
        <v>-55575</v>
      </c>
      <c r="AY43" s="229">
        <v>-3.1199999999999999E-2</v>
      </c>
      <c r="AZ43" s="230">
        <v>593750</v>
      </c>
      <c r="BA43" s="230">
        <v>627475</v>
      </c>
      <c r="BB43" s="230">
        <v>-33725</v>
      </c>
      <c r="BC43" s="229">
        <v>-5.3699999999999998E-2</v>
      </c>
      <c r="BD43" s="230">
        <v>114000</v>
      </c>
      <c r="BE43" s="230">
        <v>136800</v>
      </c>
      <c r="BF43" s="230">
        <v>-22800</v>
      </c>
      <c r="BG43" s="229">
        <v>-0.16669999999999999</v>
      </c>
      <c r="BH43" s="230">
        <v>11070350</v>
      </c>
      <c r="BI43" s="230">
        <v>7921575</v>
      </c>
      <c r="BJ43" s="230">
        <v>3148775</v>
      </c>
      <c r="BK43" s="229">
        <v>0.39750000000000002</v>
      </c>
      <c r="BL43" s="230">
        <v>6291850</v>
      </c>
      <c r="BM43" s="230">
        <v>4442675</v>
      </c>
      <c r="BN43" s="230">
        <v>1849175</v>
      </c>
      <c r="BO43" s="229">
        <v>0.41620000000000001</v>
      </c>
      <c r="BP43" s="230">
        <v>19797525</v>
      </c>
      <c r="BQ43" s="230">
        <v>14911675</v>
      </c>
      <c r="BR43" s="230">
        <v>4885850</v>
      </c>
      <c r="BS43" s="229">
        <v>0.32769999999999999</v>
      </c>
      <c r="BT43" s="230">
        <v>2418769</v>
      </c>
      <c r="BU43" s="230">
        <v>2375688</v>
      </c>
      <c r="BV43" s="230">
        <v>43081</v>
      </c>
      <c r="BW43" s="229">
        <v>1.8100000000000002E-2</v>
      </c>
      <c r="BX43" s="230">
        <v>10949225</v>
      </c>
      <c r="BY43" s="230">
        <v>11015250</v>
      </c>
      <c r="BZ43" s="230">
        <v>-66025</v>
      </c>
      <c r="CA43" s="229">
        <v>-6.0000000000000001E-3</v>
      </c>
      <c r="CB43" s="230">
        <v>7675525</v>
      </c>
      <c r="CC43" s="230">
        <v>7893075</v>
      </c>
      <c r="CD43" s="230">
        <v>-217550</v>
      </c>
      <c r="CE43" s="229">
        <v>-2.76E-2</v>
      </c>
      <c r="CF43" s="230">
        <v>2931225</v>
      </c>
      <c r="CG43" s="230">
        <v>2799650</v>
      </c>
      <c r="CH43" s="230">
        <v>131575</v>
      </c>
      <c r="CI43" s="229">
        <v>4.7E-2</v>
      </c>
      <c r="CJ43" s="230">
        <v>342475</v>
      </c>
      <c r="CK43" s="230">
        <v>322525</v>
      </c>
      <c r="CL43" s="230">
        <v>19950</v>
      </c>
      <c r="CM43" s="229">
        <v>6.1899999999999997E-2</v>
      </c>
      <c r="CN43" s="230">
        <v>4859725</v>
      </c>
      <c r="CO43" s="230">
        <v>4626025</v>
      </c>
      <c r="CP43" s="230">
        <v>233700</v>
      </c>
      <c r="CQ43" s="229">
        <v>5.0500000000000003E-2</v>
      </c>
      <c r="CR43" s="230">
        <v>4435550</v>
      </c>
      <c r="CS43" s="230">
        <v>4103050</v>
      </c>
      <c r="CT43" s="230">
        <v>332500</v>
      </c>
      <c r="CU43" s="229">
        <v>8.1000000000000003E-2</v>
      </c>
      <c r="CV43" s="230">
        <v>20244500</v>
      </c>
      <c r="CW43" s="230">
        <v>19744325</v>
      </c>
      <c r="CX43" s="230">
        <v>500175</v>
      </c>
      <c r="CY43" s="229">
        <v>2.53E-2</v>
      </c>
      <c r="CZ43" s="228">
        <v>35.200000000000003</v>
      </c>
      <c r="DA43" s="228">
        <v>35.49</v>
      </c>
      <c r="DB43" s="228">
        <v>-0.28999999999999998</v>
      </c>
      <c r="DC43" s="228">
        <v>-0.28999999999999998</v>
      </c>
      <c r="DD43" s="228">
        <v>46.82</v>
      </c>
      <c r="DE43" s="228">
        <v>46.88</v>
      </c>
      <c r="DF43" s="228">
        <v>-11.62</v>
      </c>
      <c r="DG43" s="228">
        <v>-0.06</v>
      </c>
      <c r="DH43" s="228">
        <v>33.229999999999997</v>
      </c>
      <c r="DI43" s="228">
        <v>33.6</v>
      </c>
      <c r="DJ43" s="228">
        <v>-0.37</v>
      </c>
      <c r="DK43" s="228">
        <v>-0.37</v>
      </c>
      <c r="DL43" s="228">
        <v>38.68</v>
      </c>
      <c r="DM43" s="228">
        <v>38.840000000000003</v>
      </c>
      <c r="DN43" s="228">
        <v>-0.16</v>
      </c>
      <c r="DO43" s="228">
        <v>-0.16</v>
      </c>
      <c r="DP43" s="228">
        <v>0.91</v>
      </c>
      <c r="DQ43" s="228">
        <v>0.89</v>
      </c>
      <c r="DR43" s="228">
        <v>0.02</v>
      </c>
      <c r="DS43" s="229">
        <v>2.2499999999999999E-2</v>
      </c>
      <c r="DT43" s="231">
        <v>1400</v>
      </c>
      <c r="DU43" s="231">
        <v>1400</v>
      </c>
      <c r="DV43" s="228">
        <v>0.56999999999999995</v>
      </c>
      <c r="DW43" s="228">
        <v>0.56000000000000005</v>
      </c>
      <c r="DX43" s="228">
        <v>0.01</v>
      </c>
      <c r="DY43" s="229">
        <v>1.7899999999999999E-2</v>
      </c>
      <c r="DZ43" s="229">
        <v>0.29899999999999999</v>
      </c>
      <c r="EA43" s="230">
        <v>3122175</v>
      </c>
      <c r="EB43" s="229">
        <v>-7.1000000000000004E-3</v>
      </c>
      <c r="EC43" s="229">
        <v>0.29899999999999999</v>
      </c>
      <c r="ED43" s="228">
        <v>-9.7100000000000009</v>
      </c>
      <c r="EE43" s="229">
        <v>-7.0000000000000001E-3</v>
      </c>
      <c r="EF43" s="230">
        <v>748115</v>
      </c>
      <c r="EG43" s="230">
        <v>773238</v>
      </c>
      <c r="EH43" s="229">
        <v>-3.2500000000000001E-2</v>
      </c>
      <c r="EI43" s="229">
        <v>0.30930000000000002</v>
      </c>
      <c r="EJ43" s="231">
        <v>159792.9</v>
      </c>
      <c r="EK43" s="231">
        <v>84543.85</v>
      </c>
      <c r="EL43" s="231">
        <v>33759.99</v>
      </c>
      <c r="EM43" s="231">
        <v>6098</v>
      </c>
      <c r="EN43" s="231">
        <v>278096.74</v>
      </c>
      <c r="EO43" s="231">
        <v>205524.29</v>
      </c>
      <c r="EP43" s="231">
        <v>72572.45</v>
      </c>
      <c r="EQ43" s="229">
        <v>0.35310000000000002</v>
      </c>
      <c r="ER43" s="231">
        <v>64840</v>
      </c>
      <c r="ES43" s="231">
        <v>56329</v>
      </c>
      <c r="ET43" s="231">
        <v>152519</v>
      </c>
      <c r="EU43" s="231">
        <v>26647500</v>
      </c>
      <c r="EV43" s="231">
        <v>273689</v>
      </c>
      <c r="EW43" s="231">
        <v>263441</v>
      </c>
      <c r="EX43" s="231">
        <v>10248</v>
      </c>
      <c r="EY43" s="229">
        <v>3.8899999999999997E-2</v>
      </c>
      <c r="EZ43" s="229">
        <v>0.75970000000000004</v>
      </c>
      <c r="FA43" s="227" t="s">
        <v>693</v>
      </c>
      <c r="FB43" s="161">
        <f t="shared" si="0"/>
        <v>3273700</v>
      </c>
    </row>
    <row r="44" spans="1:158" ht="17.25" thickBot="1" x14ac:dyDescent="0.3">
      <c r="A44" s="226">
        <v>46129</v>
      </c>
      <c r="B44" s="227" t="s">
        <v>161</v>
      </c>
      <c r="C44" s="227" t="s">
        <v>611</v>
      </c>
      <c r="D44" s="228">
        <v>850</v>
      </c>
      <c r="E44" s="228">
        <v>774.65</v>
      </c>
      <c r="F44" s="228">
        <v>757.85</v>
      </c>
      <c r="G44" s="228">
        <v>16.8</v>
      </c>
      <c r="H44" s="229">
        <v>2.2200000000000001E-2</v>
      </c>
      <c r="I44" s="228">
        <v>774.8</v>
      </c>
      <c r="J44" s="228">
        <v>755.9</v>
      </c>
      <c r="K44" s="228">
        <v>18.899999999999999</v>
      </c>
      <c r="L44" s="229">
        <v>2.5000000000000001E-2</v>
      </c>
      <c r="M44" s="228">
        <v>774.65</v>
      </c>
      <c r="N44" s="228">
        <v>757.85</v>
      </c>
      <c r="O44" s="228">
        <v>16.8</v>
      </c>
      <c r="P44" s="229">
        <v>2.2200000000000001E-2</v>
      </c>
      <c r="Q44" s="228">
        <v>779.2</v>
      </c>
      <c r="R44" s="228">
        <v>761.65</v>
      </c>
      <c r="S44" s="228">
        <v>17.55</v>
      </c>
      <c r="T44" s="229">
        <v>2.3E-2</v>
      </c>
      <c r="U44" s="228">
        <v>784.3</v>
      </c>
      <c r="V44" s="228">
        <v>767.1</v>
      </c>
      <c r="W44" s="228">
        <v>17.2</v>
      </c>
      <c r="X44" s="229">
        <v>2.24E-2</v>
      </c>
      <c r="Y44" s="228">
        <v>-0.15</v>
      </c>
      <c r="Z44" s="228">
        <v>1.95</v>
      </c>
      <c r="AA44" s="228">
        <v>-2.1</v>
      </c>
      <c r="AB44" s="229">
        <v>-2.0000000000000001E-4</v>
      </c>
      <c r="AC44" s="228">
        <v>-0.15</v>
      </c>
      <c r="AD44" s="228">
        <v>1.95</v>
      </c>
      <c r="AE44" s="228">
        <v>-2.1</v>
      </c>
      <c r="AF44" s="229">
        <v>-2.0000000000000001E-4</v>
      </c>
      <c r="AG44" s="228">
        <v>4.4000000000000004</v>
      </c>
      <c r="AH44" s="228">
        <v>5.75</v>
      </c>
      <c r="AI44" s="228">
        <v>-1.35</v>
      </c>
      <c r="AJ44" s="229">
        <v>5.7000000000000002E-3</v>
      </c>
      <c r="AK44" s="228">
        <v>9.5</v>
      </c>
      <c r="AL44" s="228">
        <v>11.2</v>
      </c>
      <c r="AM44" s="228">
        <v>-1.7</v>
      </c>
      <c r="AN44" s="229">
        <v>1.23E-2</v>
      </c>
      <c r="AO44" s="228">
        <v>769.03</v>
      </c>
      <c r="AP44" s="228">
        <v>774.06</v>
      </c>
      <c r="AQ44" s="228">
        <v>0</v>
      </c>
      <c r="AR44" s="230">
        <v>3585300</v>
      </c>
      <c r="AS44" s="230">
        <v>6380950</v>
      </c>
      <c r="AT44" s="230">
        <v>-2795650</v>
      </c>
      <c r="AU44" s="229">
        <v>-0.43809999999999999</v>
      </c>
      <c r="AV44" s="230">
        <v>3209600</v>
      </c>
      <c r="AW44" s="230">
        <v>4601050</v>
      </c>
      <c r="AX44" s="230">
        <v>-1391450</v>
      </c>
      <c r="AY44" s="229">
        <v>-0.3024</v>
      </c>
      <c r="AZ44" s="230">
        <v>327250</v>
      </c>
      <c r="BA44" s="230">
        <v>393550</v>
      </c>
      <c r="BB44" s="230">
        <v>-66300</v>
      </c>
      <c r="BC44" s="229">
        <v>-0.16850000000000001</v>
      </c>
      <c r="BD44" s="230">
        <v>48450</v>
      </c>
      <c r="BE44" s="230">
        <v>1386350</v>
      </c>
      <c r="BF44" s="230">
        <v>-1337900</v>
      </c>
      <c r="BG44" s="229">
        <v>-0.96509999999999996</v>
      </c>
      <c r="BH44" s="230">
        <v>13750450</v>
      </c>
      <c r="BI44" s="230">
        <v>12432100</v>
      </c>
      <c r="BJ44" s="230">
        <v>1318350</v>
      </c>
      <c r="BK44" s="229">
        <v>0.106</v>
      </c>
      <c r="BL44" s="230">
        <v>4390250</v>
      </c>
      <c r="BM44" s="230">
        <v>3841150</v>
      </c>
      <c r="BN44" s="230">
        <v>549100</v>
      </c>
      <c r="BO44" s="229">
        <v>0.14299999999999999</v>
      </c>
      <c r="BP44" s="230">
        <v>21726000</v>
      </c>
      <c r="BQ44" s="230">
        <v>22654200</v>
      </c>
      <c r="BR44" s="230">
        <v>-928200</v>
      </c>
      <c r="BS44" s="229">
        <v>-4.1000000000000002E-2</v>
      </c>
      <c r="BT44" s="230">
        <v>4593602</v>
      </c>
      <c r="BU44" s="230">
        <v>3706650</v>
      </c>
      <c r="BV44" s="230">
        <v>886952</v>
      </c>
      <c r="BW44" s="229">
        <v>0.23930000000000001</v>
      </c>
      <c r="BX44" s="230">
        <v>19886600</v>
      </c>
      <c r="BY44" s="230">
        <v>20339650</v>
      </c>
      <c r="BZ44" s="230">
        <v>-453050</v>
      </c>
      <c r="CA44" s="229">
        <v>-2.23E-2</v>
      </c>
      <c r="CB44" s="230">
        <v>18067600</v>
      </c>
      <c r="CC44" s="230">
        <v>18569950</v>
      </c>
      <c r="CD44" s="230">
        <v>-502350</v>
      </c>
      <c r="CE44" s="229">
        <v>-2.7099999999999999E-2</v>
      </c>
      <c r="CF44" s="230">
        <v>417350</v>
      </c>
      <c r="CG44" s="230">
        <v>376550</v>
      </c>
      <c r="CH44" s="230">
        <v>40800</v>
      </c>
      <c r="CI44" s="229">
        <v>0.1084</v>
      </c>
      <c r="CJ44" s="230">
        <v>1401650</v>
      </c>
      <c r="CK44" s="230">
        <v>1393150</v>
      </c>
      <c r="CL44" s="230">
        <v>8500</v>
      </c>
      <c r="CM44" s="229">
        <v>6.1000000000000004E-3</v>
      </c>
      <c r="CN44" s="230">
        <v>4134400</v>
      </c>
      <c r="CO44" s="230">
        <v>4238950</v>
      </c>
      <c r="CP44" s="230">
        <v>-104550</v>
      </c>
      <c r="CQ44" s="229">
        <v>-2.47E-2</v>
      </c>
      <c r="CR44" s="230">
        <v>2656250</v>
      </c>
      <c r="CS44" s="230">
        <v>2516000</v>
      </c>
      <c r="CT44" s="230">
        <v>140250</v>
      </c>
      <c r="CU44" s="229">
        <v>5.57E-2</v>
      </c>
      <c r="CV44" s="230">
        <v>26677250</v>
      </c>
      <c r="CW44" s="230">
        <v>27094600</v>
      </c>
      <c r="CX44" s="230">
        <v>-417350</v>
      </c>
      <c r="CY44" s="229">
        <v>-1.54E-2</v>
      </c>
      <c r="CZ44" s="228">
        <v>35.43</v>
      </c>
      <c r="DA44" s="228">
        <v>38.44</v>
      </c>
      <c r="DB44" s="228">
        <v>-3.01</v>
      </c>
      <c r="DC44" s="228">
        <v>-3.01</v>
      </c>
      <c r="DD44" s="228">
        <v>42.46</v>
      </c>
      <c r="DE44" s="228">
        <v>42.46</v>
      </c>
      <c r="DF44" s="228">
        <v>-7.03</v>
      </c>
      <c r="DG44" s="228">
        <v>0</v>
      </c>
      <c r="DH44" s="228">
        <v>34.58</v>
      </c>
      <c r="DI44" s="228">
        <v>37.94</v>
      </c>
      <c r="DJ44" s="228">
        <v>-3.36</v>
      </c>
      <c r="DK44" s="228">
        <v>-3.36</v>
      </c>
      <c r="DL44" s="228">
        <v>38.1</v>
      </c>
      <c r="DM44" s="228">
        <v>40.08</v>
      </c>
      <c r="DN44" s="228">
        <v>-1.98</v>
      </c>
      <c r="DO44" s="228">
        <v>-1.98</v>
      </c>
      <c r="DP44" s="228">
        <v>0.64</v>
      </c>
      <c r="DQ44" s="228">
        <v>0.59</v>
      </c>
      <c r="DR44" s="228">
        <v>0.05</v>
      </c>
      <c r="DS44" s="229">
        <v>8.4699999999999998E-2</v>
      </c>
      <c r="DT44" s="228">
        <v>800</v>
      </c>
      <c r="DU44" s="228">
        <v>660</v>
      </c>
      <c r="DV44" s="228">
        <v>0.32</v>
      </c>
      <c r="DW44" s="228">
        <v>0.31</v>
      </c>
      <c r="DX44" s="228">
        <v>0.01</v>
      </c>
      <c r="DY44" s="229">
        <v>3.2300000000000002E-2</v>
      </c>
      <c r="DZ44" s="229">
        <v>9.1499999999999998E-2</v>
      </c>
      <c r="EA44" s="230">
        <v>1769700</v>
      </c>
      <c r="EB44" s="229">
        <v>5.8999999999999999E-3</v>
      </c>
      <c r="EC44" s="229">
        <v>9.1499999999999998E-2</v>
      </c>
      <c r="ED44" s="228">
        <v>5.03</v>
      </c>
      <c r="EE44" s="229">
        <v>6.4999999999999997E-3</v>
      </c>
      <c r="EF44" s="230">
        <v>2512283</v>
      </c>
      <c r="EG44" s="230">
        <v>1426936</v>
      </c>
      <c r="EH44" s="229">
        <v>0.76060000000000005</v>
      </c>
      <c r="EI44" s="229">
        <v>0.54690000000000005</v>
      </c>
      <c r="EJ44" s="231">
        <v>109557.28</v>
      </c>
      <c r="EK44" s="231">
        <v>33188.93</v>
      </c>
      <c r="EL44" s="231">
        <v>27593.18</v>
      </c>
      <c r="EM44" s="231">
        <v>4629</v>
      </c>
      <c r="EN44" s="231">
        <v>170339.39</v>
      </c>
      <c r="EO44" s="231">
        <v>174781.46</v>
      </c>
      <c r="EP44" s="231">
        <v>-4442.07</v>
      </c>
      <c r="EQ44" s="229">
        <v>-2.5399999999999999E-2</v>
      </c>
      <c r="ER44" s="231">
        <v>31494</v>
      </c>
      <c r="ES44" s="231">
        <v>18691</v>
      </c>
      <c r="ET44" s="231">
        <v>154206</v>
      </c>
      <c r="EU44" s="231">
        <v>103080397</v>
      </c>
      <c r="EV44" s="231">
        <v>204391</v>
      </c>
      <c r="EW44" s="231">
        <v>203785</v>
      </c>
      <c r="EX44" s="228">
        <v>606</v>
      </c>
      <c r="EY44" s="229">
        <v>3.0000000000000001E-3</v>
      </c>
      <c r="EZ44" s="229">
        <v>0.25879999999999997</v>
      </c>
      <c r="FA44" s="227" t="s">
        <v>693</v>
      </c>
      <c r="FB44" s="161">
        <f t="shared" si="0"/>
        <v>1819000</v>
      </c>
    </row>
    <row r="45" spans="1:158" ht="17.25" thickBot="1" x14ac:dyDescent="0.3">
      <c r="A45" s="226">
        <v>46129</v>
      </c>
      <c r="B45" s="227" t="s">
        <v>175</v>
      </c>
      <c r="C45" s="227" t="s">
        <v>198</v>
      </c>
      <c r="D45" s="228">
        <v>625</v>
      </c>
      <c r="E45" s="231">
        <v>1578.4</v>
      </c>
      <c r="F45" s="231">
        <v>1572.1</v>
      </c>
      <c r="G45" s="228">
        <v>6.3</v>
      </c>
      <c r="H45" s="229">
        <v>4.0000000000000001E-3</v>
      </c>
      <c r="I45" s="231">
        <v>1579</v>
      </c>
      <c r="J45" s="231">
        <v>1569.9</v>
      </c>
      <c r="K45" s="228">
        <v>9.1</v>
      </c>
      <c r="L45" s="229">
        <v>5.7999999999999996E-3</v>
      </c>
      <c r="M45" s="231">
        <v>1578.4</v>
      </c>
      <c r="N45" s="231">
        <v>1572.1</v>
      </c>
      <c r="O45" s="228">
        <v>6.3</v>
      </c>
      <c r="P45" s="229">
        <v>4.0000000000000001E-3</v>
      </c>
      <c r="Q45" s="231">
        <v>1585.2</v>
      </c>
      <c r="R45" s="231">
        <v>1579.1</v>
      </c>
      <c r="S45" s="228">
        <v>6.1</v>
      </c>
      <c r="T45" s="229">
        <v>3.8999999999999998E-3</v>
      </c>
      <c r="U45" s="231">
        <v>1592.2</v>
      </c>
      <c r="V45" s="231">
        <v>1589.8</v>
      </c>
      <c r="W45" s="228">
        <v>2.4</v>
      </c>
      <c r="X45" s="229">
        <v>1.5E-3</v>
      </c>
      <c r="Y45" s="228">
        <v>-0.6</v>
      </c>
      <c r="Z45" s="228">
        <v>2.2000000000000002</v>
      </c>
      <c r="AA45" s="228">
        <v>-2.8</v>
      </c>
      <c r="AB45" s="229">
        <v>-4.0000000000000002E-4</v>
      </c>
      <c r="AC45" s="228">
        <v>-0.6</v>
      </c>
      <c r="AD45" s="228">
        <v>2.2000000000000002</v>
      </c>
      <c r="AE45" s="228">
        <v>-2.8</v>
      </c>
      <c r="AF45" s="229">
        <v>-4.0000000000000002E-4</v>
      </c>
      <c r="AG45" s="228">
        <v>6.2</v>
      </c>
      <c r="AH45" s="228">
        <v>9.1999999999999993</v>
      </c>
      <c r="AI45" s="228">
        <v>-3</v>
      </c>
      <c r="AJ45" s="229">
        <v>3.8999999999999998E-3</v>
      </c>
      <c r="AK45" s="228">
        <v>13.2</v>
      </c>
      <c r="AL45" s="228">
        <v>19.899999999999999</v>
      </c>
      <c r="AM45" s="228">
        <v>-6.7</v>
      </c>
      <c r="AN45" s="229">
        <v>8.3999999999999995E-3</v>
      </c>
      <c r="AO45" s="231">
        <v>1571.69</v>
      </c>
      <c r="AP45" s="231">
        <v>1580.69</v>
      </c>
      <c r="AQ45" s="228">
        <v>0</v>
      </c>
      <c r="AR45" s="230">
        <v>3384375</v>
      </c>
      <c r="AS45" s="230">
        <v>3423750</v>
      </c>
      <c r="AT45" s="230">
        <v>-39375</v>
      </c>
      <c r="AU45" s="229">
        <v>-1.15E-2</v>
      </c>
      <c r="AV45" s="230">
        <v>2453750</v>
      </c>
      <c r="AW45" s="230">
        <v>3198125</v>
      </c>
      <c r="AX45" s="230">
        <v>-744375</v>
      </c>
      <c r="AY45" s="229">
        <v>-0.23280000000000001</v>
      </c>
      <c r="AZ45" s="230">
        <v>169375</v>
      </c>
      <c r="BA45" s="230">
        <v>205000</v>
      </c>
      <c r="BB45" s="230">
        <v>-35625</v>
      </c>
      <c r="BC45" s="229">
        <v>-0.17380000000000001</v>
      </c>
      <c r="BD45" s="230">
        <v>761250</v>
      </c>
      <c r="BE45" s="230">
        <v>20625</v>
      </c>
      <c r="BF45" s="230">
        <v>740625</v>
      </c>
      <c r="BG45" s="229">
        <v>35.909100000000002</v>
      </c>
      <c r="BH45" s="230">
        <v>4772500</v>
      </c>
      <c r="BI45" s="230">
        <v>12445000</v>
      </c>
      <c r="BJ45" s="230">
        <v>-7672500</v>
      </c>
      <c r="BK45" s="229">
        <v>-0.61650000000000005</v>
      </c>
      <c r="BL45" s="230">
        <v>3158750</v>
      </c>
      <c r="BM45" s="230">
        <v>6750625</v>
      </c>
      <c r="BN45" s="230">
        <v>-3591875</v>
      </c>
      <c r="BO45" s="229">
        <v>-0.53210000000000002</v>
      </c>
      <c r="BP45" s="230">
        <v>11315625</v>
      </c>
      <c r="BQ45" s="230">
        <v>22619375</v>
      </c>
      <c r="BR45" s="230">
        <v>-11303750</v>
      </c>
      <c r="BS45" s="229">
        <v>-0.49969999999999998</v>
      </c>
      <c r="BT45" s="230">
        <v>1234834</v>
      </c>
      <c r="BU45" s="230">
        <v>2982606</v>
      </c>
      <c r="BV45" s="230">
        <v>-1747772</v>
      </c>
      <c r="BW45" s="229">
        <v>-0.58599999999999997</v>
      </c>
      <c r="BX45" s="230">
        <v>19915000</v>
      </c>
      <c r="BY45" s="230">
        <v>20152500</v>
      </c>
      <c r="BZ45" s="230">
        <v>-237500</v>
      </c>
      <c r="CA45" s="229">
        <v>-1.18E-2</v>
      </c>
      <c r="CB45" s="230">
        <v>18500625</v>
      </c>
      <c r="CC45" s="230">
        <v>19524375</v>
      </c>
      <c r="CD45" s="230">
        <v>-1023750</v>
      </c>
      <c r="CE45" s="229">
        <v>-5.2400000000000002E-2</v>
      </c>
      <c r="CF45" s="230">
        <v>645000</v>
      </c>
      <c r="CG45" s="230">
        <v>604375</v>
      </c>
      <c r="CH45" s="230">
        <v>40625</v>
      </c>
      <c r="CI45" s="229">
        <v>6.7199999999999996E-2</v>
      </c>
      <c r="CJ45" s="230">
        <v>769375</v>
      </c>
      <c r="CK45" s="230">
        <v>23750</v>
      </c>
      <c r="CL45" s="230">
        <v>745625</v>
      </c>
      <c r="CM45" s="229">
        <v>31.3947</v>
      </c>
      <c r="CN45" s="230">
        <v>4740625</v>
      </c>
      <c r="CO45" s="230">
        <v>4480625</v>
      </c>
      <c r="CP45" s="230">
        <v>260000</v>
      </c>
      <c r="CQ45" s="229">
        <v>5.8000000000000003E-2</v>
      </c>
      <c r="CR45" s="230">
        <v>4055625</v>
      </c>
      <c r="CS45" s="230">
        <v>3875625</v>
      </c>
      <c r="CT45" s="230">
        <v>180000</v>
      </c>
      <c r="CU45" s="229">
        <v>4.6399999999999997E-2</v>
      </c>
      <c r="CV45" s="230">
        <v>28711250</v>
      </c>
      <c r="CW45" s="230">
        <v>28508750</v>
      </c>
      <c r="CX45" s="230">
        <v>202500</v>
      </c>
      <c r="CY45" s="229">
        <v>7.1000000000000004E-3</v>
      </c>
      <c r="CZ45" s="228">
        <v>34.92</v>
      </c>
      <c r="DA45" s="228">
        <v>35.24</v>
      </c>
      <c r="DB45" s="228">
        <v>-0.32</v>
      </c>
      <c r="DC45" s="228">
        <v>-0.32</v>
      </c>
      <c r="DD45" s="228">
        <v>41.01</v>
      </c>
      <c r="DE45" s="228">
        <v>41.11</v>
      </c>
      <c r="DF45" s="228">
        <v>-6.09</v>
      </c>
      <c r="DG45" s="228">
        <v>-0.1</v>
      </c>
      <c r="DH45" s="228">
        <v>33.53</v>
      </c>
      <c r="DI45" s="228">
        <v>34.24</v>
      </c>
      <c r="DJ45" s="228">
        <v>-0.71</v>
      </c>
      <c r="DK45" s="228">
        <v>-0.71</v>
      </c>
      <c r="DL45" s="228">
        <v>37.01</v>
      </c>
      <c r="DM45" s="228">
        <v>37.1</v>
      </c>
      <c r="DN45" s="228">
        <v>-0.09</v>
      </c>
      <c r="DO45" s="228">
        <v>-0.09</v>
      </c>
      <c r="DP45" s="228">
        <v>0.86</v>
      </c>
      <c r="DQ45" s="228">
        <v>0.86</v>
      </c>
      <c r="DR45" s="228">
        <v>0</v>
      </c>
      <c r="DS45" s="229">
        <v>0</v>
      </c>
      <c r="DT45" s="231">
        <v>1600</v>
      </c>
      <c r="DU45" s="231">
        <v>1500</v>
      </c>
      <c r="DV45" s="228">
        <v>0.66</v>
      </c>
      <c r="DW45" s="228">
        <v>0.54</v>
      </c>
      <c r="DX45" s="228">
        <v>0.12</v>
      </c>
      <c r="DY45" s="229">
        <v>0.22220000000000001</v>
      </c>
      <c r="DZ45" s="229">
        <v>7.0999999999999994E-2</v>
      </c>
      <c r="EA45" s="230">
        <v>628125</v>
      </c>
      <c r="EB45" s="229">
        <v>4.3E-3</v>
      </c>
      <c r="EC45" s="229">
        <v>7.0999999999999994E-2</v>
      </c>
      <c r="ED45" s="228">
        <v>9</v>
      </c>
      <c r="EE45" s="229">
        <v>5.7000000000000002E-3</v>
      </c>
      <c r="EF45" s="230">
        <v>670802</v>
      </c>
      <c r="EG45" s="230">
        <v>1593314</v>
      </c>
      <c r="EH45" s="229">
        <v>-0.57899999999999996</v>
      </c>
      <c r="EI45" s="229">
        <v>0.54320000000000002</v>
      </c>
      <c r="EJ45" s="231">
        <v>78294.69</v>
      </c>
      <c r="EK45" s="231">
        <v>48864.55</v>
      </c>
      <c r="EL45" s="231">
        <v>53347.040000000001</v>
      </c>
      <c r="EM45" s="231">
        <v>4685</v>
      </c>
      <c r="EN45" s="231">
        <v>180506.28</v>
      </c>
      <c r="EO45" s="231">
        <v>366529.62</v>
      </c>
      <c r="EP45" s="231">
        <v>-186023.34</v>
      </c>
      <c r="EQ45" s="229">
        <v>-0.50749999999999995</v>
      </c>
      <c r="ER45" s="231">
        <v>73982</v>
      </c>
      <c r="ES45" s="231">
        <v>60087</v>
      </c>
      <c r="ET45" s="231">
        <v>314488</v>
      </c>
      <c r="EU45" s="231">
        <v>63646863</v>
      </c>
      <c r="EV45" s="231">
        <v>448558</v>
      </c>
      <c r="EW45" s="231">
        <v>443868</v>
      </c>
      <c r="EX45" s="231">
        <v>4690</v>
      </c>
      <c r="EY45" s="229">
        <v>1.06E-2</v>
      </c>
      <c r="EZ45" s="229">
        <v>0.4511</v>
      </c>
      <c r="FA45" s="227" t="s">
        <v>693</v>
      </c>
      <c r="FB45" s="161">
        <f t="shared" si="0"/>
        <v>1414375</v>
      </c>
    </row>
    <row r="46" spans="1:158" ht="17.25" thickBot="1" x14ac:dyDescent="0.3">
      <c r="A46" s="226">
        <v>46129</v>
      </c>
      <c r="B46" s="227" t="s">
        <v>170</v>
      </c>
      <c r="C46" s="227" t="s">
        <v>199</v>
      </c>
      <c r="D46" s="228">
        <v>375</v>
      </c>
      <c r="E46" s="231">
        <v>1245.0999999999999</v>
      </c>
      <c r="F46" s="231">
        <v>1232.0999999999999</v>
      </c>
      <c r="G46" s="228">
        <v>13</v>
      </c>
      <c r="H46" s="229">
        <v>1.06E-2</v>
      </c>
      <c r="I46" s="231">
        <v>1240.8</v>
      </c>
      <c r="J46" s="231">
        <v>1230.5</v>
      </c>
      <c r="K46" s="228">
        <v>10.3</v>
      </c>
      <c r="L46" s="229">
        <v>8.3999999999999995E-3</v>
      </c>
      <c r="M46" s="231">
        <v>1245.0999999999999</v>
      </c>
      <c r="N46" s="231">
        <v>1232.0999999999999</v>
      </c>
      <c r="O46" s="228">
        <v>13</v>
      </c>
      <c r="P46" s="229">
        <v>1.06E-2</v>
      </c>
      <c r="Q46" s="231">
        <v>1252</v>
      </c>
      <c r="R46" s="231">
        <v>1239.5999999999999</v>
      </c>
      <c r="S46" s="228">
        <v>12.4</v>
      </c>
      <c r="T46" s="229">
        <v>0.01</v>
      </c>
      <c r="U46" s="231">
        <v>1254.9000000000001</v>
      </c>
      <c r="V46" s="231">
        <v>1244</v>
      </c>
      <c r="W46" s="228">
        <v>10.9</v>
      </c>
      <c r="X46" s="229">
        <v>8.8000000000000005E-3</v>
      </c>
      <c r="Y46" s="228">
        <v>4.3</v>
      </c>
      <c r="Z46" s="228">
        <v>1.6</v>
      </c>
      <c r="AA46" s="228">
        <v>2.7</v>
      </c>
      <c r="AB46" s="229">
        <v>3.5000000000000001E-3</v>
      </c>
      <c r="AC46" s="228">
        <v>4.3</v>
      </c>
      <c r="AD46" s="228">
        <v>1.6</v>
      </c>
      <c r="AE46" s="228">
        <v>2.7</v>
      </c>
      <c r="AF46" s="229">
        <v>3.5000000000000001E-3</v>
      </c>
      <c r="AG46" s="228">
        <v>11.2</v>
      </c>
      <c r="AH46" s="228">
        <v>9.1</v>
      </c>
      <c r="AI46" s="228">
        <v>2.1</v>
      </c>
      <c r="AJ46" s="229">
        <v>8.9999999999999993E-3</v>
      </c>
      <c r="AK46" s="228">
        <v>14.1</v>
      </c>
      <c r="AL46" s="228">
        <v>13.5</v>
      </c>
      <c r="AM46" s="228">
        <v>0.6</v>
      </c>
      <c r="AN46" s="229">
        <v>1.14E-2</v>
      </c>
      <c r="AO46" s="231">
        <v>1240.18</v>
      </c>
      <c r="AP46" s="231">
        <v>1247.3499999999999</v>
      </c>
      <c r="AQ46" s="228">
        <v>0</v>
      </c>
      <c r="AR46" s="230">
        <v>1634625</v>
      </c>
      <c r="AS46" s="230">
        <v>1579500</v>
      </c>
      <c r="AT46" s="230">
        <v>55125</v>
      </c>
      <c r="AU46" s="229">
        <v>3.49E-2</v>
      </c>
      <c r="AV46" s="230">
        <v>1329750</v>
      </c>
      <c r="AW46" s="230">
        <v>1425000</v>
      </c>
      <c r="AX46" s="230">
        <v>-95250</v>
      </c>
      <c r="AY46" s="229">
        <v>-6.6799999999999998E-2</v>
      </c>
      <c r="AZ46" s="230">
        <v>259125</v>
      </c>
      <c r="BA46" s="230">
        <v>135750</v>
      </c>
      <c r="BB46" s="230">
        <v>123375</v>
      </c>
      <c r="BC46" s="229">
        <v>0.90880000000000005</v>
      </c>
      <c r="BD46" s="230">
        <v>45750</v>
      </c>
      <c r="BE46" s="230">
        <v>18750</v>
      </c>
      <c r="BF46" s="230">
        <v>27000</v>
      </c>
      <c r="BG46" s="229">
        <v>1.44</v>
      </c>
      <c r="BH46" s="230">
        <v>5894625</v>
      </c>
      <c r="BI46" s="230">
        <v>4465875</v>
      </c>
      <c r="BJ46" s="230">
        <v>1428750</v>
      </c>
      <c r="BK46" s="229">
        <v>0.31990000000000002</v>
      </c>
      <c r="BL46" s="230">
        <v>2197125</v>
      </c>
      <c r="BM46" s="230">
        <v>1401750</v>
      </c>
      <c r="BN46" s="230">
        <v>795375</v>
      </c>
      <c r="BO46" s="229">
        <v>0.56740000000000002</v>
      </c>
      <c r="BP46" s="230">
        <v>9726375</v>
      </c>
      <c r="BQ46" s="230">
        <v>7447125</v>
      </c>
      <c r="BR46" s="230">
        <v>2279250</v>
      </c>
      <c r="BS46" s="229">
        <v>0.30609999999999998</v>
      </c>
      <c r="BT46" s="230">
        <v>2653013</v>
      </c>
      <c r="BU46" s="230">
        <v>1797631</v>
      </c>
      <c r="BV46" s="230">
        <v>855382</v>
      </c>
      <c r="BW46" s="229">
        <v>0.4758</v>
      </c>
      <c r="BX46" s="230">
        <v>15688125</v>
      </c>
      <c r="BY46" s="230">
        <v>15552000</v>
      </c>
      <c r="BZ46" s="230">
        <v>136125</v>
      </c>
      <c r="CA46" s="229">
        <v>8.8000000000000005E-3</v>
      </c>
      <c r="CB46" s="230">
        <v>14026500</v>
      </c>
      <c r="CC46" s="230">
        <v>13977375</v>
      </c>
      <c r="CD46" s="230">
        <v>49125</v>
      </c>
      <c r="CE46" s="229">
        <v>3.5000000000000001E-3</v>
      </c>
      <c r="CF46" s="230">
        <v>1574625</v>
      </c>
      <c r="CG46" s="230">
        <v>1477500</v>
      </c>
      <c r="CH46" s="230">
        <v>97125</v>
      </c>
      <c r="CI46" s="229">
        <v>6.5699999999999995E-2</v>
      </c>
      <c r="CJ46" s="230">
        <v>87000</v>
      </c>
      <c r="CK46" s="230">
        <v>97125</v>
      </c>
      <c r="CL46" s="230">
        <v>-10125</v>
      </c>
      <c r="CM46" s="229">
        <v>-0.1042</v>
      </c>
      <c r="CN46" s="230">
        <v>4284375</v>
      </c>
      <c r="CO46" s="230">
        <v>4503000</v>
      </c>
      <c r="CP46" s="230">
        <v>-218625</v>
      </c>
      <c r="CQ46" s="229">
        <v>-4.8599999999999997E-2</v>
      </c>
      <c r="CR46" s="230">
        <v>3826875</v>
      </c>
      <c r="CS46" s="230">
        <v>3698250</v>
      </c>
      <c r="CT46" s="230">
        <v>128625</v>
      </c>
      <c r="CU46" s="229">
        <v>3.4799999999999998E-2</v>
      </c>
      <c r="CV46" s="230">
        <v>23799375</v>
      </c>
      <c r="CW46" s="230">
        <v>23753250</v>
      </c>
      <c r="CX46" s="230">
        <v>46125</v>
      </c>
      <c r="CY46" s="229">
        <v>1.9E-3</v>
      </c>
      <c r="CZ46" s="228">
        <v>22.88</v>
      </c>
      <c r="DA46" s="228">
        <v>23.91</v>
      </c>
      <c r="DB46" s="228">
        <v>-1.03</v>
      </c>
      <c r="DC46" s="228">
        <v>-1.03</v>
      </c>
      <c r="DD46" s="228">
        <v>25.03</v>
      </c>
      <c r="DE46" s="228">
        <v>25.05</v>
      </c>
      <c r="DF46" s="228">
        <v>-2.15</v>
      </c>
      <c r="DG46" s="228">
        <v>-0.02</v>
      </c>
      <c r="DH46" s="228">
        <v>22.24</v>
      </c>
      <c r="DI46" s="228">
        <v>23.94</v>
      </c>
      <c r="DJ46" s="228">
        <v>-1.7</v>
      </c>
      <c r="DK46" s="228">
        <v>-1.7</v>
      </c>
      <c r="DL46" s="228">
        <v>24.59</v>
      </c>
      <c r="DM46" s="228">
        <v>23.79</v>
      </c>
      <c r="DN46" s="228">
        <v>0.8</v>
      </c>
      <c r="DO46" s="228">
        <v>0.8</v>
      </c>
      <c r="DP46" s="228">
        <v>0.89</v>
      </c>
      <c r="DQ46" s="228">
        <v>0.82</v>
      </c>
      <c r="DR46" s="228">
        <v>7.0000000000000007E-2</v>
      </c>
      <c r="DS46" s="229">
        <v>8.5400000000000004E-2</v>
      </c>
      <c r="DT46" s="231">
        <v>1300</v>
      </c>
      <c r="DU46" s="231">
        <v>1160</v>
      </c>
      <c r="DV46" s="228">
        <v>0.37</v>
      </c>
      <c r="DW46" s="228">
        <v>0.31</v>
      </c>
      <c r="DX46" s="228">
        <v>0.06</v>
      </c>
      <c r="DY46" s="229">
        <v>0.19350000000000001</v>
      </c>
      <c r="DZ46" s="229">
        <v>0.10589999999999999</v>
      </c>
      <c r="EA46" s="230">
        <v>1574625</v>
      </c>
      <c r="EB46" s="229">
        <v>5.4999999999999997E-3</v>
      </c>
      <c r="EC46" s="229">
        <v>0.10589999999999999</v>
      </c>
      <c r="ED46" s="228">
        <v>7.17</v>
      </c>
      <c r="EE46" s="229">
        <v>5.7999999999999996E-3</v>
      </c>
      <c r="EF46" s="230">
        <v>1988311</v>
      </c>
      <c r="EG46" s="230">
        <v>1100109</v>
      </c>
      <c r="EH46" s="229">
        <v>0.80740000000000001</v>
      </c>
      <c r="EI46" s="229">
        <v>0.74950000000000006</v>
      </c>
      <c r="EJ46" s="231">
        <v>74969.88</v>
      </c>
      <c r="EK46" s="231">
        <v>27000.48</v>
      </c>
      <c r="EL46" s="231">
        <v>20295.97</v>
      </c>
      <c r="EM46" s="231">
        <v>3926</v>
      </c>
      <c r="EN46" s="231">
        <v>122266.33</v>
      </c>
      <c r="EO46" s="231">
        <v>93252.87</v>
      </c>
      <c r="EP46" s="231">
        <v>29013.46</v>
      </c>
      <c r="EQ46" s="229">
        <v>0.31109999999999999</v>
      </c>
      <c r="ER46" s="231">
        <v>54956</v>
      </c>
      <c r="ES46" s="231">
        <v>45290</v>
      </c>
      <c r="ET46" s="231">
        <v>195450</v>
      </c>
      <c r="EU46" s="231">
        <v>76385219</v>
      </c>
      <c r="EV46" s="231">
        <v>295696</v>
      </c>
      <c r="EW46" s="231">
        <v>293092</v>
      </c>
      <c r="EX46" s="231">
        <v>2604</v>
      </c>
      <c r="EY46" s="229">
        <v>8.8999999999999999E-3</v>
      </c>
      <c r="EZ46" s="229">
        <v>0.31159999999999999</v>
      </c>
      <c r="FA46" s="227" t="s">
        <v>555</v>
      </c>
      <c r="FB46" s="161">
        <f t="shared" si="0"/>
        <v>1661625</v>
      </c>
    </row>
    <row r="47" spans="1:158" ht="17.25" thickBot="1" x14ac:dyDescent="0.3">
      <c r="A47" s="226">
        <v>46129</v>
      </c>
      <c r="B47" s="227" t="s">
        <v>227</v>
      </c>
      <c r="C47" s="227" t="s">
        <v>200</v>
      </c>
      <c r="D47" s="228">
        <v>1350</v>
      </c>
      <c r="E47" s="228">
        <v>439.55</v>
      </c>
      <c r="F47" s="228">
        <v>432.35</v>
      </c>
      <c r="G47" s="228">
        <v>7.2</v>
      </c>
      <c r="H47" s="229">
        <v>1.67E-2</v>
      </c>
      <c r="I47" s="228">
        <v>438.75</v>
      </c>
      <c r="J47" s="228">
        <v>432.75</v>
      </c>
      <c r="K47" s="228">
        <v>6</v>
      </c>
      <c r="L47" s="229">
        <v>1.3899999999999999E-2</v>
      </c>
      <c r="M47" s="228">
        <v>439.55</v>
      </c>
      <c r="N47" s="228">
        <v>432.35</v>
      </c>
      <c r="O47" s="228">
        <v>7.2</v>
      </c>
      <c r="P47" s="229">
        <v>1.67E-2</v>
      </c>
      <c r="Q47" s="228">
        <v>436.5</v>
      </c>
      <c r="R47" s="228">
        <v>429.2</v>
      </c>
      <c r="S47" s="228">
        <v>7.3</v>
      </c>
      <c r="T47" s="229">
        <v>1.7000000000000001E-2</v>
      </c>
      <c r="U47" s="228">
        <v>434.65</v>
      </c>
      <c r="V47" s="228">
        <v>428.25</v>
      </c>
      <c r="W47" s="228">
        <v>6.4</v>
      </c>
      <c r="X47" s="229">
        <v>1.49E-2</v>
      </c>
      <c r="Y47" s="228">
        <v>0.8</v>
      </c>
      <c r="Z47" s="228">
        <v>-0.4</v>
      </c>
      <c r="AA47" s="228">
        <v>1.2</v>
      </c>
      <c r="AB47" s="229">
        <v>1.8E-3</v>
      </c>
      <c r="AC47" s="228">
        <v>0.8</v>
      </c>
      <c r="AD47" s="228">
        <v>-0.4</v>
      </c>
      <c r="AE47" s="228">
        <v>1.2</v>
      </c>
      <c r="AF47" s="229">
        <v>1.8E-3</v>
      </c>
      <c r="AG47" s="228">
        <v>-2.25</v>
      </c>
      <c r="AH47" s="228">
        <v>-3.55</v>
      </c>
      <c r="AI47" s="228">
        <v>1.3</v>
      </c>
      <c r="AJ47" s="229">
        <v>-5.1000000000000004E-3</v>
      </c>
      <c r="AK47" s="228">
        <v>-4.0999999999999996</v>
      </c>
      <c r="AL47" s="228">
        <v>-4.5</v>
      </c>
      <c r="AM47" s="228">
        <v>0.4</v>
      </c>
      <c r="AN47" s="229">
        <v>-9.2999999999999992E-3</v>
      </c>
      <c r="AO47" s="228">
        <v>437.51</v>
      </c>
      <c r="AP47" s="228">
        <v>434.05</v>
      </c>
      <c r="AQ47" s="228">
        <v>0</v>
      </c>
      <c r="AR47" s="230">
        <v>13751100</v>
      </c>
      <c r="AS47" s="230">
        <v>8127000</v>
      </c>
      <c r="AT47" s="230">
        <v>5624100</v>
      </c>
      <c r="AU47" s="229">
        <v>0.69199999999999995</v>
      </c>
      <c r="AV47" s="230">
        <v>10897200</v>
      </c>
      <c r="AW47" s="230">
        <v>6203250</v>
      </c>
      <c r="AX47" s="230">
        <v>4693950</v>
      </c>
      <c r="AY47" s="229">
        <v>0.75670000000000004</v>
      </c>
      <c r="AZ47" s="230">
        <v>2543400</v>
      </c>
      <c r="BA47" s="230">
        <v>1705050</v>
      </c>
      <c r="BB47" s="230">
        <v>838350</v>
      </c>
      <c r="BC47" s="229">
        <v>0.49170000000000003</v>
      </c>
      <c r="BD47" s="230">
        <v>310500</v>
      </c>
      <c r="BE47" s="230">
        <v>218700</v>
      </c>
      <c r="BF47" s="230">
        <v>91800</v>
      </c>
      <c r="BG47" s="229">
        <v>0.41980000000000001</v>
      </c>
      <c r="BH47" s="230">
        <v>50942250</v>
      </c>
      <c r="BI47" s="230">
        <v>38545200</v>
      </c>
      <c r="BJ47" s="230">
        <v>12397050</v>
      </c>
      <c r="BK47" s="229">
        <v>0.3216</v>
      </c>
      <c r="BL47" s="230">
        <v>30549150</v>
      </c>
      <c r="BM47" s="230">
        <v>16110900</v>
      </c>
      <c r="BN47" s="230">
        <v>14438250</v>
      </c>
      <c r="BO47" s="229">
        <v>0.8962</v>
      </c>
      <c r="BP47" s="230">
        <v>95242500</v>
      </c>
      <c r="BQ47" s="230">
        <v>62783100</v>
      </c>
      <c r="BR47" s="230">
        <v>32459400</v>
      </c>
      <c r="BS47" s="229">
        <v>0.51700000000000002</v>
      </c>
      <c r="BT47" s="230">
        <v>11372615</v>
      </c>
      <c r="BU47" s="230">
        <v>12040467</v>
      </c>
      <c r="BV47" s="230">
        <v>-667852</v>
      </c>
      <c r="BW47" s="229">
        <v>-5.5500000000000001E-2</v>
      </c>
      <c r="BX47" s="230">
        <v>70181100</v>
      </c>
      <c r="BY47" s="230">
        <v>70398450</v>
      </c>
      <c r="BZ47" s="230">
        <v>-217350</v>
      </c>
      <c r="CA47" s="229">
        <v>-3.0999999999999999E-3</v>
      </c>
      <c r="CB47" s="230">
        <v>62379450</v>
      </c>
      <c r="CC47" s="230">
        <v>63724050</v>
      </c>
      <c r="CD47" s="230">
        <v>-1344600</v>
      </c>
      <c r="CE47" s="229">
        <v>-2.1100000000000001E-2</v>
      </c>
      <c r="CF47" s="230">
        <v>6952500</v>
      </c>
      <c r="CG47" s="230">
        <v>5817150</v>
      </c>
      <c r="CH47" s="230">
        <v>1135350</v>
      </c>
      <c r="CI47" s="229">
        <v>0.19520000000000001</v>
      </c>
      <c r="CJ47" s="230">
        <v>849150</v>
      </c>
      <c r="CK47" s="230">
        <v>857250</v>
      </c>
      <c r="CL47" s="230">
        <v>-8100</v>
      </c>
      <c r="CM47" s="229">
        <v>-9.4000000000000004E-3</v>
      </c>
      <c r="CN47" s="230">
        <v>44246250</v>
      </c>
      <c r="CO47" s="230">
        <v>45156150</v>
      </c>
      <c r="CP47" s="230">
        <v>-909900</v>
      </c>
      <c r="CQ47" s="229">
        <v>-2.0199999999999999E-2</v>
      </c>
      <c r="CR47" s="230">
        <v>28370250</v>
      </c>
      <c r="CS47" s="230">
        <v>25608150</v>
      </c>
      <c r="CT47" s="230">
        <v>2762100</v>
      </c>
      <c r="CU47" s="229">
        <v>0.1079</v>
      </c>
      <c r="CV47" s="230">
        <v>142797600</v>
      </c>
      <c r="CW47" s="230">
        <v>141162750</v>
      </c>
      <c r="CX47" s="230">
        <v>1634850</v>
      </c>
      <c r="CY47" s="229">
        <v>1.1599999999999999E-2</v>
      </c>
      <c r="CZ47" s="228">
        <v>28.23</v>
      </c>
      <c r="DA47" s="228">
        <v>30.76</v>
      </c>
      <c r="DB47" s="228">
        <v>-2.5299999999999998</v>
      </c>
      <c r="DC47" s="228">
        <v>-2.5299999999999998</v>
      </c>
      <c r="DD47" s="228">
        <v>31.03</v>
      </c>
      <c r="DE47" s="228">
        <v>31.03</v>
      </c>
      <c r="DF47" s="228">
        <v>-2.8</v>
      </c>
      <c r="DG47" s="228">
        <v>0</v>
      </c>
      <c r="DH47" s="228">
        <v>27.9</v>
      </c>
      <c r="DI47" s="228">
        <v>30.88</v>
      </c>
      <c r="DJ47" s="228">
        <v>-2.98</v>
      </c>
      <c r="DK47" s="228">
        <v>-2.98</v>
      </c>
      <c r="DL47" s="228">
        <v>28.78</v>
      </c>
      <c r="DM47" s="228">
        <v>30.48</v>
      </c>
      <c r="DN47" s="228">
        <v>-1.7</v>
      </c>
      <c r="DO47" s="228">
        <v>-1.7</v>
      </c>
      <c r="DP47" s="228">
        <v>0.64</v>
      </c>
      <c r="DQ47" s="228">
        <v>0.56999999999999995</v>
      </c>
      <c r="DR47" s="228">
        <v>7.0000000000000007E-2</v>
      </c>
      <c r="DS47" s="229">
        <v>0.12280000000000001</v>
      </c>
      <c r="DT47" s="228">
        <v>500</v>
      </c>
      <c r="DU47" s="228">
        <v>400</v>
      </c>
      <c r="DV47" s="228">
        <v>0.6</v>
      </c>
      <c r="DW47" s="228">
        <v>0.42</v>
      </c>
      <c r="DX47" s="228">
        <v>0.18</v>
      </c>
      <c r="DY47" s="229">
        <v>0.42859999999999998</v>
      </c>
      <c r="DZ47" s="229">
        <v>0.11119999999999999</v>
      </c>
      <c r="EA47" s="230">
        <v>6674400</v>
      </c>
      <c r="EB47" s="229">
        <v>-6.8999999999999999E-3</v>
      </c>
      <c r="EC47" s="229">
        <v>0.11119999999999999</v>
      </c>
      <c r="ED47" s="228">
        <v>-3.46</v>
      </c>
      <c r="EE47" s="229">
        <v>-7.9000000000000008E-3</v>
      </c>
      <c r="EF47" s="230">
        <v>6874068</v>
      </c>
      <c r="EG47" s="230">
        <v>8321483</v>
      </c>
      <c r="EH47" s="229">
        <v>-0.1739</v>
      </c>
      <c r="EI47" s="229">
        <v>0.60440000000000005</v>
      </c>
      <c r="EJ47" s="231">
        <v>230962.89</v>
      </c>
      <c r="EK47" s="231">
        <v>132758.07</v>
      </c>
      <c r="EL47" s="231">
        <v>60060.44</v>
      </c>
      <c r="EM47" s="231">
        <v>10549</v>
      </c>
      <c r="EN47" s="231">
        <v>423781.4</v>
      </c>
      <c r="EO47" s="231">
        <v>281903.92</v>
      </c>
      <c r="EP47" s="231">
        <v>141877.48000000001</v>
      </c>
      <c r="EQ47" s="229">
        <v>0.50329999999999997</v>
      </c>
      <c r="ER47" s="231">
        <v>206794</v>
      </c>
      <c r="ES47" s="231">
        <v>120940</v>
      </c>
      <c r="ET47" s="231">
        <v>308227</v>
      </c>
      <c r="EU47" s="231">
        <v>320531323</v>
      </c>
      <c r="EV47" s="231">
        <v>635962</v>
      </c>
      <c r="EW47" s="231">
        <v>623868</v>
      </c>
      <c r="EX47" s="231">
        <v>12094</v>
      </c>
      <c r="EY47" s="229">
        <v>1.9400000000000001E-2</v>
      </c>
      <c r="EZ47" s="229">
        <v>0.44550000000000001</v>
      </c>
      <c r="FA47" s="227" t="s">
        <v>693</v>
      </c>
      <c r="FB47" s="161">
        <f t="shared" si="0"/>
        <v>7801650</v>
      </c>
    </row>
    <row r="48" spans="1:158" ht="17.25" thickBot="1" x14ac:dyDescent="0.3">
      <c r="A48" s="226">
        <v>46129</v>
      </c>
      <c r="B48" s="227" t="s">
        <v>215</v>
      </c>
      <c r="C48" s="227" t="s">
        <v>696</v>
      </c>
      <c r="D48" s="228">
        <v>400</v>
      </c>
      <c r="E48" s="231">
        <v>1566.2</v>
      </c>
      <c r="F48" s="231">
        <v>1503.2</v>
      </c>
      <c r="G48" s="228">
        <v>63</v>
      </c>
      <c r="H48" s="229">
        <v>4.19E-2</v>
      </c>
      <c r="I48" s="231">
        <v>1561.1</v>
      </c>
      <c r="J48" s="231">
        <v>1498.1</v>
      </c>
      <c r="K48" s="228">
        <v>63</v>
      </c>
      <c r="L48" s="229">
        <v>4.2099999999999999E-2</v>
      </c>
      <c r="M48" s="231">
        <v>1566.2</v>
      </c>
      <c r="N48" s="231">
        <v>1503.2</v>
      </c>
      <c r="O48" s="228">
        <v>63</v>
      </c>
      <c r="P48" s="229">
        <v>4.19E-2</v>
      </c>
      <c r="Q48" s="231">
        <v>1566.4</v>
      </c>
      <c r="R48" s="231">
        <v>1505</v>
      </c>
      <c r="S48" s="228">
        <v>61.4</v>
      </c>
      <c r="T48" s="229">
        <v>4.0800000000000003E-2</v>
      </c>
      <c r="U48" s="231">
        <v>1571.2</v>
      </c>
      <c r="V48" s="231">
        <v>1504.6</v>
      </c>
      <c r="W48" s="228">
        <v>66.599999999999994</v>
      </c>
      <c r="X48" s="229">
        <v>4.4299999999999999E-2</v>
      </c>
      <c r="Y48" s="228">
        <v>5.0999999999999996</v>
      </c>
      <c r="Z48" s="228">
        <v>5.0999999999999996</v>
      </c>
      <c r="AA48" s="228">
        <v>0</v>
      </c>
      <c r="AB48" s="229">
        <v>3.3E-3</v>
      </c>
      <c r="AC48" s="228">
        <v>5.0999999999999996</v>
      </c>
      <c r="AD48" s="228">
        <v>5.0999999999999996</v>
      </c>
      <c r="AE48" s="228">
        <v>0</v>
      </c>
      <c r="AF48" s="229">
        <v>3.3E-3</v>
      </c>
      <c r="AG48" s="228">
        <v>5.3</v>
      </c>
      <c r="AH48" s="228">
        <v>6.9</v>
      </c>
      <c r="AI48" s="228">
        <v>-1.6</v>
      </c>
      <c r="AJ48" s="229">
        <v>3.3999999999999998E-3</v>
      </c>
      <c r="AK48" s="228">
        <v>10.1</v>
      </c>
      <c r="AL48" s="228">
        <v>6.5</v>
      </c>
      <c r="AM48" s="228">
        <v>3.6</v>
      </c>
      <c r="AN48" s="229">
        <v>6.4999999999999997E-3</v>
      </c>
      <c r="AO48" s="231">
        <v>1555.81</v>
      </c>
      <c r="AP48" s="231">
        <v>1555.52</v>
      </c>
      <c r="AQ48" s="228">
        <v>0</v>
      </c>
      <c r="AR48" s="230">
        <v>1715200</v>
      </c>
      <c r="AS48" s="230">
        <v>1026800</v>
      </c>
      <c r="AT48" s="230">
        <v>688400</v>
      </c>
      <c r="AU48" s="229">
        <v>0.6704</v>
      </c>
      <c r="AV48" s="230">
        <v>1454800</v>
      </c>
      <c r="AW48" s="230">
        <v>759600</v>
      </c>
      <c r="AX48" s="230">
        <v>695200</v>
      </c>
      <c r="AY48" s="229">
        <v>0.91520000000000001</v>
      </c>
      <c r="AZ48" s="230">
        <v>237200</v>
      </c>
      <c r="BA48" s="230">
        <v>243200</v>
      </c>
      <c r="BB48" s="230">
        <v>-6000</v>
      </c>
      <c r="BC48" s="229">
        <v>-2.47E-2</v>
      </c>
      <c r="BD48" s="230">
        <v>23200</v>
      </c>
      <c r="BE48" s="230">
        <v>24000</v>
      </c>
      <c r="BF48" s="228">
        <v>-800</v>
      </c>
      <c r="BG48" s="229">
        <v>-3.3300000000000003E-2</v>
      </c>
      <c r="BH48" s="230">
        <v>8815200</v>
      </c>
      <c r="BI48" s="230">
        <v>1506800</v>
      </c>
      <c r="BJ48" s="230">
        <v>7308400</v>
      </c>
      <c r="BK48" s="229">
        <v>4.8502999999999998</v>
      </c>
      <c r="BL48" s="230">
        <v>1658400</v>
      </c>
      <c r="BM48" s="230">
        <v>943200</v>
      </c>
      <c r="BN48" s="230">
        <v>715200</v>
      </c>
      <c r="BO48" s="229">
        <v>0.75829999999999997</v>
      </c>
      <c r="BP48" s="230">
        <v>12188800</v>
      </c>
      <c r="BQ48" s="230">
        <v>3476800</v>
      </c>
      <c r="BR48" s="230">
        <v>8712000</v>
      </c>
      <c r="BS48" s="229">
        <v>2.5057999999999998</v>
      </c>
      <c r="BT48" s="230">
        <v>3854822</v>
      </c>
      <c r="BU48" s="230">
        <v>1989924</v>
      </c>
      <c r="BV48" s="230">
        <v>1864898</v>
      </c>
      <c r="BW48" s="229">
        <v>0.93720000000000003</v>
      </c>
      <c r="BX48" s="230">
        <v>1795200</v>
      </c>
      <c r="BY48" s="230">
        <v>1467600</v>
      </c>
      <c r="BZ48" s="230">
        <v>327600</v>
      </c>
      <c r="CA48" s="229">
        <v>0.22320000000000001</v>
      </c>
      <c r="CB48" s="230">
        <v>1401200</v>
      </c>
      <c r="CC48" s="230">
        <v>1119600</v>
      </c>
      <c r="CD48" s="230">
        <v>281600</v>
      </c>
      <c r="CE48" s="229">
        <v>0.2515</v>
      </c>
      <c r="CF48" s="230">
        <v>369200</v>
      </c>
      <c r="CG48" s="230">
        <v>328800</v>
      </c>
      <c r="CH48" s="230">
        <v>40400</v>
      </c>
      <c r="CI48" s="229">
        <v>0.1229</v>
      </c>
      <c r="CJ48" s="230">
        <v>24800</v>
      </c>
      <c r="CK48" s="230">
        <v>19200</v>
      </c>
      <c r="CL48" s="230">
        <v>5600</v>
      </c>
      <c r="CM48" s="229">
        <v>0.29170000000000001</v>
      </c>
      <c r="CN48" s="230">
        <v>1083200</v>
      </c>
      <c r="CO48" s="230">
        <v>829600</v>
      </c>
      <c r="CP48" s="230">
        <v>253600</v>
      </c>
      <c r="CQ48" s="229">
        <v>0.30570000000000003</v>
      </c>
      <c r="CR48" s="230">
        <v>739200</v>
      </c>
      <c r="CS48" s="230">
        <v>616400</v>
      </c>
      <c r="CT48" s="230">
        <v>122800</v>
      </c>
      <c r="CU48" s="229">
        <v>0.19919999999999999</v>
      </c>
      <c r="CV48" s="230">
        <v>3617600</v>
      </c>
      <c r="CW48" s="230">
        <v>2913600</v>
      </c>
      <c r="CX48" s="230">
        <v>704000</v>
      </c>
      <c r="CY48" s="229">
        <v>0.24160000000000001</v>
      </c>
      <c r="CZ48" s="228">
        <v>52.74</v>
      </c>
      <c r="DA48" s="228">
        <v>56.2</v>
      </c>
      <c r="DB48" s="228">
        <v>-3.46</v>
      </c>
      <c r="DC48" s="228">
        <v>-3.46</v>
      </c>
      <c r="DD48" s="228">
        <v>54.91</v>
      </c>
      <c r="DE48" s="228">
        <v>54.77</v>
      </c>
      <c r="DF48" s="228">
        <v>-2.17</v>
      </c>
      <c r="DG48" s="228">
        <v>0.14000000000000001</v>
      </c>
      <c r="DH48" s="228">
        <v>52.4</v>
      </c>
      <c r="DI48" s="228">
        <v>52.09</v>
      </c>
      <c r="DJ48" s="228">
        <v>0.31</v>
      </c>
      <c r="DK48" s="228">
        <v>0.31</v>
      </c>
      <c r="DL48" s="228">
        <v>54.57</v>
      </c>
      <c r="DM48" s="228">
        <v>62.76</v>
      </c>
      <c r="DN48" s="228">
        <v>-8.19</v>
      </c>
      <c r="DO48" s="228">
        <v>-8.19</v>
      </c>
      <c r="DP48" s="228">
        <v>0.68</v>
      </c>
      <c r="DQ48" s="228">
        <v>0.74</v>
      </c>
      <c r="DR48" s="228">
        <v>-0.06</v>
      </c>
      <c r="DS48" s="229">
        <v>-8.1100000000000005E-2</v>
      </c>
      <c r="DT48" s="231">
        <v>1600</v>
      </c>
      <c r="DU48" s="231">
        <v>1300</v>
      </c>
      <c r="DV48" s="228">
        <v>0.19</v>
      </c>
      <c r="DW48" s="228">
        <v>0.63</v>
      </c>
      <c r="DX48" s="228">
        <v>-0.44</v>
      </c>
      <c r="DY48" s="229">
        <v>-0.69840000000000002</v>
      </c>
      <c r="DZ48" s="229">
        <v>0.2195</v>
      </c>
      <c r="EA48" s="230">
        <v>348000</v>
      </c>
      <c r="EB48" s="229">
        <v>1E-4</v>
      </c>
      <c r="EC48" s="229">
        <v>0.2195</v>
      </c>
      <c r="ED48" s="228">
        <v>-0.28999999999999998</v>
      </c>
      <c r="EE48" s="229">
        <v>-2.0000000000000001E-4</v>
      </c>
      <c r="EF48" s="230">
        <v>851607</v>
      </c>
      <c r="EG48" s="230">
        <v>461287</v>
      </c>
      <c r="EH48" s="229">
        <v>0.84619999999999995</v>
      </c>
      <c r="EI48" s="229">
        <v>0.22090000000000001</v>
      </c>
      <c r="EJ48" s="231">
        <v>143545.57999999999</v>
      </c>
      <c r="EK48" s="231">
        <v>24758.81</v>
      </c>
      <c r="EL48" s="231">
        <v>26685.43</v>
      </c>
      <c r="EM48" s="231">
        <v>2317</v>
      </c>
      <c r="EN48" s="231">
        <v>194989.82</v>
      </c>
      <c r="EO48" s="231">
        <v>51520.56</v>
      </c>
      <c r="EP48" s="231">
        <v>143469.26</v>
      </c>
      <c r="EQ48" s="229">
        <v>2.7847</v>
      </c>
      <c r="ER48" s="231">
        <v>16628</v>
      </c>
      <c r="ES48" s="231">
        <v>10298</v>
      </c>
      <c r="ET48" s="231">
        <v>28118</v>
      </c>
      <c r="EU48" s="231">
        <v>12661431</v>
      </c>
      <c r="EV48" s="231">
        <v>55045</v>
      </c>
      <c r="EW48" s="231">
        <v>42895</v>
      </c>
      <c r="EX48" s="231">
        <v>12150</v>
      </c>
      <c r="EY48" s="229">
        <v>0.28320000000000001</v>
      </c>
      <c r="EZ48" s="229">
        <v>0.28570000000000001</v>
      </c>
      <c r="FA48" s="227" t="s">
        <v>555</v>
      </c>
      <c r="FB48" s="161">
        <f t="shared" si="0"/>
        <v>394000</v>
      </c>
    </row>
    <row r="49" spans="1:158" ht="17.25" thickBot="1" x14ac:dyDescent="0.3">
      <c r="A49" s="226">
        <v>46129</v>
      </c>
      <c r="B49" s="227" t="s">
        <v>221</v>
      </c>
      <c r="C49" s="227" t="s">
        <v>470</v>
      </c>
      <c r="D49" s="228">
        <v>375</v>
      </c>
      <c r="E49" s="231">
        <v>1316.8</v>
      </c>
      <c r="F49" s="231">
        <v>1313</v>
      </c>
      <c r="G49" s="228">
        <v>3.8</v>
      </c>
      <c r="H49" s="229">
        <v>2.8999999999999998E-3</v>
      </c>
      <c r="I49" s="231">
        <v>1316.8</v>
      </c>
      <c r="J49" s="231">
        <v>1313.2</v>
      </c>
      <c r="K49" s="228">
        <v>3.6</v>
      </c>
      <c r="L49" s="229">
        <v>2.7000000000000001E-3</v>
      </c>
      <c r="M49" s="231">
        <v>1316.8</v>
      </c>
      <c r="N49" s="231">
        <v>1313</v>
      </c>
      <c r="O49" s="228">
        <v>3.8</v>
      </c>
      <c r="P49" s="229">
        <v>2.8999999999999998E-3</v>
      </c>
      <c r="Q49" s="231">
        <v>1321</v>
      </c>
      <c r="R49" s="231">
        <v>1315.2</v>
      </c>
      <c r="S49" s="228">
        <v>5.8</v>
      </c>
      <c r="T49" s="229">
        <v>4.4000000000000003E-3</v>
      </c>
      <c r="U49" s="231">
        <v>1327.9</v>
      </c>
      <c r="V49" s="231">
        <v>1324.4</v>
      </c>
      <c r="W49" s="228">
        <v>3.5</v>
      </c>
      <c r="X49" s="229">
        <v>2.5999999999999999E-3</v>
      </c>
      <c r="Y49" s="228">
        <v>0</v>
      </c>
      <c r="Z49" s="228">
        <v>-0.2</v>
      </c>
      <c r="AA49" s="228">
        <v>0.2</v>
      </c>
      <c r="AB49" s="229">
        <v>0</v>
      </c>
      <c r="AC49" s="228">
        <v>0</v>
      </c>
      <c r="AD49" s="228">
        <v>-0.2</v>
      </c>
      <c r="AE49" s="228">
        <v>0.2</v>
      </c>
      <c r="AF49" s="229">
        <v>0</v>
      </c>
      <c r="AG49" s="228">
        <v>4.2</v>
      </c>
      <c r="AH49" s="228">
        <v>2</v>
      </c>
      <c r="AI49" s="228">
        <v>2.2000000000000002</v>
      </c>
      <c r="AJ49" s="229">
        <v>3.2000000000000002E-3</v>
      </c>
      <c r="AK49" s="228">
        <v>11.1</v>
      </c>
      <c r="AL49" s="228">
        <v>11.2</v>
      </c>
      <c r="AM49" s="228">
        <v>-0.1</v>
      </c>
      <c r="AN49" s="229">
        <v>8.3999999999999995E-3</v>
      </c>
      <c r="AO49" s="231">
        <v>1313.13</v>
      </c>
      <c r="AP49" s="231">
        <v>1317.38</v>
      </c>
      <c r="AQ49" s="228">
        <v>0</v>
      </c>
      <c r="AR49" s="230">
        <v>2322750</v>
      </c>
      <c r="AS49" s="230">
        <v>3785625</v>
      </c>
      <c r="AT49" s="230">
        <v>-1462875</v>
      </c>
      <c r="AU49" s="229">
        <v>-0.38640000000000002</v>
      </c>
      <c r="AV49" s="230">
        <v>1967625</v>
      </c>
      <c r="AW49" s="230">
        <v>3216750</v>
      </c>
      <c r="AX49" s="230">
        <v>-1249125</v>
      </c>
      <c r="AY49" s="229">
        <v>-0.38829999999999998</v>
      </c>
      <c r="AZ49" s="230">
        <v>330750</v>
      </c>
      <c r="BA49" s="230">
        <v>504750</v>
      </c>
      <c r="BB49" s="230">
        <v>-174000</v>
      </c>
      <c r="BC49" s="229">
        <v>-0.34470000000000001</v>
      </c>
      <c r="BD49" s="230">
        <v>24375</v>
      </c>
      <c r="BE49" s="230">
        <v>64125</v>
      </c>
      <c r="BF49" s="230">
        <v>-39750</v>
      </c>
      <c r="BG49" s="229">
        <v>-0.61990000000000001</v>
      </c>
      <c r="BH49" s="230">
        <v>6516375</v>
      </c>
      <c r="BI49" s="230">
        <v>17827500</v>
      </c>
      <c r="BJ49" s="230">
        <v>-11311125</v>
      </c>
      <c r="BK49" s="229">
        <v>-0.63449999999999995</v>
      </c>
      <c r="BL49" s="230">
        <v>3611625</v>
      </c>
      <c r="BM49" s="230">
        <v>8060250</v>
      </c>
      <c r="BN49" s="230">
        <v>-4448625</v>
      </c>
      <c r="BO49" s="229">
        <v>-0.55189999999999995</v>
      </c>
      <c r="BP49" s="230">
        <v>12450750</v>
      </c>
      <c r="BQ49" s="230">
        <v>29673375</v>
      </c>
      <c r="BR49" s="230">
        <v>-17222625</v>
      </c>
      <c r="BS49" s="229">
        <v>-0.58040000000000003</v>
      </c>
      <c r="BT49" s="230">
        <v>2914113</v>
      </c>
      <c r="BU49" s="230">
        <v>3875304</v>
      </c>
      <c r="BV49" s="230">
        <v>-961191</v>
      </c>
      <c r="BW49" s="229">
        <v>-0.248</v>
      </c>
      <c r="BX49" s="230">
        <v>18288000</v>
      </c>
      <c r="BY49" s="230">
        <v>18559125</v>
      </c>
      <c r="BZ49" s="230">
        <v>-271125</v>
      </c>
      <c r="CA49" s="229">
        <v>-1.46E-2</v>
      </c>
      <c r="CB49" s="230">
        <v>17191125</v>
      </c>
      <c r="CC49" s="230">
        <v>17564625</v>
      </c>
      <c r="CD49" s="230">
        <v>-373500</v>
      </c>
      <c r="CE49" s="229">
        <v>-2.1299999999999999E-2</v>
      </c>
      <c r="CF49" s="230">
        <v>1005750</v>
      </c>
      <c r="CG49" s="230">
        <v>915750</v>
      </c>
      <c r="CH49" s="230">
        <v>90000</v>
      </c>
      <c r="CI49" s="229">
        <v>9.8299999999999998E-2</v>
      </c>
      <c r="CJ49" s="230">
        <v>91125</v>
      </c>
      <c r="CK49" s="230">
        <v>78750</v>
      </c>
      <c r="CL49" s="230">
        <v>12375</v>
      </c>
      <c r="CM49" s="229">
        <v>0.15709999999999999</v>
      </c>
      <c r="CN49" s="230">
        <v>7639500</v>
      </c>
      <c r="CO49" s="230">
        <v>7584750</v>
      </c>
      <c r="CP49" s="230">
        <v>54750</v>
      </c>
      <c r="CQ49" s="229">
        <v>7.1999999999999998E-3</v>
      </c>
      <c r="CR49" s="230">
        <v>4945500</v>
      </c>
      <c r="CS49" s="230">
        <v>4782375</v>
      </c>
      <c r="CT49" s="230">
        <v>163125</v>
      </c>
      <c r="CU49" s="229">
        <v>3.4099999999999998E-2</v>
      </c>
      <c r="CV49" s="230">
        <v>30873000</v>
      </c>
      <c r="CW49" s="230">
        <v>30926250</v>
      </c>
      <c r="CX49" s="230">
        <v>-53250</v>
      </c>
      <c r="CY49" s="229">
        <v>-1.6999999999999999E-3</v>
      </c>
      <c r="CZ49" s="228">
        <v>39.99</v>
      </c>
      <c r="DA49" s="228">
        <v>40.619999999999997</v>
      </c>
      <c r="DB49" s="228">
        <v>-0.63</v>
      </c>
      <c r="DC49" s="228">
        <v>-0.63</v>
      </c>
      <c r="DD49" s="228">
        <v>43.2</v>
      </c>
      <c r="DE49" s="228">
        <v>43.31</v>
      </c>
      <c r="DF49" s="228">
        <v>-3.21</v>
      </c>
      <c r="DG49" s="228">
        <v>-0.11</v>
      </c>
      <c r="DH49" s="228">
        <v>38.700000000000003</v>
      </c>
      <c r="DI49" s="228">
        <v>39.89</v>
      </c>
      <c r="DJ49" s="228">
        <v>-1.19</v>
      </c>
      <c r="DK49" s="228">
        <v>-1.19</v>
      </c>
      <c r="DL49" s="228">
        <v>42.31</v>
      </c>
      <c r="DM49" s="228">
        <v>42.24</v>
      </c>
      <c r="DN49" s="228">
        <v>7.0000000000000007E-2</v>
      </c>
      <c r="DO49" s="228">
        <v>7.0000000000000007E-2</v>
      </c>
      <c r="DP49" s="228">
        <v>0.65</v>
      </c>
      <c r="DQ49" s="228">
        <v>0.63</v>
      </c>
      <c r="DR49" s="228">
        <v>0.02</v>
      </c>
      <c r="DS49" s="229">
        <v>3.1699999999999999E-2</v>
      </c>
      <c r="DT49" s="231">
        <v>1300</v>
      </c>
      <c r="DU49" s="231">
        <v>1220</v>
      </c>
      <c r="DV49" s="228">
        <v>0.55000000000000004</v>
      </c>
      <c r="DW49" s="228">
        <v>0.45</v>
      </c>
      <c r="DX49" s="228">
        <v>0.1</v>
      </c>
      <c r="DY49" s="229">
        <v>0.22220000000000001</v>
      </c>
      <c r="DZ49" s="229">
        <v>0.06</v>
      </c>
      <c r="EA49" s="230">
        <v>994500</v>
      </c>
      <c r="EB49" s="229">
        <v>3.2000000000000002E-3</v>
      </c>
      <c r="EC49" s="229">
        <v>0.06</v>
      </c>
      <c r="ED49" s="228">
        <v>4.25</v>
      </c>
      <c r="EE49" s="229">
        <v>3.2000000000000002E-3</v>
      </c>
      <c r="EF49" s="230">
        <v>1377808</v>
      </c>
      <c r="EG49" s="230">
        <v>1358788</v>
      </c>
      <c r="EH49" s="229">
        <v>1.4E-2</v>
      </c>
      <c r="EI49" s="229">
        <v>0.4728</v>
      </c>
      <c r="EJ49" s="231">
        <v>89816.03</v>
      </c>
      <c r="EK49" s="231">
        <v>46360.7</v>
      </c>
      <c r="EL49" s="231">
        <v>30517.71</v>
      </c>
      <c r="EM49" s="231">
        <v>9374</v>
      </c>
      <c r="EN49" s="231">
        <v>166694.44</v>
      </c>
      <c r="EO49" s="231">
        <v>399386.07</v>
      </c>
      <c r="EP49" s="231">
        <v>-232691.63</v>
      </c>
      <c r="EQ49" s="229">
        <v>-0.58260000000000001</v>
      </c>
      <c r="ER49" s="231">
        <v>96692</v>
      </c>
      <c r="ES49" s="231">
        <v>59715</v>
      </c>
      <c r="ET49" s="231">
        <v>240869</v>
      </c>
      <c r="EU49" s="231">
        <v>50256271</v>
      </c>
      <c r="EV49" s="231">
        <v>397276</v>
      </c>
      <c r="EW49" s="231">
        <v>397120</v>
      </c>
      <c r="EX49" s="228">
        <v>156</v>
      </c>
      <c r="EY49" s="229">
        <v>4.0000000000000002E-4</v>
      </c>
      <c r="EZ49" s="229">
        <v>0.61429999999999996</v>
      </c>
      <c r="FA49" s="227" t="s">
        <v>693</v>
      </c>
      <c r="FB49" s="161">
        <f t="shared" si="0"/>
        <v>1096875</v>
      </c>
    </row>
    <row r="50" spans="1:158" ht="17.25" thickBot="1" x14ac:dyDescent="0.3">
      <c r="A50" s="226">
        <v>46129</v>
      </c>
      <c r="B50" s="227" t="s">
        <v>168</v>
      </c>
      <c r="C50" s="227" t="s">
        <v>201</v>
      </c>
      <c r="D50" s="228">
        <v>225</v>
      </c>
      <c r="E50" s="231">
        <v>2109.1999999999998</v>
      </c>
      <c r="F50" s="231">
        <v>1982.8</v>
      </c>
      <c r="G50" s="228">
        <v>126.4</v>
      </c>
      <c r="H50" s="229">
        <v>6.3700000000000007E-2</v>
      </c>
      <c r="I50" s="231">
        <v>2106</v>
      </c>
      <c r="J50" s="231">
        <v>1977.4</v>
      </c>
      <c r="K50" s="228">
        <v>128.6</v>
      </c>
      <c r="L50" s="229">
        <v>6.5000000000000002E-2</v>
      </c>
      <c r="M50" s="231">
        <v>2109.1999999999998</v>
      </c>
      <c r="N50" s="231">
        <v>1982.8</v>
      </c>
      <c r="O50" s="228">
        <v>126.4</v>
      </c>
      <c r="P50" s="229">
        <v>6.3700000000000007E-2</v>
      </c>
      <c r="Q50" s="231">
        <v>2101.6</v>
      </c>
      <c r="R50" s="231">
        <v>1973.2</v>
      </c>
      <c r="S50" s="228">
        <v>128.4</v>
      </c>
      <c r="T50" s="229">
        <v>6.5100000000000005E-2</v>
      </c>
      <c r="U50" s="231">
        <v>2098.6</v>
      </c>
      <c r="V50" s="231">
        <v>1976.6</v>
      </c>
      <c r="W50" s="228">
        <v>122</v>
      </c>
      <c r="X50" s="229">
        <v>6.1699999999999998E-2</v>
      </c>
      <c r="Y50" s="228">
        <v>3.2</v>
      </c>
      <c r="Z50" s="228">
        <v>5.4</v>
      </c>
      <c r="AA50" s="228">
        <v>-2.2000000000000002</v>
      </c>
      <c r="AB50" s="229">
        <v>1.5E-3</v>
      </c>
      <c r="AC50" s="228">
        <v>3.2</v>
      </c>
      <c r="AD50" s="228">
        <v>5.4</v>
      </c>
      <c r="AE50" s="228">
        <v>-2.2000000000000002</v>
      </c>
      <c r="AF50" s="229">
        <v>1.5E-3</v>
      </c>
      <c r="AG50" s="228">
        <v>-4.4000000000000004</v>
      </c>
      <c r="AH50" s="228">
        <v>-4.2</v>
      </c>
      <c r="AI50" s="228">
        <v>-0.2</v>
      </c>
      <c r="AJ50" s="229">
        <v>-2.0999999999999999E-3</v>
      </c>
      <c r="AK50" s="228">
        <v>-7.4</v>
      </c>
      <c r="AL50" s="228">
        <v>-0.8</v>
      </c>
      <c r="AM50" s="228">
        <v>-6.6</v>
      </c>
      <c r="AN50" s="229">
        <v>-3.5000000000000001E-3</v>
      </c>
      <c r="AO50" s="231">
        <v>2091.62</v>
      </c>
      <c r="AP50" s="231">
        <v>2070.46</v>
      </c>
      <c r="AQ50" s="228">
        <v>0</v>
      </c>
      <c r="AR50" s="230">
        <v>3161025</v>
      </c>
      <c r="AS50" s="230">
        <v>1002825</v>
      </c>
      <c r="AT50" s="230">
        <v>2158200</v>
      </c>
      <c r="AU50" s="229">
        <v>2.1520999999999999</v>
      </c>
      <c r="AV50" s="230">
        <v>2837475</v>
      </c>
      <c r="AW50" s="230">
        <v>912150</v>
      </c>
      <c r="AX50" s="230">
        <v>1925325</v>
      </c>
      <c r="AY50" s="229">
        <v>2.1107999999999998</v>
      </c>
      <c r="AZ50" s="230">
        <v>291600</v>
      </c>
      <c r="BA50" s="230">
        <v>81900</v>
      </c>
      <c r="BB50" s="230">
        <v>209700</v>
      </c>
      <c r="BC50" s="229">
        <v>2.5604</v>
      </c>
      <c r="BD50" s="230">
        <v>31950</v>
      </c>
      <c r="BE50" s="230">
        <v>8775</v>
      </c>
      <c r="BF50" s="230">
        <v>23175</v>
      </c>
      <c r="BG50" s="229">
        <v>2.641</v>
      </c>
      <c r="BH50" s="230">
        <v>27826875</v>
      </c>
      <c r="BI50" s="230">
        <v>3241800</v>
      </c>
      <c r="BJ50" s="230">
        <v>24585075</v>
      </c>
      <c r="BK50" s="229">
        <v>7.5838000000000001</v>
      </c>
      <c r="BL50" s="230">
        <v>10462950</v>
      </c>
      <c r="BM50" s="230">
        <v>1099350</v>
      </c>
      <c r="BN50" s="230">
        <v>9363600</v>
      </c>
      <c r="BO50" s="229">
        <v>8.5174000000000003</v>
      </c>
      <c r="BP50" s="230">
        <v>41450850</v>
      </c>
      <c r="BQ50" s="230">
        <v>5343975</v>
      </c>
      <c r="BR50" s="230">
        <v>36106875</v>
      </c>
      <c r="BS50" s="229">
        <v>6.7565999999999997</v>
      </c>
      <c r="BT50" s="230">
        <v>2217997</v>
      </c>
      <c r="BU50" s="230">
        <v>387056</v>
      </c>
      <c r="BV50" s="230">
        <v>1830941</v>
      </c>
      <c r="BW50" s="229">
        <v>4.7304000000000004</v>
      </c>
      <c r="BX50" s="230">
        <v>5842575</v>
      </c>
      <c r="BY50" s="230">
        <v>6167025</v>
      </c>
      <c r="BZ50" s="230">
        <v>-324450</v>
      </c>
      <c r="CA50" s="229">
        <v>-5.2600000000000001E-2</v>
      </c>
      <c r="CB50" s="230">
        <v>5495625</v>
      </c>
      <c r="CC50" s="230">
        <v>5804775</v>
      </c>
      <c r="CD50" s="230">
        <v>-309150</v>
      </c>
      <c r="CE50" s="229">
        <v>-5.33E-2</v>
      </c>
      <c r="CF50" s="230">
        <v>319725</v>
      </c>
      <c r="CG50" s="230">
        <v>333675</v>
      </c>
      <c r="CH50" s="230">
        <v>-13950</v>
      </c>
      <c r="CI50" s="229">
        <v>-4.1799999999999997E-2</v>
      </c>
      <c r="CJ50" s="230">
        <v>27225</v>
      </c>
      <c r="CK50" s="230">
        <v>28575</v>
      </c>
      <c r="CL50" s="230">
        <v>-1350</v>
      </c>
      <c r="CM50" s="229">
        <v>-4.7199999999999999E-2</v>
      </c>
      <c r="CN50" s="230">
        <v>2685825</v>
      </c>
      <c r="CO50" s="230">
        <v>1554300</v>
      </c>
      <c r="CP50" s="230">
        <v>1131525</v>
      </c>
      <c r="CQ50" s="229">
        <v>0.72799999999999998</v>
      </c>
      <c r="CR50" s="230">
        <v>1971675</v>
      </c>
      <c r="CS50" s="230">
        <v>1098450</v>
      </c>
      <c r="CT50" s="230">
        <v>873225</v>
      </c>
      <c r="CU50" s="229">
        <v>0.79500000000000004</v>
      </c>
      <c r="CV50" s="230">
        <v>10500075</v>
      </c>
      <c r="CW50" s="230">
        <v>8819775</v>
      </c>
      <c r="CX50" s="230">
        <v>1680300</v>
      </c>
      <c r="CY50" s="229">
        <v>0.1905</v>
      </c>
      <c r="CZ50" s="228">
        <v>31.34</v>
      </c>
      <c r="DA50" s="228">
        <v>28.34</v>
      </c>
      <c r="DB50" s="228">
        <v>3</v>
      </c>
      <c r="DC50" s="228">
        <v>3</v>
      </c>
      <c r="DD50" s="228">
        <v>30.74</v>
      </c>
      <c r="DE50" s="228">
        <v>29.66</v>
      </c>
      <c r="DF50" s="228">
        <v>0.6</v>
      </c>
      <c r="DG50" s="228">
        <v>1.08</v>
      </c>
      <c r="DH50" s="228">
        <v>30.83</v>
      </c>
      <c r="DI50" s="228">
        <v>27.56</v>
      </c>
      <c r="DJ50" s="228">
        <v>3.27</v>
      </c>
      <c r="DK50" s="228">
        <v>3.27</v>
      </c>
      <c r="DL50" s="228">
        <v>32.68</v>
      </c>
      <c r="DM50" s="228">
        <v>30.67</v>
      </c>
      <c r="DN50" s="228">
        <v>2.0099999999999998</v>
      </c>
      <c r="DO50" s="228">
        <v>2.0099999999999998</v>
      </c>
      <c r="DP50" s="228">
        <v>0.73</v>
      </c>
      <c r="DQ50" s="228">
        <v>0.71</v>
      </c>
      <c r="DR50" s="228">
        <v>0.02</v>
      </c>
      <c r="DS50" s="229">
        <v>2.8199999999999999E-2</v>
      </c>
      <c r="DT50" s="231">
        <v>2200</v>
      </c>
      <c r="DU50" s="231">
        <v>1940</v>
      </c>
      <c r="DV50" s="228">
        <v>0.38</v>
      </c>
      <c r="DW50" s="228">
        <v>0.34</v>
      </c>
      <c r="DX50" s="228">
        <v>0.04</v>
      </c>
      <c r="DY50" s="229">
        <v>0.1176</v>
      </c>
      <c r="DZ50" s="229">
        <v>5.9400000000000001E-2</v>
      </c>
      <c r="EA50" s="230">
        <v>362250</v>
      </c>
      <c r="EB50" s="229">
        <v>-3.5999999999999999E-3</v>
      </c>
      <c r="EC50" s="229">
        <v>5.9400000000000001E-2</v>
      </c>
      <c r="ED50" s="228">
        <v>-21.16</v>
      </c>
      <c r="EE50" s="229">
        <v>-1.01E-2</v>
      </c>
      <c r="EF50" s="230">
        <v>708994</v>
      </c>
      <c r="EG50" s="230">
        <v>168205</v>
      </c>
      <c r="EH50" s="229">
        <v>3.2151000000000001</v>
      </c>
      <c r="EI50" s="229">
        <v>0.31969999999999998</v>
      </c>
      <c r="EJ50" s="231">
        <v>604609.85</v>
      </c>
      <c r="EK50" s="231">
        <v>213343.63</v>
      </c>
      <c r="EL50" s="231">
        <v>66047.740000000005</v>
      </c>
      <c r="EM50" s="231">
        <v>3147</v>
      </c>
      <c r="EN50" s="231">
        <v>884001.22</v>
      </c>
      <c r="EO50" s="231">
        <v>107643.45</v>
      </c>
      <c r="EP50" s="231">
        <v>776357.77</v>
      </c>
      <c r="EQ50" s="229">
        <v>7.2122999999999999</v>
      </c>
      <c r="ER50" s="231">
        <v>56999</v>
      </c>
      <c r="ES50" s="231">
        <v>38880</v>
      </c>
      <c r="ET50" s="231">
        <v>123204</v>
      </c>
      <c r="EU50" s="231">
        <v>19054573</v>
      </c>
      <c r="EV50" s="231">
        <v>219083</v>
      </c>
      <c r="EW50" s="231">
        <v>174671</v>
      </c>
      <c r="EX50" s="231">
        <v>44412</v>
      </c>
      <c r="EY50" s="229">
        <v>0.25430000000000003</v>
      </c>
      <c r="EZ50" s="229">
        <v>0.55110000000000003</v>
      </c>
      <c r="FA50" s="227" t="s">
        <v>693</v>
      </c>
      <c r="FB50" s="161">
        <f t="shared" si="0"/>
        <v>346950</v>
      </c>
    </row>
    <row r="51" spans="1:158" ht="17.25" thickBot="1" x14ac:dyDescent="0.3">
      <c r="A51" s="226">
        <v>46129</v>
      </c>
      <c r="B51" s="227" t="s">
        <v>215</v>
      </c>
      <c r="C51" s="227" t="s">
        <v>202</v>
      </c>
      <c r="D51" s="228">
        <v>1250</v>
      </c>
      <c r="E51" s="228">
        <v>504.5</v>
      </c>
      <c r="F51" s="228">
        <v>502.55</v>
      </c>
      <c r="G51" s="228">
        <v>1.95</v>
      </c>
      <c r="H51" s="229">
        <v>3.8999999999999998E-3</v>
      </c>
      <c r="I51" s="228">
        <v>503.1</v>
      </c>
      <c r="J51" s="228">
        <v>502.25</v>
      </c>
      <c r="K51" s="228">
        <v>0.85</v>
      </c>
      <c r="L51" s="229">
        <v>1.6999999999999999E-3</v>
      </c>
      <c r="M51" s="228">
        <v>504.5</v>
      </c>
      <c r="N51" s="228">
        <v>502.55</v>
      </c>
      <c r="O51" s="228">
        <v>1.95</v>
      </c>
      <c r="P51" s="229">
        <v>3.8999999999999998E-3</v>
      </c>
      <c r="Q51" s="228">
        <v>506.95</v>
      </c>
      <c r="R51" s="228">
        <v>505.15</v>
      </c>
      <c r="S51" s="228">
        <v>1.8</v>
      </c>
      <c r="T51" s="229">
        <v>3.5999999999999999E-3</v>
      </c>
      <c r="U51" s="228">
        <v>509.2</v>
      </c>
      <c r="V51" s="228">
        <v>507.55</v>
      </c>
      <c r="W51" s="228">
        <v>1.65</v>
      </c>
      <c r="X51" s="229">
        <v>3.3E-3</v>
      </c>
      <c r="Y51" s="228">
        <v>1.4</v>
      </c>
      <c r="Z51" s="228">
        <v>0.3</v>
      </c>
      <c r="AA51" s="228">
        <v>1.1000000000000001</v>
      </c>
      <c r="AB51" s="229">
        <v>2.8E-3</v>
      </c>
      <c r="AC51" s="228">
        <v>1.4</v>
      </c>
      <c r="AD51" s="228">
        <v>0.3</v>
      </c>
      <c r="AE51" s="228">
        <v>1.1000000000000001</v>
      </c>
      <c r="AF51" s="229">
        <v>2.8E-3</v>
      </c>
      <c r="AG51" s="228">
        <v>3.85</v>
      </c>
      <c r="AH51" s="228">
        <v>2.9</v>
      </c>
      <c r="AI51" s="228">
        <v>0.95</v>
      </c>
      <c r="AJ51" s="229">
        <v>7.7000000000000002E-3</v>
      </c>
      <c r="AK51" s="228">
        <v>6.1</v>
      </c>
      <c r="AL51" s="228">
        <v>5.3</v>
      </c>
      <c r="AM51" s="228">
        <v>0.8</v>
      </c>
      <c r="AN51" s="229">
        <v>1.21E-2</v>
      </c>
      <c r="AO51" s="228">
        <v>506.64</v>
      </c>
      <c r="AP51" s="228">
        <v>509.38</v>
      </c>
      <c r="AQ51" s="228">
        <v>0</v>
      </c>
      <c r="AR51" s="230">
        <v>4518750</v>
      </c>
      <c r="AS51" s="230">
        <v>3801250</v>
      </c>
      <c r="AT51" s="230">
        <v>717500</v>
      </c>
      <c r="AU51" s="229">
        <v>0.1888</v>
      </c>
      <c r="AV51" s="230">
        <v>3583750</v>
      </c>
      <c r="AW51" s="230">
        <v>3355000</v>
      </c>
      <c r="AX51" s="230">
        <v>228750</v>
      </c>
      <c r="AY51" s="229">
        <v>6.8199999999999997E-2</v>
      </c>
      <c r="AZ51" s="230">
        <v>875000</v>
      </c>
      <c r="BA51" s="230">
        <v>401250</v>
      </c>
      <c r="BB51" s="230">
        <v>473750</v>
      </c>
      <c r="BC51" s="229">
        <v>1.1807000000000001</v>
      </c>
      <c r="BD51" s="230">
        <v>60000</v>
      </c>
      <c r="BE51" s="230">
        <v>45000</v>
      </c>
      <c r="BF51" s="230">
        <v>15000</v>
      </c>
      <c r="BG51" s="229">
        <v>0.33329999999999999</v>
      </c>
      <c r="BH51" s="230">
        <v>6961250</v>
      </c>
      <c r="BI51" s="230">
        <v>12557500</v>
      </c>
      <c r="BJ51" s="230">
        <v>-5596250</v>
      </c>
      <c r="BK51" s="229">
        <v>-0.44569999999999999</v>
      </c>
      <c r="BL51" s="230">
        <v>2876250</v>
      </c>
      <c r="BM51" s="230">
        <v>3088750</v>
      </c>
      <c r="BN51" s="230">
        <v>-212500</v>
      </c>
      <c r="BO51" s="229">
        <v>-6.88E-2</v>
      </c>
      <c r="BP51" s="230">
        <v>14356250</v>
      </c>
      <c r="BQ51" s="230">
        <v>19447500</v>
      </c>
      <c r="BR51" s="230">
        <v>-5091250</v>
      </c>
      <c r="BS51" s="229">
        <v>-0.26179999999999998</v>
      </c>
      <c r="BT51" s="230">
        <v>1774369</v>
      </c>
      <c r="BU51" s="230">
        <v>2604090</v>
      </c>
      <c r="BV51" s="230">
        <v>-829721</v>
      </c>
      <c r="BW51" s="229">
        <v>-0.31859999999999999</v>
      </c>
      <c r="BX51" s="230">
        <v>25852500</v>
      </c>
      <c r="BY51" s="230">
        <v>25400000</v>
      </c>
      <c r="BZ51" s="230">
        <v>452500</v>
      </c>
      <c r="CA51" s="229">
        <v>1.78E-2</v>
      </c>
      <c r="CB51" s="230">
        <v>24191250</v>
      </c>
      <c r="CC51" s="230">
        <v>24248750</v>
      </c>
      <c r="CD51" s="230">
        <v>-57500</v>
      </c>
      <c r="CE51" s="229">
        <v>-2.3999999999999998E-3</v>
      </c>
      <c r="CF51" s="230">
        <v>1556250</v>
      </c>
      <c r="CG51" s="230">
        <v>1085000</v>
      </c>
      <c r="CH51" s="230">
        <v>471250</v>
      </c>
      <c r="CI51" s="229">
        <v>0.43430000000000002</v>
      </c>
      <c r="CJ51" s="230">
        <v>105000</v>
      </c>
      <c r="CK51" s="230">
        <v>66250</v>
      </c>
      <c r="CL51" s="230">
        <v>38750</v>
      </c>
      <c r="CM51" s="229">
        <v>0.58489999999999998</v>
      </c>
      <c r="CN51" s="230">
        <v>6151250</v>
      </c>
      <c r="CO51" s="230">
        <v>6331250</v>
      </c>
      <c r="CP51" s="230">
        <v>-180000</v>
      </c>
      <c r="CQ51" s="229">
        <v>-2.8400000000000002E-2</v>
      </c>
      <c r="CR51" s="230">
        <v>5006250</v>
      </c>
      <c r="CS51" s="230">
        <v>4843750</v>
      </c>
      <c r="CT51" s="230">
        <v>162500</v>
      </c>
      <c r="CU51" s="229">
        <v>3.3500000000000002E-2</v>
      </c>
      <c r="CV51" s="230">
        <v>37010000</v>
      </c>
      <c r="CW51" s="230">
        <v>36575000</v>
      </c>
      <c r="CX51" s="230">
        <v>435000</v>
      </c>
      <c r="CY51" s="229">
        <v>1.1900000000000001E-2</v>
      </c>
      <c r="CZ51" s="228">
        <v>30.29</v>
      </c>
      <c r="DA51" s="228">
        <v>30.48</v>
      </c>
      <c r="DB51" s="228">
        <v>-0.19</v>
      </c>
      <c r="DC51" s="228">
        <v>-0.19</v>
      </c>
      <c r="DD51" s="228">
        <v>35.020000000000003</v>
      </c>
      <c r="DE51" s="228">
        <v>35.11</v>
      </c>
      <c r="DF51" s="228">
        <v>-4.7300000000000004</v>
      </c>
      <c r="DG51" s="228">
        <v>-0.09</v>
      </c>
      <c r="DH51" s="228">
        <v>29.48</v>
      </c>
      <c r="DI51" s="228">
        <v>29.82</v>
      </c>
      <c r="DJ51" s="228">
        <v>-0.34</v>
      </c>
      <c r="DK51" s="228">
        <v>-0.34</v>
      </c>
      <c r="DL51" s="228">
        <v>32.25</v>
      </c>
      <c r="DM51" s="228">
        <v>33.15</v>
      </c>
      <c r="DN51" s="228">
        <v>-0.9</v>
      </c>
      <c r="DO51" s="228">
        <v>-0.9</v>
      </c>
      <c r="DP51" s="228">
        <v>0.81</v>
      </c>
      <c r="DQ51" s="228">
        <v>0.77</v>
      </c>
      <c r="DR51" s="228">
        <v>0.04</v>
      </c>
      <c r="DS51" s="229">
        <v>5.1900000000000002E-2</v>
      </c>
      <c r="DT51" s="228">
        <v>530</v>
      </c>
      <c r="DU51" s="228">
        <v>500</v>
      </c>
      <c r="DV51" s="228">
        <v>0.41</v>
      </c>
      <c r="DW51" s="228">
        <v>0.25</v>
      </c>
      <c r="DX51" s="228">
        <v>0.16</v>
      </c>
      <c r="DY51" s="229">
        <v>0.64</v>
      </c>
      <c r="DZ51" s="229">
        <v>6.4299999999999996E-2</v>
      </c>
      <c r="EA51" s="230">
        <v>1151250</v>
      </c>
      <c r="EB51" s="229">
        <v>4.8999999999999998E-3</v>
      </c>
      <c r="EC51" s="229">
        <v>6.4299999999999996E-2</v>
      </c>
      <c r="ED51" s="228">
        <v>2.74</v>
      </c>
      <c r="EE51" s="229">
        <v>5.4000000000000003E-3</v>
      </c>
      <c r="EF51" s="230">
        <v>794444</v>
      </c>
      <c r="EG51" s="230">
        <v>1127011</v>
      </c>
      <c r="EH51" s="229">
        <v>-0.29509999999999997</v>
      </c>
      <c r="EI51" s="229">
        <v>0.44769999999999999</v>
      </c>
      <c r="EJ51" s="231">
        <v>36489.550000000003</v>
      </c>
      <c r="EK51" s="231">
        <v>14318.06</v>
      </c>
      <c r="EL51" s="231">
        <v>22920.81</v>
      </c>
      <c r="EM51" s="231">
        <v>2015</v>
      </c>
      <c r="EN51" s="231">
        <v>73728.42</v>
      </c>
      <c r="EO51" s="231">
        <v>99002.35</v>
      </c>
      <c r="EP51" s="231">
        <v>-25273.93</v>
      </c>
      <c r="EQ51" s="229">
        <v>-0.25530000000000003</v>
      </c>
      <c r="ER51" s="231">
        <v>30621</v>
      </c>
      <c r="ES51" s="231">
        <v>23918</v>
      </c>
      <c r="ET51" s="231">
        <v>130469</v>
      </c>
      <c r="EU51" s="231">
        <v>51639257</v>
      </c>
      <c r="EV51" s="231">
        <v>185008</v>
      </c>
      <c r="EW51" s="231">
        <v>182232</v>
      </c>
      <c r="EX51" s="231">
        <v>2776</v>
      </c>
      <c r="EY51" s="229">
        <v>1.52E-2</v>
      </c>
      <c r="EZ51" s="229">
        <v>0.7167</v>
      </c>
      <c r="FA51" s="227" t="s">
        <v>555</v>
      </c>
      <c r="FB51" s="161">
        <f t="shared" si="0"/>
        <v>1661250</v>
      </c>
    </row>
    <row r="52" spans="1:158" ht="17.25" thickBot="1" x14ac:dyDescent="0.3">
      <c r="A52" s="226">
        <v>46129</v>
      </c>
      <c r="B52" s="227" t="s">
        <v>184</v>
      </c>
      <c r="C52" s="227" t="s">
        <v>523</v>
      </c>
      <c r="D52" s="228">
        <v>1800</v>
      </c>
      <c r="E52" s="228">
        <v>261.39</v>
      </c>
      <c r="F52" s="228">
        <v>261.22000000000003</v>
      </c>
      <c r="G52" s="228">
        <v>0.17</v>
      </c>
      <c r="H52" s="229">
        <v>6.9999999999999999E-4</v>
      </c>
      <c r="I52" s="228">
        <v>261.45</v>
      </c>
      <c r="J52" s="228">
        <v>260.97000000000003</v>
      </c>
      <c r="K52" s="228">
        <v>0.48</v>
      </c>
      <c r="L52" s="229">
        <v>1.8E-3</v>
      </c>
      <c r="M52" s="228">
        <v>261.39</v>
      </c>
      <c r="N52" s="228">
        <v>261.22000000000003</v>
      </c>
      <c r="O52" s="228">
        <v>0.17</v>
      </c>
      <c r="P52" s="229">
        <v>6.9999999999999999E-4</v>
      </c>
      <c r="Q52" s="228">
        <v>262.99</v>
      </c>
      <c r="R52" s="228">
        <v>262.66000000000003</v>
      </c>
      <c r="S52" s="228">
        <v>0.33</v>
      </c>
      <c r="T52" s="229">
        <v>1.2999999999999999E-3</v>
      </c>
      <c r="U52" s="228">
        <v>264.95</v>
      </c>
      <c r="V52" s="228">
        <v>263.73</v>
      </c>
      <c r="W52" s="228">
        <v>1.22</v>
      </c>
      <c r="X52" s="229">
        <v>4.5999999999999999E-3</v>
      </c>
      <c r="Y52" s="228">
        <v>-0.06</v>
      </c>
      <c r="Z52" s="228">
        <v>0.25</v>
      </c>
      <c r="AA52" s="228">
        <v>-0.31</v>
      </c>
      <c r="AB52" s="229">
        <v>-2.0000000000000001E-4</v>
      </c>
      <c r="AC52" s="228">
        <v>-0.06</v>
      </c>
      <c r="AD52" s="228">
        <v>0.25</v>
      </c>
      <c r="AE52" s="228">
        <v>-0.31</v>
      </c>
      <c r="AF52" s="229">
        <v>-2.0000000000000001E-4</v>
      </c>
      <c r="AG52" s="228">
        <v>1.54</v>
      </c>
      <c r="AH52" s="228">
        <v>1.69</v>
      </c>
      <c r="AI52" s="228">
        <v>-0.15</v>
      </c>
      <c r="AJ52" s="229">
        <v>5.8999999999999999E-3</v>
      </c>
      <c r="AK52" s="228">
        <v>3.5</v>
      </c>
      <c r="AL52" s="228">
        <v>2.76</v>
      </c>
      <c r="AM52" s="228">
        <v>0.74</v>
      </c>
      <c r="AN52" s="229">
        <v>1.34E-2</v>
      </c>
      <c r="AO52" s="228">
        <v>261.08</v>
      </c>
      <c r="AP52" s="228">
        <v>262.52999999999997</v>
      </c>
      <c r="AQ52" s="228">
        <v>0</v>
      </c>
      <c r="AR52" s="230">
        <v>5313600</v>
      </c>
      <c r="AS52" s="230">
        <v>10719000</v>
      </c>
      <c r="AT52" s="230">
        <v>-5405400</v>
      </c>
      <c r="AU52" s="229">
        <v>-0.50429999999999997</v>
      </c>
      <c r="AV52" s="230">
        <v>4575600</v>
      </c>
      <c r="AW52" s="230">
        <v>9849600</v>
      </c>
      <c r="AX52" s="230">
        <v>-5274000</v>
      </c>
      <c r="AY52" s="229">
        <v>-0.53549999999999998</v>
      </c>
      <c r="AZ52" s="230">
        <v>660600</v>
      </c>
      <c r="BA52" s="230">
        <v>795600</v>
      </c>
      <c r="BB52" s="230">
        <v>-135000</v>
      </c>
      <c r="BC52" s="229">
        <v>-0.16969999999999999</v>
      </c>
      <c r="BD52" s="230">
        <v>77400</v>
      </c>
      <c r="BE52" s="230">
        <v>73800</v>
      </c>
      <c r="BF52" s="230">
        <v>3600</v>
      </c>
      <c r="BG52" s="229">
        <v>4.8800000000000003E-2</v>
      </c>
      <c r="BH52" s="230">
        <v>17375400</v>
      </c>
      <c r="BI52" s="230">
        <v>48846600</v>
      </c>
      <c r="BJ52" s="230">
        <v>-31471200</v>
      </c>
      <c r="BK52" s="229">
        <v>-0.64429999999999998</v>
      </c>
      <c r="BL52" s="230">
        <v>7678800</v>
      </c>
      <c r="BM52" s="230">
        <v>16732800</v>
      </c>
      <c r="BN52" s="230">
        <v>-9054000</v>
      </c>
      <c r="BO52" s="229">
        <v>-0.54110000000000003</v>
      </c>
      <c r="BP52" s="230">
        <v>30367800</v>
      </c>
      <c r="BQ52" s="230">
        <v>76298400</v>
      </c>
      <c r="BR52" s="230">
        <v>-45930600</v>
      </c>
      <c r="BS52" s="229">
        <v>-0.60199999999999998</v>
      </c>
      <c r="BT52" s="230">
        <v>4552540</v>
      </c>
      <c r="BU52" s="230">
        <v>11910060</v>
      </c>
      <c r="BV52" s="230">
        <v>-7357520</v>
      </c>
      <c r="BW52" s="229">
        <v>-0.61780000000000002</v>
      </c>
      <c r="BX52" s="230">
        <v>44935200</v>
      </c>
      <c r="BY52" s="230">
        <v>45374400</v>
      </c>
      <c r="BZ52" s="230">
        <v>-439200</v>
      </c>
      <c r="CA52" s="229">
        <v>-9.7000000000000003E-3</v>
      </c>
      <c r="CB52" s="230">
        <v>43630200</v>
      </c>
      <c r="CC52" s="230">
        <v>44184600</v>
      </c>
      <c r="CD52" s="230">
        <v>-554400</v>
      </c>
      <c r="CE52" s="229">
        <v>-1.2500000000000001E-2</v>
      </c>
      <c r="CF52" s="230">
        <v>1144800</v>
      </c>
      <c r="CG52" s="230">
        <v>1067400</v>
      </c>
      <c r="CH52" s="230">
        <v>77400</v>
      </c>
      <c r="CI52" s="229">
        <v>7.2499999999999995E-2</v>
      </c>
      <c r="CJ52" s="230">
        <v>160200</v>
      </c>
      <c r="CK52" s="230">
        <v>122400</v>
      </c>
      <c r="CL52" s="230">
        <v>37800</v>
      </c>
      <c r="CM52" s="229">
        <v>0.30880000000000002</v>
      </c>
      <c r="CN52" s="230">
        <v>12141000</v>
      </c>
      <c r="CO52" s="230">
        <v>11221200</v>
      </c>
      <c r="CP52" s="230">
        <v>919800</v>
      </c>
      <c r="CQ52" s="229">
        <v>8.2000000000000003E-2</v>
      </c>
      <c r="CR52" s="230">
        <v>8521200</v>
      </c>
      <c r="CS52" s="230">
        <v>9005400</v>
      </c>
      <c r="CT52" s="230">
        <v>-484200</v>
      </c>
      <c r="CU52" s="229">
        <v>-5.3800000000000001E-2</v>
      </c>
      <c r="CV52" s="230">
        <v>65597400</v>
      </c>
      <c r="CW52" s="230">
        <v>65601000</v>
      </c>
      <c r="CX52" s="230">
        <v>-3600</v>
      </c>
      <c r="CY52" s="229">
        <v>-1E-4</v>
      </c>
      <c r="CZ52" s="228">
        <v>37.520000000000003</v>
      </c>
      <c r="DA52" s="228">
        <v>38.74</v>
      </c>
      <c r="DB52" s="228">
        <v>-1.22</v>
      </c>
      <c r="DC52" s="228">
        <v>-1.22</v>
      </c>
      <c r="DD52" s="228">
        <v>35.47</v>
      </c>
      <c r="DE52" s="228">
        <v>35.56</v>
      </c>
      <c r="DF52" s="228">
        <v>2.0499999999999998</v>
      </c>
      <c r="DG52" s="228">
        <v>-0.09</v>
      </c>
      <c r="DH52" s="228">
        <v>36.58</v>
      </c>
      <c r="DI52" s="228">
        <v>37.86</v>
      </c>
      <c r="DJ52" s="228">
        <v>-1.28</v>
      </c>
      <c r="DK52" s="228">
        <v>-1.28</v>
      </c>
      <c r="DL52" s="228">
        <v>39.630000000000003</v>
      </c>
      <c r="DM52" s="228">
        <v>41.32</v>
      </c>
      <c r="DN52" s="228">
        <v>-1.69</v>
      </c>
      <c r="DO52" s="228">
        <v>-1.69</v>
      </c>
      <c r="DP52" s="228">
        <v>0.7</v>
      </c>
      <c r="DQ52" s="228">
        <v>0.8</v>
      </c>
      <c r="DR52" s="228">
        <v>-0.1</v>
      </c>
      <c r="DS52" s="229">
        <v>-0.125</v>
      </c>
      <c r="DT52" s="228">
        <v>260</v>
      </c>
      <c r="DU52" s="228">
        <v>220</v>
      </c>
      <c r="DV52" s="228">
        <v>0.44</v>
      </c>
      <c r="DW52" s="228">
        <v>0.34</v>
      </c>
      <c r="DX52" s="228">
        <v>0.1</v>
      </c>
      <c r="DY52" s="229">
        <v>0.29409999999999997</v>
      </c>
      <c r="DZ52" s="229">
        <v>2.9000000000000001E-2</v>
      </c>
      <c r="EA52" s="230">
        <v>1189800</v>
      </c>
      <c r="EB52" s="229">
        <v>6.1000000000000004E-3</v>
      </c>
      <c r="EC52" s="229">
        <v>2.9000000000000001E-2</v>
      </c>
      <c r="ED52" s="228">
        <v>1.45</v>
      </c>
      <c r="EE52" s="229">
        <v>5.5999999999999999E-3</v>
      </c>
      <c r="EF52" s="230">
        <v>1822956</v>
      </c>
      <c r="EG52" s="230">
        <v>3611280</v>
      </c>
      <c r="EH52" s="229">
        <v>-0.49519999999999997</v>
      </c>
      <c r="EI52" s="229">
        <v>0.40039999999999998</v>
      </c>
      <c r="EJ52" s="231">
        <v>47312.78</v>
      </c>
      <c r="EK52" s="231">
        <v>19806.099999999999</v>
      </c>
      <c r="EL52" s="231">
        <v>13884.24</v>
      </c>
      <c r="EM52" s="231">
        <v>3390</v>
      </c>
      <c r="EN52" s="231">
        <v>81003.12</v>
      </c>
      <c r="EO52" s="231">
        <v>200299.6</v>
      </c>
      <c r="EP52" s="231">
        <v>-119296.48</v>
      </c>
      <c r="EQ52" s="229">
        <v>-0.59560000000000002</v>
      </c>
      <c r="ER52" s="231">
        <v>31837</v>
      </c>
      <c r="ES52" s="231">
        <v>20864</v>
      </c>
      <c r="ET52" s="231">
        <v>117480</v>
      </c>
      <c r="EU52" s="231">
        <v>96587231</v>
      </c>
      <c r="EV52" s="231">
        <v>170181</v>
      </c>
      <c r="EW52" s="231">
        <v>169833</v>
      </c>
      <c r="EX52" s="228">
        <v>348</v>
      </c>
      <c r="EY52" s="229">
        <v>2E-3</v>
      </c>
      <c r="EZ52" s="229">
        <v>0.67920000000000003</v>
      </c>
      <c r="FA52" s="227" t="s">
        <v>693</v>
      </c>
      <c r="FB52" s="161">
        <f t="shared" si="0"/>
        <v>1305000</v>
      </c>
    </row>
    <row r="53" spans="1:158" ht="17.25" thickBot="1" x14ac:dyDescent="0.3">
      <c r="A53" s="226">
        <v>46129</v>
      </c>
      <c r="B53" s="227" t="s">
        <v>184</v>
      </c>
      <c r="C53" s="227" t="s">
        <v>203</v>
      </c>
      <c r="D53" s="228">
        <v>200</v>
      </c>
      <c r="E53" s="231">
        <v>5151.7</v>
      </c>
      <c r="F53" s="231">
        <v>5056.8</v>
      </c>
      <c r="G53" s="228">
        <v>94.9</v>
      </c>
      <c r="H53" s="229">
        <v>1.8800000000000001E-2</v>
      </c>
      <c r="I53" s="231">
        <v>5140.8999999999996</v>
      </c>
      <c r="J53" s="231">
        <v>5038.2</v>
      </c>
      <c r="K53" s="228">
        <v>102.7</v>
      </c>
      <c r="L53" s="229">
        <v>2.0400000000000001E-2</v>
      </c>
      <c r="M53" s="231">
        <v>5151.7</v>
      </c>
      <c r="N53" s="231">
        <v>5056.8</v>
      </c>
      <c r="O53" s="228">
        <v>94.9</v>
      </c>
      <c r="P53" s="229">
        <v>1.8800000000000001E-2</v>
      </c>
      <c r="Q53" s="231">
        <v>5180.6000000000004</v>
      </c>
      <c r="R53" s="231">
        <v>5081.8</v>
      </c>
      <c r="S53" s="228">
        <v>98.8</v>
      </c>
      <c r="T53" s="229">
        <v>1.9400000000000001E-2</v>
      </c>
      <c r="U53" s="231">
        <v>5193.3999999999996</v>
      </c>
      <c r="V53" s="231">
        <v>5105</v>
      </c>
      <c r="W53" s="228">
        <v>88.4</v>
      </c>
      <c r="X53" s="229">
        <v>1.7299999999999999E-2</v>
      </c>
      <c r="Y53" s="228">
        <v>10.8</v>
      </c>
      <c r="Z53" s="228">
        <v>18.600000000000001</v>
      </c>
      <c r="AA53" s="228">
        <v>-7.8</v>
      </c>
      <c r="AB53" s="229">
        <v>2.0999999999999999E-3</v>
      </c>
      <c r="AC53" s="228">
        <v>10.8</v>
      </c>
      <c r="AD53" s="228">
        <v>18.600000000000001</v>
      </c>
      <c r="AE53" s="228">
        <v>-7.8</v>
      </c>
      <c r="AF53" s="229">
        <v>2.0999999999999999E-3</v>
      </c>
      <c r="AG53" s="228">
        <v>39.700000000000003</v>
      </c>
      <c r="AH53" s="228">
        <v>43.6</v>
      </c>
      <c r="AI53" s="228">
        <v>-3.9</v>
      </c>
      <c r="AJ53" s="229">
        <v>7.7000000000000002E-3</v>
      </c>
      <c r="AK53" s="228">
        <v>52.5</v>
      </c>
      <c r="AL53" s="228">
        <v>66.8</v>
      </c>
      <c r="AM53" s="228">
        <v>-14.3</v>
      </c>
      <c r="AN53" s="229">
        <v>1.0200000000000001E-2</v>
      </c>
      <c r="AO53" s="231">
        <v>5141.01</v>
      </c>
      <c r="AP53" s="231">
        <v>5162.0600000000004</v>
      </c>
      <c r="AQ53" s="228">
        <v>0</v>
      </c>
      <c r="AR53" s="230">
        <v>1439400</v>
      </c>
      <c r="AS53" s="230">
        <v>604200</v>
      </c>
      <c r="AT53" s="230">
        <v>835200</v>
      </c>
      <c r="AU53" s="229">
        <v>1.3823000000000001</v>
      </c>
      <c r="AV53" s="230">
        <v>1085200</v>
      </c>
      <c r="AW53" s="230">
        <v>558000</v>
      </c>
      <c r="AX53" s="230">
        <v>527200</v>
      </c>
      <c r="AY53" s="229">
        <v>0.94479999999999997</v>
      </c>
      <c r="AZ53" s="230">
        <v>103600</v>
      </c>
      <c r="BA53" s="230">
        <v>42400</v>
      </c>
      <c r="BB53" s="230">
        <v>61200</v>
      </c>
      <c r="BC53" s="229">
        <v>1.4434</v>
      </c>
      <c r="BD53" s="230">
        <v>250600</v>
      </c>
      <c r="BE53" s="230">
        <v>3800</v>
      </c>
      <c r="BF53" s="230">
        <v>246800</v>
      </c>
      <c r="BG53" s="229">
        <v>64.947400000000002</v>
      </c>
      <c r="BH53" s="230">
        <v>4791800</v>
      </c>
      <c r="BI53" s="230">
        <v>1916200</v>
      </c>
      <c r="BJ53" s="230">
        <v>2875600</v>
      </c>
      <c r="BK53" s="229">
        <v>1.5006999999999999</v>
      </c>
      <c r="BL53" s="230">
        <v>1307200</v>
      </c>
      <c r="BM53" s="230">
        <v>880000</v>
      </c>
      <c r="BN53" s="230">
        <v>427200</v>
      </c>
      <c r="BO53" s="229">
        <v>0.48549999999999999</v>
      </c>
      <c r="BP53" s="230">
        <v>7538400</v>
      </c>
      <c r="BQ53" s="230">
        <v>3400400</v>
      </c>
      <c r="BR53" s="230">
        <v>4138000</v>
      </c>
      <c r="BS53" s="229">
        <v>1.2169000000000001</v>
      </c>
      <c r="BT53" s="230">
        <v>548497</v>
      </c>
      <c r="BU53" s="230">
        <v>677754</v>
      </c>
      <c r="BV53" s="230">
        <v>-129257</v>
      </c>
      <c r="BW53" s="229">
        <v>-0.19070000000000001</v>
      </c>
      <c r="BX53" s="230">
        <v>4060400</v>
      </c>
      <c r="BY53" s="230">
        <v>3960200</v>
      </c>
      <c r="BZ53" s="230">
        <v>100200</v>
      </c>
      <c r="CA53" s="229">
        <v>2.53E-2</v>
      </c>
      <c r="CB53" s="230">
        <v>3684800</v>
      </c>
      <c r="CC53" s="230">
        <v>3854000</v>
      </c>
      <c r="CD53" s="230">
        <v>-169200</v>
      </c>
      <c r="CE53" s="229">
        <v>-4.3900000000000002E-2</v>
      </c>
      <c r="CF53" s="230">
        <v>123400</v>
      </c>
      <c r="CG53" s="230">
        <v>94600</v>
      </c>
      <c r="CH53" s="230">
        <v>28800</v>
      </c>
      <c r="CI53" s="229">
        <v>0.3044</v>
      </c>
      <c r="CJ53" s="230">
        <v>252200</v>
      </c>
      <c r="CK53" s="230">
        <v>11600</v>
      </c>
      <c r="CL53" s="230">
        <v>240600</v>
      </c>
      <c r="CM53" s="229">
        <v>20.741399999999999</v>
      </c>
      <c r="CN53" s="230">
        <v>1282000</v>
      </c>
      <c r="CO53" s="230">
        <v>1169400</v>
      </c>
      <c r="CP53" s="230">
        <v>112600</v>
      </c>
      <c r="CQ53" s="229">
        <v>9.6299999999999997E-2</v>
      </c>
      <c r="CR53" s="230">
        <v>890200</v>
      </c>
      <c r="CS53" s="230">
        <v>767400</v>
      </c>
      <c r="CT53" s="230">
        <v>122800</v>
      </c>
      <c r="CU53" s="229">
        <v>0.16</v>
      </c>
      <c r="CV53" s="230">
        <v>6232600</v>
      </c>
      <c r="CW53" s="230">
        <v>5897000</v>
      </c>
      <c r="CX53" s="230">
        <v>335600</v>
      </c>
      <c r="CY53" s="229">
        <v>5.6899999999999999E-2</v>
      </c>
      <c r="CZ53" s="228">
        <v>33.57</v>
      </c>
      <c r="DA53" s="228">
        <v>34.659999999999997</v>
      </c>
      <c r="DB53" s="228">
        <v>-1.0900000000000001</v>
      </c>
      <c r="DC53" s="228">
        <v>-1.0900000000000001</v>
      </c>
      <c r="DD53" s="228">
        <v>36.200000000000003</v>
      </c>
      <c r="DE53" s="228">
        <v>36.18</v>
      </c>
      <c r="DF53" s="228">
        <v>-2.63</v>
      </c>
      <c r="DG53" s="228">
        <v>0.02</v>
      </c>
      <c r="DH53" s="228">
        <v>33.1</v>
      </c>
      <c r="DI53" s="228">
        <v>34.369999999999997</v>
      </c>
      <c r="DJ53" s="228">
        <v>-1.27</v>
      </c>
      <c r="DK53" s="228">
        <v>-1.27</v>
      </c>
      <c r="DL53" s="228">
        <v>35.270000000000003</v>
      </c>
      <c r="DM53" s="228">
        <v>35.270000000000003</v>
      </c>
      <c r="DN53" s="228">
        <v>0</v>
      </c>
      <c r="DO53" s="228">
        <v>0</v>
      </c>
      <c r="DP53" s="228">
        <v>0.69</v>
      </c>
      <c r="DQ53" s="228">
        <v>0.66</v>
      </c>
      <c r="DR53" s="228">
        <v>0.03</v>
      </c>
      <c r="DS53" s="229">
        <v>4.5499999999999999E-2</v>
      </c>
      <c r="DT53" s="231">
        <v>5200</v>
      </c>
      <c r="DU53" s="231">
        <v>4700</v>
      </c>
      <c r="DV53" s="228">
        <v>0.27</v>
      </c>
      <c r="DW53" s="228">
        <v>0.46</v>
      </c>
      <c r="DX53" s="228">
        <v>-0.19</v>
      </c>
      <c r="DY53" s="229">
        <v>-0.41299999999999998</v>
      </c>
      <c r="DZ53" s="229">
        <v>9.2499999999999999E-2</v>
      </c>
      <c r="EA53" s="230">
        <v>106200</v>
      </c>
      <c r="EB53" s="229">
        <v>5.5999999999999999E-3</v>
      </c>
      <c r="EC53" s="229">
        <v>9.2499999999999999E-2</v>
      </c>
      <c r="ED53" s="228">
        <v>21.05</v>
      </c>
      <c r="EE53" s="229">
        <v>4.1000000000000003E-3</v>
      </c>
      <c r="EF53" s="230">
        <v>230095</v>
      </c>
      <c r="EG53" s="230">
        <v>377816</v>
      </c>
      <c r="EH53" s="229">
        <v>-0.39100000000000001</v>
      </c>
      <c r="EI53" s="229">
        <v>0.41949999999999998</v>
      </c>
      <c r="EJ53" s="231">
        <v>255017.19</v>
      </c>
      <c r="EK53" s="231">
        <v>65125.65</v>
      </c>
      <c r="EL53" s="231">
        <v>74191.759999999995</v>
      </c>
      <c r="EM53" s="231">
        <v>4695</v>
      </c>
      <c r="EN53" s="231">
        <v>394334.6</v>
      </c>
      <c r="EO53" s="231">
        <v>174683.8</v>
      </c>
      <c r="EP53" s="231">
        <v>219650.8</v>
      </c>
      <c r="EQ53" s="229">
        <v>1.2574000000000001</v>
      </c>
      <c r="ER53" s="231">
        <v>65287</v>
      </c>
      <c r="ES53" s="231">
        <v>42101</v>
      </c>
      <c r="ET53" s="231">
        <v>209320</v>
      </c>
      <c r="EU53" s="231">
        <v>20374200</v>
      </c>
      <c r="EV53" s="231">
        <v>316709</v>
      </c>
      <c r="EW53" s="231">
        <v>295348</v>
      </c>
      <c r="EX53" s="231">
        <v>21361</v>
      </c>
      <c r="EY53" s="229">
        <v>7.2300000000000003E-2</v>
      </c>
      <c r="EZ53" s="229">
        <v>0.30590000000000001</v>
      </c>
      <c r="FA53" s="227" t="s">
        <v>555</v>
      </c>
      <c r="FB53" s="161">
        <f t="shared" si="0"/>
        <v>375600</v>
      </c>
    </row>
    <row r="54" spans="1:158" ht="17.25" thickBot="1" x14ac:dyDescent="0.3">
      <c r="A54" s="226">
        <v>46129</v>
      </c>
      <c r="B54" s="227" t="s">
        <v>168</v>
      </c>
      <c r="C54" s="227" t="s">
        <v>204</v>
      </c>
      <c r="D54" s="228">
        <v>1250</v>
      </c>
      <c r="E54" s="228">
        <v>442.75</v>
      </c>
      <c r="F54" s="228">
        <v>427.45</v>
      </c>
      <c r="G54" s="228">
        <v>15.3</v>
      </c>
      <c r="H54" s="229">
        <v>3.5799999999999998E-2</v>
      </c>
      <c r="I54" s="228">
        <v>442.85</v>
      </c>
      <c r="J54" s="228">
        <v>427.55</v>
      </c>
      <c r="K54" s="228">
        <v>15.3</v>
      </c>
      <c r="L54" s="229">
        <v>3.5799999999999998E-2</v>
      </c>
      <c r="M54" s="228">
        <v>442.75</v>
      </c>
      <c r="N54" s="228">
        <v>427.45</v>
      </c>
      <c r="O54" s="228">
        <v>15.3</v>
      </c>
      <c r="P54" s="229">
        <v>3.5799999999999998E-2</v>
      </c>
      <c r="Q54" s="228">
        <v>445</v>
      </c>
      <c r="R54" s="228">
        <v>430.1</v>
      </c>
      <c r="S54" s="228">
        <v>14.9</v>
      </c>
      <c r="T54" s="229">
        <v>3.4599999999999999E-2</v>
      </c>
      <c r="U54" s="228">
        <v>448.1</v>
      </c>
      <c r="V54" s="228">
        <v>432.6</v>
      </c>
      <c r="W54" s="228">
        <v>15.5</v>
      </c>
      <c r="X54" s="229">
        <v>3.5799999999999998E-2</v>
      </c>
      <c r="Y54" s="228">
        <v>-0.1</v>
      </c>
      <c r="Z54" s="228">
        <v>-0.1</v>
      </c>
      <c r="AA54" s="228">
        <v>0</v>
      </c>
      <c r="AB54" s="229">
        <v>-2.0000000000000001E-4</v>
      </c>
      <c r="AC54" s="228">
        <v>-0.1</v>
      </c>
      <c r="AD54" s="228">
        <v>-0.1</v>
      </c>
      <c r="AE54" s="228">
        <v>0</v>
      </c>
      <c r="AF54" s="229">
        <v>-2.0000000000000001E-4</v>
      </c>
      <c r="AG54" s="228">
        <v>2.15</v>
      </c>
      <c r="AH54" s="228">
        <v>2.5499999999999998</v>
      </c>
      <c r="AI54" s="228">
        <v>-0.4</v>
      </c>
      <c r="AJ54" s="229">
        <v>4.8999999999999998E-3</v>
      </c>
      <c r="AK54" s="228">
        <v>5.25</v>
      </c>
      <c r="AL54" s="228">
        <v>5.05</v>
      </c>
      <c r="AM54" s="228">
        <v>0.2</v>
      </c>
      <c r="AN54" s="229">
        <v>1.1900000000000001E-2</v>
      </c>
      <c r="AO54" s="228">
        <v>439.47</v>
      </c>
      <c r="AP54" s="228">
        <v>441.21</v>
      </c>
      <c r="AQ54" s="228">
        <v>0</v>
      </c>
      <c r="AR54" s="230">
        <v>8552500</v>
      </c>
      <c r="AS54" s="230">
        <v>9698750</v>
      </c>
      <c r="AT54" s="230">
        <v>-1146250</v>
      </c>
      <c r="AU54" s="229">
        <v>-0.1182</v>
      </c>
      <c r="AV54" s="230">
        <v>7536250</v>
      </c>
      <c r="AW54" s="230">
        <v>8895000</v>
      </c>
      <c r="AX54" s="230">
        <v>-1358750</v>
      </c>
      <c r="AY54" s="229">
        <v>-0.15279999999999999</v>
      </c>
      <c r="AZ54" s="230">
        <v>913750</v>
      </c>
      <c r="BA54" s="230">
        <v>707500</v>
      </c>
      <c r="BB54" s="230">
        <v>206250</v>
      </c>
      <c r="BC54" s="229">
        <v>0.29149999999999998</v>
      </c>
      <c r="BD54" s="230">
        <v>102500</v>
      </c>
      <c r="BE54" s="230">
        <v>96250</v>
      </c>
      <c r="BF54" s="230">
        <v>6250</v>
      </c>
      <c r="BG54" s="229">
        <v>6.4899999999999999E-2</v>
      </c>
      <c r="BH54" s="230">
        <v>38317500</v>
      </c>
      <c r="BI54" s="230">
        <v>13418750</v>
      </c>
      <c r="BJ54" s="230">
        <v>24898750</v>
      </c>
      <c r="BK54" s="229">
        <v>1.8554999999999999</v>
      </c>
      <c r="BL54" s="230">
        <v>11585000</v>
      </c>
      <c r="BM54" s="230">
        <v>5510000</v>
      </c>
      <c r="BN54" s="230">
        <v>6075000</v>
      </c>
      <c r="BO54" s="229">
        <v>1.1025</v>
      </c>
      <c r="BP54" s="230">
        <v>58455000</v>
      </c>
      <c r="BQ54" s="230">
        <v>28627500</v>
      </c>
      <c r="BR54" s="230">
        <v>29827500</v>
      </c>
      <c r="BS54" s="229">
        <v>1.0419</v>
      </c>
      <c r="BT54" s="230">
        <v>5393012</v>
      </c>
      <c r="BU54" s="230">
        <v>4048034</v>
      </c>
      <c r="BV54" s="230">
        <v>1344978</v>
      </c>
      <c r="BW54" s="229">
        <v>0.33229999999999998</v>
      </c>
      <c r="BX54" s="230">
        <v>29197500</v>
      </c>
      <c r="BY54" s="230">
        <v>29710000</v>
      </c>
      <c r="BZ54" s="230">
        <v>-512500</v>
      </c>
      <c r="CA54" s="229">
        <v>-1.7299999999999999E-2</v>
      </c>
      <c r="CB54" s="230">
        <v>27768750</v>
      </c>
      <c r="CC54" s="230">
        <v>28333750</v>
      </c>
      <c r="CD54" s="230">
        <v>-565000</v>
      </c>
      <c r="CE54" s="229">
        <v>-1.9900000000000001E-2</v>
      </c>
      <c r="CF54" s="230">
        <v>1262500</v>
      </c>
      <c r="CG54" s="230">
        <v>1221250</v>
      </c>
      <c r="CH54" s="230">
        <v>41250</v>
      </c>
      <c r="CI54" s="229">
        <v>3.3799999999999997E-2</v>
      </c>
      <c r="CJ54" s="230">
        <v>166250</v>
      </c>
      <c r="CK54" s="230">
        <v>155000</v>
      </c>
      <c r="CL54" s="230">
        <v>11250</v>
      </c>
      <c r="CM54" s="229">
        <v>7.2599999999999998E-2</v>
      </c>
      <c r="CN54" s="230">
        <v>13088750</v>
      </c>
      <c r="CO54" s="230">
        <v>11537500</v>
      </c>
      <c r="CP54" s="230">
        <v>1551250</v>
      </c>
      <c r="CQ54" s="229">
        <v>0.13450000000000001</v>
      </c>
      <c r="CR54" s="230">
        <v>8371250</v>
      </c>
      <c r="CS54" s="230">
        <v>7245000</v>
      </c>
      <c r="CT54" s="230">
        <v>1126250</v>
      </c>
      <c r="CU54" s="229">
        <v>0.1555</v>
      </c>
      <c r="CV54" s="230">
        <v>50657500</v>
      </c>
      <c r="CW54" s="230">
        <v>48492500</v>
      </c>
      <c r="CX54" s="230">
        <v>2165000</v>
      </c>
      <c r="CY54" s="229">
        <v>4.4600000000000001E-2</v>
      </c>
      <c r="CZ54" s="228">
        <v>29.35</v>
      </c>
      <c r="DA54" s="228">
        <v>28.62</v>
      </c>
      <c r="DB54" s="228">
        <v>0.73</v>
      </c>
      <c r="DC54" s="228">
        <v>0.73</v>
      </c>
      <c r="DD54" s="228">
        <v>27.26</v>
      </c>
      <c r="DE54" s="228">
        <v>26.91</v>
      </c>
      <c r="DF54" s="228">
        <v>2.09</v>
      </c>
      <c r="DG54" s="228">
        <v>0.35</v>
      </c>
      <c r="DH54" s="228">
        <v>29.4</v>
      </c>
      <c r="DI54" s="228">
        <v>29.05</v>
      </c>
      <c r="DJ54" s="228">
        <v>0.35</v>
      </c>
      <c r="DK54" s="228">
        <v>0.35</v>
      </c>
      <c r="DL54" s="228">
        <v>29.21</v>
      </c>
      <c r="DM54" s="228">
        <v>27.58</v>
      </c>
      <c r="DN54" s="228">
        <v>1.63</v>
      </c>
      <c r="DO54" s="228">
        <v>1.63</v>
      </c>
      <c r="DP54" s="228">
        <v>0.64</v>
      </c>
      <c r="DQ54" s="228">
        <v>0.63</v>
      </c>
      <c r="DR54" s="228">
        <v>0.01</v>
      </c>
      <c r="DS54" s="229">
        <v>1.5900000000000001E-2</v>
      </c>
      <c r="DT54" s="228">
        <v>480</v>
      </c>
      <c r="DU54" s="228">
        <v>435</v>
      </c>
      <c r="DV54" s="228">
        <v>0.3</v>
      </c>
      <c r="DW54" s="228">
        <v>0.41</v>
      </c>
      <c r="DX54" s="228">
        <v>-0.11</v>
      </c>
      <c r="DY54" s="229">
        <v>-0.26829999999999998</v>
      </c>
      <c r="DZ54" s="229">
        <v>4.8899999999999999E-2</v>
      </c>
      <c r="EA54" s="230">
        <v>1376250</v>
      </c>
      <c r="EB54" s="229">
        <v>5.1000000000000004E-3</v>
      </c>
      <c r="EC54" s="229">
        <v>4.8899999999999999E-2</v>
      </c>
      <c r="ED54" s="228">
        <v>1.74</v>
      </c>
      <c r="EE54" s="229">
        <v>4.0000000000000001E-3</v>
      </c>
      <c r="EF54" s="230">
        <v>2920022</v>
      </c>
      <c r="EG54" s="230">
        <v>2368216</v>
      </c>
      <c r="EH54" s="229">
        <v>0.23300000000000001</v>
      </c>
      <c r="EI54" s="229">
        <v>0.54139999999999999</v>
      </c>
      <c r="EJ54" s="231">
        <v>177443.47</v>
      </c>
      <c r="EK54" s="231">
        <v>50311.95</v>
      </c>
      <c r="EL54" s="231">
        <v>37606.03</v>
      </c>
      <c r="EM54" s="231">
        <v>4418</v>
      </c>
      <c r="EN54" s="231">
        <v>265361.45</v>
      </c>
      <c r="EO54" s="231">
        <v>126313.74</v>
      </c>
      <c r="EP54" s="231">
        <v>139047.71</v>
      </c>
      <c r="EQ54" s="229">
        <v>1.1008</v>
      </c>
      <c r="ER54" s="231">
        <v>60302</v>
      </c>
      <c r="ES54" s="231">
        <v>34892</v>
      </c>
      <c r="ET54" s="231">
        <v>129309</v>
      </c>
      <c r="EU54" s="231">
        <v>76827821</v>
      </c>
      <c r="EV54" s="231">
        <v>224504</v>
      </c>
      <c r="EW54" s="231">
        <v>209368</v>
      </c>
      <c r="EX54" s="231">
        <v>15136</v>
      </c>
      <c r="EY54" s="229">
        <v>7.2300000000000003E-2</v>
      </c>
      <c r="EZ54" s="229">
        <v>0.65939999999999999</v>
      </c>
      <c r="FA54" s="227" t="s">
        <v>693</v>
      </c>
      <c r="FB54" s="161">
        <f t="shared" si="0"/>
        <v>1428750</v>
      </c>
    </row>
    <row r="55" spans="1:158" ht="17.25" thickBot="1" x14ac:dyDescent="0.3">
      <c r="A55" s="226">
        <v>46129</v>
      </c>
      <c r="B55" s="227" t="s">
        <v>157</v>
      </c>
      <c r="C55" s="227" t="s">
        <v>524</v>
      </c>
      <c r="D55" s="228">
        <v>325</v>
      </c>
      <c r="E55" s="231">
        <v>1978.1</v>
      </c>
      <c r="F55" s="231">
        <v>1974.2</v>
      </c>
      <c r="G55" s="228">
        <v>3.9</v>
      </c>
      <c r="H55" s="229">
        <v>2E-3</v>
      </c>
      <c r="I55" s="231">
        <v>1971.7</v>
      </c>
      <c r="J55" s="231">
        <v>1974.7</v>
      </c>
      <c r="K55" s="228">
        <v>-3</v>
      </c>
      <c r="L55" s="229">
        <v>-1.5E-3</v>
      </c>
      <c r="M55" s="231">
        <v>1978.1</v>
      </c>
      <c r="N55" s="231">
        <v>1974.2</v>
      </c>
      <c r="O55" s="228">
        <v>3.9</v>
      </c>
      <c r="P55" s="229">
        <v>2E-3</v>
      </c>
      <c r="Q55" s="231">
        <v>1986.5</v>
      </c>
      <c r="R55" s="231">
        <v>1982.8</v>
      </c>
      <c r="S55" s="228">
        <v>3.7</v>
      </c>
      <c r="T55" s="229">
        <v>1.9E-3</v>
      </c>
      <c r="U55" s="231">
        <v>1996</v>
      </c>
      <c r="V55" s="231">
        <v>1987.2</v>
      </c>
      <c r="W55" s="228">
        <v>8.8000000000000007</v>
      </c>
      <c r="X55" s="229">
        <v>4.4000000000000003E-3</v>
      </c>
      <c r="Y55" s="228">
        <v>6.4</v>
      </c>
      <c r="Z55" s="228">
        <v>-0.5</v>
      </c>
      <c r="AA55" s="228">
        <v>6.9</v>
      </c>
      <c r="AB55" s="229">
        <v>3.2000000000000002E-3</v>
      </c>
      <c r="AC55" s="228">
        <v>6.4</v>
      </c>
      <c r="AD55" s="228">
        <v>-0.5</v>
      </c>
      <c r="AE55" s="228">
        <v>6.9</v>
      </c>
      <c r="AF55" s="229">
        <v>3.2000000000000002E-3</v>
      </c>
      <c r="AG55" s="228">
        <v>14.8</v>
      </c>
      <c r="AH55" s="228">
        <v>8.1</v>
      </c>
      <c r="AI55" s="228">
        <v>6.7</v>
      </c>
      <c r="AJ55" s="229">
        <v>7.4999999999999997E-3</v>
      </c>
      <c r="AK55" s="228">
        <v>24.3</v>
      </c>
      <c r="AL55" s="228">
        <v>12.5</v>
      </c>
      <c r="AM55" s="228">
        <v>11.8</v>
      </c>
      <c r="AN55" s="229">
        <v>1.23E-2</v>
      </c>
      <c r="AO55" s="231">
        <v>1980.97</v>
      </c>
      <c r="AP55" s="231">
        <v>1990.12</v>
      </c>
      <c r="AQ55" s="228">
        <v>0</v>
      </c>
      <c r="AR55" s="230">
        <v>577850</v>
      </c>
      <c r="AS55" s="230">
        <v>408850</v>
      </c>
      <c r="AT55" s="230">
        <v>169000</v>
      </c>
      <c r="AU55" s="229">
        <v>0.41339999999999999</v>
      </c>
      <c r="AV55" s="230">
        <v>518700</v>
      </c>
      <c r="AW55" s="230">
        <v>386100</v>
      </c>
      <c r="AX55" s="230">
        <v>132600</v>
      </c>
      <c r="AY55" s="229">
        <v>0.34339999999999998</v>
      </c>
      <c r="AZ55" s="230">
        <v>56875</v>
      </c>
      <c r="BA55" s="230">
        <v>17875</v>
      </c>
      <c r="BB55" s="230">
        <v>39000</v>
      </c>
      <c r="BC55" s="229">
        <v>2.1818</v>
      </c>
      <c r="BD55" s="230">
        <v>2275</v>
      </c>
      <c r="BE55" s="230">
        <v>4875</v>
      </c>
      <c r="BF55" s="230">
        <v>-2600</v>
      </c>
      <c r="BG55" s="229">
        <v>-0.5333</v>
      </c>
      <c r="BH55" s="230">
        <v>955825</v>
      </c>
      <c r="BI55" s="230">
        <v>991900</v>
      </c>
      <c r="BJ55" s="230">
        <v>-36075</v>
      </c>
      <c r="BK55" s="229">
        <v>-3.6400000000000002E-2</v>
      </c>
      <c r="BL55" s="230">
        <v>420550</v>
      </c>
      <c r="BM55" s="230">
        <v>422500</v>
      </c>
      <c r="BN55" s="230">
        <v>-1950</v>
      </c>
      <c r="BO55" s="229">
        <v>-4.5999999999999999E-3</v>
      </c>
      <c r="BP55" s="230">
        <v>1954225</v>
      </c>
      <c r="BQ55" s="230">
        <v>1823250</v>
      </c>
      <c r="BR55" s="230">
        <v>130975</v>
      </c>
      <c r="BS55" s="229">
        <v>7.1800000000000003E-2</v>
      </c>
      <c r="BT55" s="230">
        <v>204253</v>
      </c>
      <c r="BU55" s="230">
        <v>159089</v>
      </c>
      <c r="BV55" s="230">
        <v>45164</v>
      </c>
      <c r="BW55" s="229">
        <v>0.28389999999999999</v>
      </c>
      <c r="BX55" s="230">
        <v>2569775</v>
      </c>
      <c r="BY55" s="230">
        <v>2503800</v>
      </c>
      <c r="BZ55" s="230">
        <v>65975</v>
      </c>
      <c r="CA55" s="229">
        <v>2.63E-2</v>
      </c>
      <c r="CB55" s="230">
        <v>2503150</v>
      </c>
      <c r="CC55" s="230">
        <v>2456025</v>
      </c>
      <c r="CD55" s="230">
        <v>47125</v>
      </c>
      <c r="CE55" s="229">
        <v>1.9199999999999998E-2</v>
      </c>
      <c r="CF55" s="230">
        <v>63700</v>
      </c>
      <c r="CG55" s="230">
        <v>43225</v>
      </c>
      <c r="CH55" s="230">
        <v>20475</v>
      </c>
      <c r="CI55" s="229">
        <v>0.47370000000000001</v>
      </c>
      <c r="CJ55" s="230">
        <v>2925</v>
      </c>
      <c r="CK55" s="230">
        <v>4550</v>
      </c>
      <c r="CL55" s="230">
        <v>-1625</v>
      </c>
      <c r="CM55" s="229">
        <v>-0.35709999999999997</v>
      </c>
      <c r="CN55" s="230">
        <v>1019525</v>
      </c>
      <c r="CO55" s="230">
        <v>950300</v>
      </c>
      <c r="CP55" s="230">
        <v>69225</v>
      </c>
      <c r="CQ55" s="229">
        <v>7.2800000000000004E-2</v>
      </c>
      <c r="CR55" s="230">
        <v>1006525</v>
      </c>
      <c r="CS55" s="230">
        <v>1063400</v>
      </c>
      <c r="CT55" s="230">
        <v>-56875</v>
      </c>
      <c r="CU55" s="229">
        <v>-5.3499999999999999E-2</v>
      </c>
      <c r="CV55" s="230">
        <v>4595825</v>
      </c>
      <c r="CW55" s="230">
        <v>4517500</v>
      </c>
      <c r="CX55" s="230">
        <v>78325</v>
      </c>
      <c r="CY55" s="229">
        <v>1.7299999999999999E-2</v>
      </c>
      <c r="CZ55" s="228">
        <v>37.47</v>
      </c>
      <c r="DA55" s="228">
        <v>42.15</v>
      </c>
      <c r="DB55" s="228">
        <v>-4.68</v>
      </c>
      <c r="DC55" s="228">
        <v>-4.68</v>
      </c>
      <c r="DD55" s="228">
        <v>34.15</v>
      </c>
      <c r="DE55" s="228">
        <v>34.229999999999997</v>
      </c>
      <c r="DF55" s="228">
        <v>3.32</v>
      </c>
      <c r="DG55" s="228">
        <v>-0.08</v>
      </c>
      <c r="DH55" s="228">
        <v>36.549999999999997</v>
      </c>
      <c r="DI55" s="228">
        <v>41.24</v>
      </c>
      <c r="DJ55" s="228">
        <v>-4.6900000000000004</v>
      </c>
      <c r="DK55" s="228">
        <v>-4.6900000000000004</v>
      </c>
      <c r="DL55" s="228">
        <v>39.549999999999997</v>
      </c>
      <c r="DM55" s="228">
        <v>44.28</v>
      </c>
      <c r="DN55" s="228">
        <v>-4.7300000000000004</v>
      </c>
      <c r="DO55" s="228">
        <v>-4.7300000000000004</v>
      </c>
      <c r="DP55" s="228">
        <v>0.99</v>
      </c>
      <c r="DQ55" s="228">
        <v>1.1200000000000001</v>
      </c>
      <c r="DR55" s="228">
        <v>-0.13</v>
      </c>
      <c r="DS55" s="229">
        <v>-0.11609999999999999</v>
      </c>
      <c r="DT55" s="231">
        <v>2060</v>
      </c>
      <c r="DU55" s="231">
        <v>1900</v>
      </c>
      <c r="DV55" s="228">
        <v>0.44</v>
      </c>
      <c r="DW55" s="228">
        <v>0.43</v>
      </c>
      <c r="DX55" s="228">
        <v>0.01</v>
      </c>
      <c r="DY55" s="229">
        <v>2.3300000000000001E-2</v>
      </c>
      <c r="DZ55" s="229">
        <v>2.5899999999999999E-2</v>
      </c>
      <c r="EA55" s="230">
        <v>47775</v>
      </c>
      <c r="EB55" s="229">
        <v>4.1999999999999997E-3</v>
      </c>
      <c r="EC55" s="229">
        <v>2.5899999999999999E-2</v>
      </c>
      <c r="ED55" s="228">
        <v>9.15</v>
      </c>
      <c r="EE55" s="229">
        <v>4.5999999999999999E-3</v>
      </c>
      <c r="EF55" s="230">
        <v>112522</v>
      </c>
      <c r="EG55" s="230">
        <v>87155</v>
      </c>
      <c r="EH55" s="229">
        <v>0.29110000000000003</v>
      </c>
      <c r="EI55" s="229">
        <v>0.55089999999999995</v>
      </c>
      <c r="EJ55" s="231">
        <v>20681.91</v>
      </c>
      <c r="EK55" s="231">
        <v>8018.29</v>
      </c>
      <c r="EL55" s="231">
        <v>11452.77</v>
      </c>
      <c r="EM55" s="231">
        <v>1829</v>
      </c>
      <c r="EN55" s="231">
        <v>40152.97</v>
      </c>
      <c r="EO55" s="231">
        <v>38078.050000000003</v>
      </c>
      <c r="EP55" s="231">
        <v>2074.92</v>
      </c>
      <c r="EQ55" s="229">
        <v>5.45E-2</v>
      </c>
      <c r="ER55" s="231">
        <v>20848</v>
      </c>
      <c r="ES55" s="231">
        <v>18674</v>
      </c>
      <c r="ET55" s="231">
        <v>50839</v>
      </c>
      <c r="EU55" s="231">
        <v>12425160</v>
      </c>
      <c r="EV55" s="231">
        <v>90361</v>
      </c>
      <c r="EW55" s="231">
        <v>88506</v>
      </c>
      <c r="EX55" s="231">
        <v>1855</v>
      </c>
      <c r="EY55" s="229">
        <v>2.1000000000000001E-2</v>
      </c>
      <c r="EZ55" s="229">
        <v>0.36990000000000001</v>
      </c>
      <c r="FA55" s="227" t="s">
        <v>555</v>
      </c>
      <c r="FB55" s="161">
        <f t="shared" si="0"/>
        <v>66625</v>
      </c>
    </row>
    <row r="56" spans="1:158" ht="17.25" thickBot="1" x14ac:dyDescent="0.3">
      <c r="A56" s="226">
        <v>46129</v>
      </c>
      <c r="B56" s="227" t="s">
        <v>614</v>
      </c>
      <c r="C56" s="227" t="s">
        <v>599</v>
      </c>
      <c r="D56" s="228">
        <v>2075</v>
      </c>
      <c r="E56" s="228">
        <v>464.5</v>
      </c>
      <c r="F56" s="228">
        <v>461.15</v>
      </c>
      <c r="G56" s="228">
        <v>3.35</v>
      </c>
      <c r="H56" s="229">
        <v>7.3000000000000001E-3</v>
      </c>
      <c r="I56" s="228">
        <v>463</v>
      </c>
      <c r="J56" s="228">
        <v>459.75</v>
      </c>
      <c r="K56" s="228">
        <v>3.25</v>
      </c>
      <c r="L56" s="229">
        <v>7.1000000000000004E-3</v>
      </c>
      <c r="M56" s="228">
        <v>464.5</v>
      </c>
      <c r="N56" s="228">
        <v>461.15</v>
      </c>
      <c r="O56" s="228">
        <v>3.35</v>
      </c>
      <c r="P56" s="229">
        <v>7.3000000000000001E-3</v>
      </c>
      <c r="Q56" s="228">
        <v>466.65</v>
      </c>
      <c r="R56" s="228">
        <v>463.65</v>
      </c>
      <c r="S56" s="228">
        <v>3</v>
      </c>
      <c r="T56" s="229">
        <v>6.4999999999999997E-3</v>
      </c>
      <c r="U56" s="228">
        <v>469.2</v>
      </c>
      <c r="V56" s="228">
        <v>466.25</v>
      </c>
      <c r="W56" s="228">
        <v>2.95</v>
      </c>
      <c r="X56" s="229">
        <v>6.3E-3</v>
      </c>
      <c r="Y56" s="228">
        <v>1.5</v>
      </c>
      <c r="Z56" s="228">
        <v>1.4</v>
      </c>
      <c r="AA56" s="228">
        <v>0.1</v>
      </c>
      <c r="AB56" s="229">
        <v>3.2000000000000002E-3</v>
      </c>
      <c r="AC56" s="228">
        <v>1.5</v>
      </c>
      <c r="AD56" s="228">
        <v>1.4</v>
      </c>
      <c r="AE56" s="228">
        <v>0.1</v>
      </c>
      <c r="AF56" s="229">
        <v>3.2000000000000002E-3</v>
      </c>
      <c r="AG56" s="228">
        <v>3.65</v>
      </c>
      <c r="AH56" s="228">
        <v>3.9</v>
      </c>
      <c r="AI56" s="228">
        <v>-0.25</v>
      </c>
      <c r="AJ56" s="229">
        <v>7.9000000000000008E-3</v>
      </c>
      <c r="AK56" s="228">
        <v>6.2</v>
      </c>
      <c r="AL56" s="228">
        <v>6.5</v>
      </c>
      <c r="AM56" s="228">
        <v>-0.3</v>
      </c>
      <c r="AN56" s="229">
        <v>1.34E-2</v>
      </c>
      <c r="AO56" s="228">
        <v>465.35</v>
      </c>
      <c r="AP56" s="228">
        <v>467.32</v>
      </c>
      <c r="AQ56" s="228">
        <v>0</v>
      </c>
      <c r="AR56" s="230">
        <v>7324750</v>
      </c>
      <c r="AS56" s="230">
        <v>5687575</v>
      </c>
      <c r="AT56" s="230">
        <v>1637175</v>
      </c>
      <c r="AU56" s="229">
        <v>0.28789999999999999</v>
      </c>
      <c r="AV56" s="230">
        <v>6727150</v>
      </c>
      <c r="AW56" s="230">
        <v>5036025</v>
      </c>
      <c r="AX56" s="230">
        <v>1691125</v>
      </c>
      <c r="AY56" s="229">
        <v>0.33579999999999999</v>
      </c>
      <c r="AZ56" s="230">
        <v>572700</v>
      </c>
      <c r="BA56" s="230">
        <v>591375</v>
      </c>
      <c r="BB56" s="230">
        <v>-18675</v>
      </c>
      <c r="BC56" s="229">
        <v>-3.1600000000000003E-2</v>
      </c>
      <c r="BD56" s="230">
        <v>24900</v>
      </c>
      <c r="BE56" s="230">
        <v>60175</v>
      </c>
      <c r="BF56" s="230">
        <v>-35275</v>
      </c>
      <c r="BG56" s="229">
        <v>-0.58620000000000005</v>
      </c>
      <c r="BH56" s="230">
        <v>31042000</v>
      </c>
      <c r="BI56" s="230">
        <v>10711150</v>
      </c>
      <c r="BJ56" s="230">
        <v>20330850</v>
      </c>
      <c r="BK56" s="229">
        <v>1.8980999999999999</v>
      </c>
      <c r="BL56" s="230">
        <v>6727150</v>
      </c>
      <c r="BM56" s="230">
        <v>2981775</v>
      </c>
      <c r="BN56" s="230">
        <v>3745375</v>
      </c>
      <c r="BO56" s="229">
        <v>1.2561</v>
      </c>
      <c r="BP56" s="230">
        <v>45093900</v>
      </c>
      <c r="BQ56" s="230">
        <v>19380500</v>
      </c>
      <c r="BR56" s="230">
        <v>25713400</v>
      </c>
      <c r="BS56" s="229">
        <v>1.3268</v>
      </c>
      <c r="BT56" s="230">
        <v>5683537</v>
      </c>
      <c r="BU56" s="230">
        <v>3958970</v>
      </c>
      <c r="BV56" s="230">
        <v>1724567</v>
      </c>
      <c r="BW56" s="229">
        <v>0.43559999999999999</v>
      </c>
      <c r="BX56" s="230">
        <v>31770325</v>
      </c>
      <c r="BY56" s="230">
        <v>30141450</v>
      </c>
      <c r="BZ56" s="230">
        <v>1628875</v>
      </c>
      <c r="CA56" s="229">
        <v>5.3999999999999999E-2</v>
      </c>
      <c r="CB56" s="230">
        <v>30834500</v>
      </c>
      <c r="CC56" s="230">
        <v>29330125</v>
      </c>
      <c r="CD56" s="230">
        <v>1504375</v>
      </c>
      <c r="CE56" s="229">
        <v>5.1299999999999998E-2</v>
      </c>
      <c r="CF56" s="230">
        <v>871500</v>
      </c>
      <c r="CG56" s="230">
        <v>755300</v>
      </c>
      <c r="CH56" s="230">
        <v>116200</v>
      </c>
      <c r="CI56" s="229">
        <v>0.15379999999999999</v>
      </c>
      <c r="CJ56" s="230">
        <v>64325</v>
      </c>
      <c r="CK56" s="230">
        <v>56025</v>
      </c>
      <c r="CL56" s="230">
        <v>8300</v>
      </c>
      <c r="CM56" s="229">
        <v>0.14810000000000001</v>
      </c>
      <c r="CN56" s="230">
        <v>14435775</v>
      </c>
      <c r="CO56" s="230">
        <v>10246350</v>
      </c>
      <c r="CP56" s="230">
        <v>4189425</v>
      </c>
      <c r="CQ56" s="229">
        <v>0.40889999999999999</v>
      </c>
      <c r="CR56" s="230">
        <v>5569300</v>
      </c>
      <c r="CS56" s="230">
        <v>4699875</v>
      </c>
      <c r="CT56" s="230">
        <v>869425</v>
      </c>
      <c r="CU56" s="229">
        <v>0.185</v>
      </c>
      <c r="CV56" s="230">
        <v>51775400</v>
      </c>
      <c r="CW56" s="230">
        <v>45087675</v>
      </c>
      <c r="CX56" s="230">
        <v>6687725</v>
      </c>
      <c r="CY56" s="229">
        <v>0.14829999999999999</v>
      </c>
      <c r="CZ56" s="228">
        <v>38.07</v>
      </c>
      <c r="DA56" s="228">
        <v>34.99</v>
      </c>
      <c r="DB56" s="228">
        <v>3.08</v>
      </c>
      <c r="DC56" s="228">
        <v>3.08</v>
      </c>
      <c r="DD56" s="228">
        <v>39.450000000000003</v>
      </c>
      <c r="DE56" s="228">
        <v>39.54</v>
      </c>
      <c r="DF56" s="228">
        <v>-1.38</v>
      </c>
      <c r="DG56" s="228">
        <v>-0.09</v>
      </c>
      <c r="DH56" s="228">
        <v>38.35</v>
      </c>
      <c r="DI56" s="228">
        <v>34.72</v>
      </c>
      <c r="DJ56" s="228">
        <v>3.63</v>
      </c>
      <c r="DK56" s="228">
        <v>3.63</v>
      </c>
      <c r="DL56" s="228">
        <v>36.78</v>
      </c>
      <c r="DM56" s="228">
        <v>35.96</v>
      </c>
      <c r="DN56" s="228">
        <v>0.82</v>
      </c>
      <c r="DO56" s="228">
        <v>0.82</v>
      </c>
      <c r="DP56" s="228">
        <v>0.39</v>
      </c>
      <c r="DQ56" s="228">
        <v>0.46</v>
      </c>
      <c r="DR56" s="228">
        <v>-7.0000000000000007E-2</v>
      </c>
      <c r="DS56" s="229">
        <v>-0.1522</v>
      </c>
      <c r="DT56" s="228">
        <v>480</v>
      </c>
      <c r="DU56" s="228">
        <v>460</v>
      </c>
      <c r="DV56" s="228">
        <v>0.22</v>
      </c>
      <c r="DW56" s="228">
        <v>0.28000000000000003</v>
      </c>
      <c r="DX56" s="228">
        <v>-0.06</v>
      </c>
      <c r="DY56" s="229">
        <v>-0.21429999999999999</v>
      </c>
      <c r="DZ56" s="229">
        <v>2.9499999999999998E-2</v>
      </c>
      <c r="EA56" s="230">
        <v>811325</v>
      </c>
      <c r="EB56" s="229">
        <v>4.5999999999999999E-3</v>
      </c>
      <c r="EC56" s="229">
        <v>2.9499999999999998E-2</v>
      </c>
      <c r="ED56" s="228">
        <v>1.97</v>
      </c>
      <c r="EE56" s="229">
        <v>4.1999999999999997E-3</v>
      </c>
      <c r="EF56" s="230">
        <v>3547918</v>
      </c>
      <c r="EG56" s="230">
        <v>2145596</v>
      </c>
      <c r="EH56" s="229">
        <v>0.65359999999999996</v>
      </c>
      <c r="EI56" s="229">
        <v>0.62419999999999998</v>
      </c>
      <c r="EJ56" s="231">
        <v>151250.84</v>
      </c>
      <c r="EK56" s="231">
        <v>31037.9</v>
      </c>
      <c r="EL56" s="231">
        <v>34098.18</v>
      </c>
      <c r="EM56" s="231">
        <v>2174</v>
      </c>
      <c r="EN56" s="231">
        <v>216386.92</v>
      </c>
      <c r="EO56" s="231">
        <v>91698.57</v>
      </c>
      <c r="EP56" s="231">
        <v>124688.35</v>
      </c>
      <c r="EQ56" s="229">
        <v>1.3597999999999999</v>
      </c>
      <c r="ER56" s="231">
        <v>68818</v>
      </c>
      <c r="ES56" s="231">
        <v>24438</v>
      </c>
      <c r="ET56" s="231">
        <v>147595</v>
      </c>
      <c r="EU56" s="231">
        <v>83072620</v>
      </c>
      <c r="EV56" s="231">
        <v>240851</v>
      </c>
      <c r="EW56" s="231">
        <v>208068</v>
      </c>
      <c r="EX56" s="231">
        <v>32783</v>
      </c>
      <c r="EY56" s="229">
        <v>0.15759999999999999</v>
      </c>
      <c r="EZ56" s="229">
        <v>0.62329999999999997</v>
      </c>
      <c r="FA56" s="227" t="s">
        <v>555</v>
      </c>
      <c r="FB56" s="161">
        <f t="shared" si="0"/>
        <v>935825</v>
      </c>
    </row>
    <row r="57" spans="1:158" ht="17.25" thickBot="1" x14ac:dyDescent="0.3">
      <c r="A57" s="226">
        <v>46129</v>
      </c>
      <c r="B57" s="227" t="s">
        <v>170</v>
      </c>
      <c r="C57" s="227" t="s">
        <v>205</v>
      </c>
      <c r="D57" s="228">
        <v>100</v>
      </c>
      <c r="E57" s="231">
        <v>6238</v>
      </c>
      <c r="F57" s="231">
        <v>6292</v>
      </c>
      <c r="G57" s="228">
        <v>-54</v>
      </c>
      <c r="H57" s="229">
        <v>-8.6E-3</v>
      </c>
      <c r="I57" s="231">
        <v>6229</v>
      </c>
      <c r="J57" s="231">
        <v>6293.5</v>
      </c>
      <c r="K57" s="228">
        <v>-64.5</v>
      </c>
      <c r="L57" s="229">
        <v>-1.0200000000000001E-2</v>
      </c>
      <c r="M57" s="231">
        <v>6238</v>
      </c>
      <c r="N57" s="231">
        <v>6292</v>
      </c>
      <c r="O57" s="228">
        <v>-54</v>
      </c>
      <c r="P57" s="229">
        <v>-8.6E-3</v>
      </c>
      <c r="Q57" s="231">
        <v>6276.5</v>
      </c>
      <c r="R57" s="231">
        <v>6328</v>
      </c>
      <c r="S57" s="228">
        <v>-51.5</v>
      </c>
      <c r="T57" s="229">
        <v>-8.0999999999999996E-3</v>
      </c>
      <c r="U57" s="231">
        <v>6299.5</v>
      </c>
      <c r="V57" s="231">
        <v>6358.5</v>
      </c>
      <c r="W57" s="228">
        <v>-59</v>
      </c>
      <c r="X57" s="229">
        <v>-9.2999999999999992E-3</v>
      </c>
      <c r="Y57" s="228">
        <v>9</v>
      </c>
      <c r="Z57" s="228">
        <v>-1.5</v>
      </c>
      <c r="AA57" s="228">
        <v>10.5</v>
      </c>
      <c r="AB57" s="229">
        <v>1.4E-3</v>
      </c>
      <c r="AC57" s="228">
        <v>9</v>
      </c>
      <c r="AD57" s="228">
        <v>-1.5</v>
      </c>
      <c r="AE57" s="228">
        <v>10.5</v>
      </c>
      <c r="AF57" s="229">
        <v>1.4E-3</v>
      </c>
      <c r="AG57" s="228">
        <v>47.5</v>
      </c>
      <c r="AH57" s="228">
        <v>34.5</v>
      </c>
      <c r="AI57" s="228">
        <v>13</v>
      </c>
      <c r="AJ57" s="229">
        <v>7.6E-3</v>
      </c>
      <c r="AK57" s="228">
        <v>70.5</v>
      </c>
      <c r="AL57" s="228">
        <v>65</v>
      </c>
      <c r="AM57" s="228">
        <v>5.5</v>
      </c>
      <c r="AN57" s="229">
        <v>1.1299999999999999E-2</v>
      </c>
      <c r="AO57" s="231">
        <v>6263.48</v>
      </c>
      <c r="AP57" s="231">
        <v>6297.22</v>
      </c>
      <c r="AQ57" s="228">
        <v>0</v>
      </c>
      <c r="AR57" s="230">
        <v>196700</v>
      </c>
      <c r="AS57" s="230">
        <v>323700</v>
      </c>
      <c r="AT57" s="230">
        <v>-127000</v>
      </c>
      <c r="AU57" s="229">
        <v>-0.39229999999999998</v>
      </c>
      <c r="AV57" s="230">
        <v>165200</v>
      </c>
      <c r="AW57" s="230">
        <v>304000</v>
      </c>
      <c r="AX57" s="230">
        <v>-138800</v>
      </c>
      <c r="AY57" s="229">
        <v>-0.45660000000000001</v>
      </c>
      <c r="AZ57" s="230">
        <v>31300</v>
      </c>
      <c r="BA57" s="230">
        <v>18000</v>
      </c>
      <c r="BB57" s="230">
        <v>13300</v>
      </c>
      <c r="BC57" s="229">
        <v>0.7389</v>
      </c>
      <c r="BD57" s="228">
        <v>200</v>
      </c>
      <c r="BE57" s="230">
        <v>1700</v>
      </c>
      <c r="BF57" s="230">
        <v>-1500</v>
      </c>
      <c r="BG57" s="229">
        <v>-0.88239999999999996</v>
      </c>
      <c r="BH57" s="230">
        <v>1035900</v>
      </c>
      <c r="BI57" s="230">
        <v>1717300</v>
      </c>
      <c r="BJ57" s="230">
        <v>-681400</v>
      </c>
      <c r="BK57" s="229">
        <v>-0.39679999999999999</v>
      </c>
      <c r="BL57" s="230">
        <v>588700</v>
      </c>
      <c r="BM57" s="230">
        <v>801500</v>
      </c>
      <c r="BN57" s="230">
        <v>-212800</v>
      </c>
      <c r="BO57" s="229">
        <v>-0.26550000000000001</v>
      </c>
      <c r="BP57" s="230">
        <v>1821300</v>
      </c>
      <c r="BQ57" s="230">
        <v>2842500</v>
      </c>
      <c r="BR57" s="230">
        <v>-1021200</v>
      </c>
      <c r="BS57" s="229">
        <v>-0.35930000000000001</v>
      </c>
      <c r="BT57" s="230">
        <v>178285</v>
      </c>
      <c r="BU57" s="230">
        <v>440721</v>
      </c>
      <c r="BV57" s="230">
        <v>-262436</v>
      </c>
      <c r="BW57" s="229">
        <v>-0.59550000000000003</v>
      </c>
      <c r="BX57" s="230">
        <v>2755500</v>
      </c>
      <c r="BY57" s="230">
        <v>2769700</v>
      </c>
      <c r="BZ57" s="230">
        <v>-14200</v>
      </c>
      <c r="CA57" s="229">
        <v>-5.1000000000000004E-3</v>
      </c>
      <c r="CB57" s="230">
        <v>2665900</v>
      </c>
      <c r="CC57" s="230">
        <v>2687600</v>
      </c>
      <c r="CD57" s="230">
        <v>-21700</v>
      </c>
      <c r="CE57" s="229">
        <v>-8.0999999999999996E-3</v>
      </c>
      <c r="CF57" s="230">
        <v>86800</v>
      </c>
      <c r="CG57" s="230">
        <v>79300</v>
      </c>
      <c r="CH57" s="230">
        <v>7500</v>
      </c>
      <c r="CI57" s="229">
        <v>9.4600000000000004E-2</v>
      </c>
      <c r="CJ57" s="230">
        <v>2800</v>
      </c>
      <c r="CK57" s="230">
        <v>2800</v>
      </c>
      <c r="CL57" s="228">
        <v>0</v>
      </c>
      <c r="CM57" s="229">
        <v>0</v>
      </c>
      <c r="CN57" s="230">
        <v>704900</v>
      </c>
      <c r="CO57" s="230">
        <v>619000</v>
      </c>
      <c r="CP57" s="230">
        <v>85900</v>
      </c>
      <c r="CQ57" s="229">
        <v>0.13880000000000001</v>
      </c>
      <c r="CR57" s="230">
        <v>739400</v>
      </c>
      <c r="CS57" s="230">
        <v>743100</v>
      </c>
      <c r="CT57" s="230">
        <v>-3700</v>
      </c>
      <c r="CU57" s="229">
        <v>-5.0000000000000001E-3</v>
      </c>
      <c r="CV57" s="230">
        <v>4199800</v>
      </c>
      <c r="CW57" s="230">
        <v>4131800</v>
      </c>
      <c r="CX57" s="230">
        <v>68000</v>
      </c>
      <c r="CY57" s="229">
        <v>1.6500000000000001E-2</v>
      </c>
      <c r="CZ57" s="228">
        <v>24.25</v>
      </c>
      <c r="DA57" s="228">
        <v>24.82</v>
      </c>
      <c r="DB57" s="228">
        <v>-0.56999999999999995</v>
      </c>
      <c r="DC57" s="228">
        <v>-0.56999999999999995</v>
      </c>
      <c r="DD57" s="228">
        <v>29.75</v>
      </c>
      <c r="DE57" s="228">
        <v>29.79</v>
      </c>
      <c r="DF57" s="228">
        <v>-5.5</v>
      </c>
      <c r="DG57" s="228">
        <v>-0.04</v>
      </c>
      <c r="DH57" s="228">
        <v>23.79</v>
      </c>
      <c r="DI57" s="228">
        <v>23.94</v>
      </c>
      <c r="DJ57" s="228">
        <v>-0.15</v>
      </c>
      <c r="DK57" s="228">
        <v>-0.15</v>
      </c>
      <c r="DL57" s="228">
        <v>25.06</v>
      </c>
      <c r="DM57" s="228">
        <v>26.7</v>
      </c>
      <c r="DN57" s="228">
        <v>-1.64</v>
      </c>
      <c r="DO57" s="228">
        <v>-1.64</v>
      </c>
      <c r="DP57" s="228">
        <v>1.05</v>
      </c>
      <c r="DQ57" s="228">
        <v>1.2</v>
      </c>
      <c r="DR57" s="228">
        <v>-0.15</v>
      </c>
      <c r="DS57" s="229">
        <v>-0.125</v>
      </c>
      <c r="DT57" s="231">
        <v>6300</v>
      </c>
      <c r="DU57" s="231">
        <v>5200</v>
      </c>
      <c r="DV57" s="228">
        <v>0.56999999999999995</v>
      </c>
      <c r="DW57" s="228">
        <v>0.47</v>
      </c>
      <c r="DX57" s="228">
        <v>0.1</v>
      </c>
      <c r="DY57" s="229">
        <v>0.21279999999999999</v>
      </c>
      <c r="DZ57" s="229">
        <v>3.2500000000000001E-2</v>
      </c>
      <c r="EA57" s="230">
        <v>82100</v>
      </c>
      <c r="EB57" s="229">
        <v>6.1999999999999998E-3</v>
      </c>
      <c r="EC57" s="229">
        <v>3.2500000000000001E-2</v>
      </c>
      <c r="ED57" s="228">
        <v>33.74</v>
      </c>
      <c r="EE57" s="229">
        <v>5.4000000000000003E-3</v>
      </c>
      <c r="EF57" s="230">
        <v>76362</v>
      </c>
      <c r="EG57" s="230">
        <v>269550</v>
      </c>
      <c r="EH57" s="229">
        <v>-0.7167</v>
      </c>
      <c r="EI57" s="229">
        <v>0.42830000000000001</v>
      </c>
      <c r="EJ57" s="231">
        <v>66870.48</v>
      </c>
      <c r="EK57" s="231">
        <v>36515.360000000001</v>
      </c>
      <c r="EL57" s="231">
        <v>12330.9</v>
      </c>
      <c r="EM57" s="231">
        <v>3117</v>
      </c>
      <c r="EN57" s="231">
        <v>115716.74</v>
      </c>
      <c r="EO57" s="231">
        <v>180028.31</v>
      </c>
      <c r="EP57" s="231">
        <v>-64311.57</v>
      </c>
      <c r="EQ57" s="229">
        <v>-0.35720000000000002</v>
      </c>
      <c r="ER57" s="231">
        <v>44394</v>
      </c>
      <c r="ES57" s="231">
        <v>42493</v>
      </c>
      <c r="ET57" s="231">
        <v>171923</v>
      </c>
      <c r="EU57" s="231">
        <v>15815194</v>
      </c>
      <c r="EV57" s="231">
        <v>258810</v>
      </c>
      <c r="EW57" s="231">
        <v>255892</v>
      </c>
      <c r="EX57" s="231">
        <v>2918</v>
      </c>
      <c r="EY57" s="229">
        <v>1.14E-2</v>
      </c>
      <c r="EZ57" s="229">
        <v>0.2656</v>
      </c>
      <c r="FA57" s="227" t="s">
        <v>567</v>
      </c>
      <c r="FB57" s="161">
        <f t="shared" si="0"/>
        <v>89600</v>
      </c>
    </row>
    <row r="58" spans="1:158" ht="17.25" thickBot="1" x14ac:dyDescent="0.3">
      <c r="A58" s="226">
        <v>46129</v>
      </c>
      <c r="B58" s="227" t="s">
        <v>184</v>
      </c>
      <c r="C58" s="227" t="s">
        <v>512</v>
      </c>
      <c r="D58" s="228">
        <v>50</v>
      </c>
      <c r="E58" s="231">
        <v>11377.5</v>
      </c>
      <c r="F58" s="231">
        <v>11222.5</v>
      </c>
      <c r="G58" s="228">
        <v>155</v>
      </c>
      <c r="H58" s="229">
        <v>1.38E-2</v>
      </c>
      <c r="I58" s="231">
        <v>11371.5</v>
      </c>
      <c r="J58" s="231">
        <v>11287</v>
      </c>
      <c r="K58" s="228">
        <v>84.5</v>
      </c>
      <c r="L58" s="229">
        <v>7.4999999999999997E-3</v>
      </c>
      <c r="M58" s="231">
        <v>11377.5</v>
      </c>
      <c r="N58" s="231">
        <v>11222.5</v>
      </c>
      <c r="O58" s="228">
        <v>155</v>
      </c>
      <c r="P58" s="229">
        <v>1.38E-2</v>
      </c>
      <c r="Q58" s="231">
        <v>11280</v>
      </c>
      <c r="R58" s="231">
        <v>11128</v>
      </c>
      <c r="S58" s="228">
        <v>152</v>
      </c>
      <c r="T58" s="229">
        <v>1.37E-2</v>
      </c>
      <c r="U58" s="231">
        <v>11207.5</v>
      </c>
      <c r="V58" s="231">
        <v>11091.5</v>
      </c>
      <c r="W58" s="228">
        <v>116</v>
      </c>
      <c r="X58" s="229">
        <v>1.0500000000000001E-2</v>
      </c>
      <c r="Y58" s="228">
        <v>6</v>
      </c>
      <c r="Z58" s="228">
        <v>-64.5</v>
      </c>
      <c r="AA58" s="228">
        <v>70.5</v>
      </c>
      <c r="AB58" s="229">
        <v>5.0000000000000001E-4</v>
      </c>
      <c r="AC58" s="228">
        <v>6</v>
      </c>
      <c r="AD58" s="228">
        <v>-64.5</v>
      </c>
      <c r="AE58" s="228">
        <v>70.5</v>
      </c>
      <c r="AF58" s="229">
        <v>5.0000000000000001E-4</v>
      </c>
      <c r="AG58" s="228">
        <v>-91.5</v>
      </c>
      <c r="AH58" s="228">
        <v>-159</v>
      </c>
      <c r="AI58" s="228">
        <v>67.5</v>
      </c>
      <c r="AJ58" s="229">
        <v>-8.0000000000000002E-3</v>
      </c>
      <c r="AK58" s="228">
        <v>-164</v>
      </c>
      <c r="AL58" s="228">
        <v>-195.5</v>
      </c>
      <c r="AM58" s="228">
        <v>31.5</v>
      </c>
      <c r="AN58" s="229">
        <v>-1.44E-2</v>
      </c>
      <c r="AO58" s="231">
        <v>11328.28</v>
      </c>
      <c r="AP58" s="231">
        <v>11215.76</v>
      </c>
      <c r="AQ58" s="228">
        <v>0</v>
      </c>
      <c r="AR58" s="230">
        <v>931050</v>
      </c>
      <c r="AS58" s="230">
        <v>1361450</v>
      </c>
      <c r="AT58" s="230">
        <v>-430400</v>
      </c>
      <c r="AU58" s="229">
        <v>-0.31609999999999999</v>
      </c>
      <c r="AV58" s="230">
        <v>731450</v>
      </c>
      <c r="AW58" s="230">
        <v>1106250</v>
      </c>
      <c r="AX58" s="230">
        <v>-374800</v>
      </c>
      <c r="AY58" s="229">
        <v>-0.33879999999999999</v>
      </c>
      <c r="AZ58" s="230">
        <v>169900</v>
      </c>
      <c r="BA58" s="230">
        <v>219450</v>
      </c>
      <c r="BB58" s="230">
        <v>-49550</v>
      </c>
      <c r="BC58" s="229">
        <v>-0.2258</v>
      </c>
      <c r="BD58" s="230">
        <v>29700</v>
      </c>
      <c r="BE58" s="230">
        <v>35750</v>
      </c>
      <c r="BF58" s="230">
        <v>-6050</v>
      </c>
      <c r="BG58" s="229">
        <v>-0.16919999999999999</v>
      </c>
      <c r="BH58" s="230">
        <v>3475950</v>
      </c>
      <c r="BI58" s="230">
        <v>5824650</v>
      </c>
      <c r="BJ58" s="230">
        <v>-2348700</v>
      </c>
      <c r="BK58" s="229">
        <v>-0.4032</v>
      </c>
      <c r="BL58" s="230">
        <v>1935150</v>
      </c>
      <c r="BM58" s="230">
        <v>2237850</v>
      </c>
      <c r="BN58" s="230">
        <v>-302700</v>
      </c>
      <c r="BO58" s="229">
        <v>-0.1353</v>
      </c>
      <c r="BP58" s="230">
        <v>6342150</v>
      </c>
      <c r="BQ58" s="230">
        <v>9423950</v>
      </c>
      <c r="BR58" s="230">
        <v>-3081800</v>
      </c>
      <c r="BS58" s="229">
        <v>-0.32700000000000001</v>
      </c>
      <c r="BT58" s="230">
        <v>776120</v>
      </c>
      <c r="BU58" s="230">
        <v>1129935</v>
      </c>
      <c r="BV58" s="230">
        <v>-353815</v>
      </c>
      <c r="BW58" s="229">
        <v>-0.31309999999999999</v>
      </c>
      <c r="BX58" s="230">
        <v>3106250</v>
      </c>
      <c r="BY58" s="230">
        <v>3167700</v>
      </c>
      <c r="BZ58" s="230">
        <v>-61450</v>
      </c>
      <c r="CA58" s="229">
        <v>-1.9400000000000001E-2</v>
      </c>
      <c r="CB58" s="230">
        <v>2637700</v>
      </c>
      <c r="CC58" s="230">
        <v>2734350</v>
      </c>
      <c r="CD58" s="230">
        <v>-96650</v>
      </c>
      <c r="CE58" s="229">
        <v>-3.5299999999999998E-2</v>
      </c>
      <c r="CF58" s="230">
        <v>419400</v>
      </c>
      <c r="CG58" s="230">
        <v>384700</v>
      </c>
      <c r="CH58" s="230">
        <v>34700</v>
      </c>
      <c r="CI58" s="229">
        <v>9.0200000000000002E-2</v>
      </c>
      <c r="CJ58" s="230">
        <v>49150</v>
      </c>
      <c r="CK58" s="230">
        <v>48650</v>
      </c>
      <c r="CL58" s="228">
        <v>500</v>
      </c>
      <c r="CM58" s="229">
        <v>1.03E-2</v>
      </c>
      <c r="CN58" s="230">
        <v>2089600</v>
      </c>
      <c r="CO58" s="230">
        <v>2178000</v>
      </c>
      <c r="CP58" s="230">
        <v>-88400</v>
      </c>
      <c r="CQ58" s="229">
        <v>-4.0599999999999997E-2</v>
      </c>
      <c r="CR58" s="230">
        <v>1553600</v>
      </c>
      <c r="CS58" s="230">
        <v>1536300</v>
      </c>
      <c r="CT58" s="230">
        <v>17300</v>
      </c>
      <c r="CU58" s="229">
        <v>1.1299999999999999E-2</v>
      </c>
      <c r="CV58" s="230">
        <v>6749450</v>
      </c>
      <c r="CW58" s="230">
        <v>6882000</v>
      </c>
      <c r="CX58" s="230">
        <v>-132550</v>
      </c>
      <c r="CY58" s="229">
        <v>-1.9300000000000001E-2</v>
      </c>
      <c r="CZ58" s="228">
        <v>45.96</v>
      </c>
      <c r="DA58" s="228">
        <v>47.52</v>
      </c>
      <c r="DB58" s="228">
        <v>-1.56</v>
      </c>
      <c r="DC58" s="228">
        <v>-1.56</v>
      </c>
      <c r="DD58" s="228">
        <v>49.35</v>
      </c>
      <c r="DE58" s="228">
        <v>49.44</v>
      </c>
      <c r="DF58" s="228">
        <v>-3.39</v>
      </c>
      <c r="DG58" s="228">
        <v>-0.09</v>
      </c>
      <c r="DH58" s="228">
        <v>44.01</v>
      </c>
      <c r="DI58" s="228">
        <v>46.18</v>
      </c>
      <c r="DJ58" s="228">
        <v>-2.17</v>
      </c>
      <c r="DK58" s="228">
        <v>-2.17</v>
      </c>
      <c r="DL58" s="228">
        <v>49.46</v>
      </c>
      <c r="DM58" s="228">
        <v>51.01</v>
      </c>
      <c r="DN58" s="228">
        <v>-1.55</v>
      </c>
      <c r="DO58" s="228">
        <v>-1.55</v>
      </c>
      <c r="DP58" s="228">
        <v>0.74</v>
      </c>
      <c r="DQ58" s="228">
        <v>0.71</v>
      </c>
      <c r="DR58" s="228">
        <v>0.03</v>
      </c>
      <c r="DS58" s="229">
        <v>4.2299999999999997E-2</v>
      </c>
      <c r="DT58" s="231">
        <v>12000</v>
      </c>
      <c r="DU58" s="231">
        <v>10000</v>
      </c>
      <c r="DV58" s="228">
        <v>0.56000000000000005</v>
      </c>
      <c r="DW58" s="228">
        <v>0.38</v>
      </c>
      <c r="DX58" s="228">
        <v>0.18</v>
      </c>
      <c r="DY58" s="229">
        <v>0.47370000000000001</v>
      </c>
      <c r="DZ58" s="229">
        <v>0.15079999999999999</v>
      </c>
      <c r="EA58" s="230">
        <v>433350</v>
      </c>
      <c r="EB58" s="229">
        <v>-8.6E-3</v>
      </c>
      <c r="EC58" s="229">
        <v>0.15079999999999999</v>
      </c>
      <c r="ED58" s="228">
        <v>-112.52</v>
      </c>
      <c r="EE58" s="229">
        <v>-9.9000000000000008E-3</v>
      </c>
      <c r="EF58" s="230">
        <v>185972</v>
      </c>
      <c r="EG58" s="230">
        <v>306292</v>
      </c>
      <c r="EH58" s="229">
        <v>-0.39279999999999998</v>
      </c>
      <c r="EI58" s="229">
        <v>0.23960000000000001</v>
      </c>
      <c r="EJ58" s="231">
        <v>414003.59</v>
      </c>
      <c r="EK58" s="231">
        <v>210698.03</v>
      </c>
      <c r="EL58" s="231">
        <v>105234.97</v>
      </c>
      <c r="EM58" s="231">
        <v>20168</v>
      </c>
      <c r="EN58" s="231">
        <v>729936.59</v>
      </c>
      <c r="EO58" s="231">
        <v>1085761.29</v>
      </c>
      <c r="EP58" s="231">
        <v>-355824.7</v>
      </c>
      <c r="EQ58" s="229">
        <v>-0.32769999999999999</v>
      </c>
      <c r="ER58" s="231">
        <v>236726</v>
      </c>
      <c r="ES58" s="231">
        <v>159560</v>
      </c>
      <c r="ET58" s="231">
        <v>352921</v>
      </c>
      <c r="EU58" s="231">
        <v>6478285</v>
      </c>
      <c r="EV58" s="231">
        <v>749207</v>
      </c>
      <c r="EW58" s="231">
        <v>757426</v>
      </c>
      <c r="EX58" s="231">
        <v>-8219</v>
      </c>
      <c r="EY58" s="229">
        <v>-1.09E-2</v>
      </c>
      <c r="EZ58" s="229">
        <v>1.0419</v>
      </c>
      <c r="FA58" s="227" t="s">
        <v>693</v>
      </c>
      <c r="FB58" s="161">
        <f t="shared" si="0"/>
        <v>468550</v>
      </c>
    </row>
    <row r="59" spans="1:158" ht="17.25" thickBot="1" x14ac:dyDescent="0.3">
      <c r="A59" s="226">
        <v>46129</v>
      </c>
      <c r="B59" s="227" t="s">
        <v>206</v>
      </c>
      <c r="C59" s="227" t="s">
        <v>207</v>
      </c>
      <c r="D59" s="228">
        <v>825</v>
      </c>
      <c r="E59" s="228">
        <v>601.54999999999995</v>
      </c>
      <c r="F59" s="228">
        <v>589.79999999999995</v>
      </c>
      <c r="G59" s="228">
        <v>11.75</v>
      </c>
      <c r="H59" s="229">
        <v>1.9900000000000001E-2</v>
      </c>
      <c r="I59" s="228">
        <v>601.75</v>
      </c>
      <c r="J59" s="228">
        <v>589.70000000000005</v>
      </c>
      <c r="K59" s="228">
        <v>12.05</v>
      </c>
      <c r="L59" s="229">
        <v>2.0400000000000001E-2</v>
      </c>
      <c r="M59" s="228">
        <v>601.54999999999995</v>
      </c>
      <c r="N59" s="228">
        <v>589.79999999999995</v>
      </c>
      <c r="O59" s="228">
        <v>11.75</v>
      </c>
      <c r="P59" s="229">
        <v>1.9900000000000001E-2</v>
      </c>
      <c r="Q59" s="228">
        <v>605.04999999999995</v>
      </c>
      <c r="R59" s="228">
        <v>593.70000000000005</v>
      </c>
      <c r="S59" s="228">
        <v>11.35</v>
      </c>
      <c r="T59" s="229">
        <v>1.9099999999999999E-2</v>
      </c>
      <c r="U59" s="228">
        <v>608.6</v>
      </c>
      <c r="V59" s="228">
        <v>595.9</v>
      </c>
      <c r="W59" s="228">
        <v>12.7</v>
      </c>
      <c r="X59" s="229">
        <v>2.1299999999999999E-2</v>
      </c>
      <c r="Y59" s="228">
        <v>-0.2</v>
      </c>
      <c r="Z59" s="228">
        <v>0.1</v>
      </c>
      <c r="AA59" s="228">
        <v>-0.3</v>
      </c>
      <c r="AB59" s="229">
        <v>-2.9999999999999997E-4</v>
      </c>
      <c r="AC59" s="228">
        <v>-0.2</v>
      </c>
      <c r="AD59" s="228">
        <v>0.1</v>
      </c>
      <c r="AE59" s="228">
        <v>-0.3</v>
      </c>
      <c r="AF59" s="229">
        <v>-2.9999999999999997E-4</v>
      </c>
      <c r="AG59" s="228">
        <v>3.3</v>
      </c>
      <c r="AH59" s="228">
        <v>4</v>
      </c>
      <c r="AI59" s="228">
        <v>-0.7</v>
      </c>
      <c r="AJ59" s="229">
        <v>5.4999999999999997E-3</v>
      </c>
      <c r="AK59" s="228">
        <v>6.85</v>
      </c>
      <c r="AL59" s="228">
        <v>6.2</v>
      </c>
      <c r="AM59" s="228">
        <v>0.65</v>
      </c>
      <c r="AN59" s="229">
        <v>1.14E-2</v>
      </c>
      <c r="AO59" s="228">
        <v>598.9</v>
      </c>
      <c r="AP59" s="228">
        <v>600.67999999999995</v>
      </c>
      <c r="AQ59" s="228">
        <v>0</v>
      </c>
      <c r="AR59" s="230">
        <v>9759750</v>
      </c>
      <c r="AS59" s="230">
        <v>5248650</v>
      </c>
      <c r="AT59" s="230">
        <v>4511100</v>
      </c>
      <c r="AU59" s="229">
        <v>0.85950000000000004</v>
      </c>
      <c r="AV59" s="230">
        <v>7689000</v>
      </c>
      <c r="AW59" s="230">
        <v>4702500</v>
      </c>
      <c r="AX59" s="230">
        <v>2986500</v>
      </c>
      <c r="AY59" s="229">
        <v>0.6351</v>
      </c>
      <c r="AZ59" s="230">
        <v>602250</v>
      </c>
      <c r="BA59" s="230">
        <v>490875</v>
      </c>
      <c r="BB59" s="230">
        <v>111375</v>
      </c>
      <c r="BC59" s="229">
        <v>0.22689999999999999</v>
      </c>
      <c r="BD59" s="230">
        <v>1468500</v>
      </c>
      <c r="BE59" s="230">
        <v>55275</v>
      </c>
      <c r="BF59" s="230">
        <v>1413225</v>
      </c>
      <c r="BG59" s="229">
        <v>25.5672</v>
      </c>
      <c r="BH59" s="230">
        <v>17081625</v>
      </c>
      <c r="BI59" s="230">
        <v>10988175</v>
      </c>
      <c r="BJ59" s="230">
        <v>6093450</v>
      </c>
      <c r="BK59" s="229">
        <v>0.55449999999999999</v>
      </c>
      <c r="BL59" s="230">
        <v>14378925</v>
      </c>
      <c r="BM59" s="230">
        <v>9048600</v>
      </c>
      <c r="BN59" s="230">
        <v>5330325</v>
      </c>
      <c r="BO59" s="229">
        <v>0.58909999999999996</v>
      </c>
      <c r="BP59" s="230">
        <v>41220300</v>
      </c>
      <c r="BQ59" s="230">
        <v>25285425</v>
      </c>
      <c r="BR59" s="230">
        <v>15934875</v>
      </c>
      <c r="BS59" s="229">
        <v>0.63019999999999998</v>
      </c>
      <c r="BT59" s="230">
        <v>5020638</v>
      </c>
      <c r="BU59" s="230">
        <v>4516855</v>
      </c>
      <c r="BV59" s="230">
        <v>503783</v>
      </c>
      <c r="BW59" s="229">
        <v>0.1115</v>
      </c>
      <c r="BX59" s="230">
        <v>51309225</v>
      </c>
      <c r="BY59" s="230">
        <v>52562400</v>
      </c>
      <c r="BZ59" s="230">
        <v>-1253175</v>
      </c>
      <c r="CA59" s="229">
        <v>-2.3800000000000002E-2</v>
      </c>
      <c r="CB59" s="230">
        <v>46059750</v>
      </c>
      <c r="CC59" s="230">
        <v>48926625</v>
      </c>
      <c r="CD59" s="230">
        <v>-2866875</v>
      </c>
      <c r="CE59" s="229">
        <v>-5.8599999999999999E-2</v>
      </c>
      <c r="CF59" s="230">
        <v>3724050</v>
      </c>
      <c r="CG59" s="230">
        <v>3529350</v>
      </c>
      <c r="CH59" s="230">
        <v>194700</v>
      </c>
      <c r="CI59" s="229">
        <v>5.5199999999999999E-2</v>
      </c>
      <c r="CJ59" s="230">
        <v>1525425</v>
      </c>
      <c r="CK59" s="230">
        <v>106425</v>
      </c>
      <c r="CL59" s="230">
        <v>1419000</v>
      </c>
      <c r="CM59" s="229">
        <v>13.333299999999999</v>
      </c>
      <c r="CN59" s="230">
        <v>10480800</v>
      </c>
      <c r="CO59" s="230">
        <v>10679625</v>
      </c>
      <c r="CP59" s="230">
        <v>-198825</v>
      </c>
      <c r="CQ59" s="229">
        <v>-1.8599999999999998E-2</v>
      </c>
      <c r="CR59" s="230">
        <v>11284350</v>
      </c>
      <c r="CS59" s="230">
        <v>11428725</v>
      </c>
      <c r="CT59" s="230">
        <v>-144375</v>
      </c>
      <c r="CU59" s="229">
        <v>-1.26E-2</v>
      </c>
      <c r="CV59" s="230">
        <v>73074375</v>
      </c>
      <c r="CW59" s="230">
        <v>74670750</v>
      </c>
      <c r="CX59" s="230">
        <v>-1596375</v>
      </c>
      <c r="CY59" s="229">
        <v>-2.1399999999999999E-2</v>
      </c>
      <c r="CZ59" s="228">
        <v>34.47</v>
      </c>
      <c r="DA59" s="228">
        <v>36.06</v>
      </c>
      <c r="DB59" s="228">
        <v>-1.59</v>
      </c>
      <c r="DC59" s="228">
        <v>-1.59</v>
      </c>
      <c r="DD59" s="228">
        <v>38.049999999999997</v>
      </c>
      <c r="DE59" s="228">
        <v>38.049999999999997</v>
      </c>
      <c r="DF59" s="228">
        <v>-3.58</v>
      </c>
      <c r="DG59" s="228">
        <v>0</v>
      </c>
      <c r="DH59" s="228">
        <v>32.950000000000003</v>
      </c>
      <c r="DI59" s="228">
        <v>34.479999999999997</v>
      </c>
      <c r="DJ59" s="228">
        <v>-1.53</v>
      </c>
      <c r="DK59" s="228">
        <v>-1.53</v>
      </c>
      <c r="DL59" s="228">
        <v>36.28</v>
      </c>
      <c r="DM59" s="228">
        <v>37.97</v>
      </c>
      <c r="DN59" s="228">
        <v>-1.69</v>
      </c>
      <c r="DO59" s="228">
        <v>-1.69</v>
      </c>
      <c r="DP59" s="228">
        <v>1.08</v>
      </c>
      <c r="DQ59" s="228">
        <v>1.07</v>
      </c>
      <c r="DR59" s="228">
        <v>0.01</v>
      </c>
      <c r="DS59" s="229">
        <v>9.2999999999999992E-3</v>
      </c>
      <c r="DT59" s="228">
        <v>600</v>
      </c>
      <c r="DU59" s="228">
        <v>540</v>
      </c>
      <c r="DV59" s="228">
        <v>0.84</v>
      </c>
      <c r="DW59" s="228">
        <v>0.82</v>
      </c>
      <c r="DX59" s="228">
        <v>0.02</v>
      </c>
      <c r="DY59" s="229">
        <v>2.4400000000000002E-2</v>
      </c>
      <c r="DZ59" s="229">
        <v>0.1023</v>
      </c>
      <c r="EA59" s="230">
        <v>3635775</v>
      </c>
      <c r="EB59" s="229">
        <v>5.7999999999999996E-3</v>
      </c>
      <c r="EC59" s="229">
        <v>0.1023</v>
      </c>
      <c r="ED59" s="228">
        <v>1.78</v>
      </c>
      <c r="EE59" s="229">
        <v>3.0000000000000001E-3</v>
      </c>
      <c r="EF59" s="230">
        <v>2565754</v>
      </c>
      <c r="EG59" s="230">
        <v>2450554</v>
      </c>
      <c r="EH59" s="229">
        <v>4.7E-2</v>
      </c>
      <c r="EI59" s="229">
        <v>0.51100000000000001</v>
      </c>
      <c r="EJ59" s="231">
        <v>105661.2</v>
      </c>
      <c r="EK59" s="231">
        <v>83460.509999999995</v>
      </c>
      <c r="EL59" s="231">
        <v>58632.3</v>
      </c>
      <c r="EM59" s="231">
        <v>7058</v>
      </c>
      <c r="EN59" s="231">
        <v>247754.01</v>
      </c>
      <c r="EO59" s="231">
        <v>150089.20000000001</v>
      </c>
      <c r="EP59" s="231">
        <v>97664.81</v>
      </c>
      <c r="EQ59" s="229">
        <v>0.65069999999999995</v>
      </c>
      <c r="ER59" s="231">
        <v>61323</v>
      </c>
      <c r="ES59" s="231">
        <v>62257</v>
      </c>
      <c r="ET59" s="231">
        <v>308889</v>
      </c>
      <c r="EU59" s="231">
        <v>96251298</v>
      </c>
      <c r="EV59" s="231">
        <v>432468</v>
      </c>
      <c r="EW59" s="231">
        <v>434913</v>
      </c>
      <c r="EX59" s="231">
        <v>-2445</v>
      </c>
      <c r="EY59" s="229">
        <v>-5.5999999999999999E-3</v>
      </c>
      <c r="EZ59" s="229">
        <v>0.75919999999999999</v>
      </c>
      <c r="FA59" s="227" t="s">
        <v>693</v>
      </c>
      <c r="FB59" s="161">
        <f t="shared" si="0"/>
        <v>5249475</v>
      </c>
    </row>
    <row r="60" spans="1:158" ht="17.25" thickBot="1" x14ac:dyDescent="0.3">
      <c r="A60" s="226">
        <v>46129</v>
      </c>
      <c r="B60" s="227" t="s">
        <v>614</v>
      </c>
      <c r="C60" s="227" t="s">
        <v>582</v>
      </c>
      <c r="D60" s="228">
        <v>150</v>
      </c>
      <c r="E60" s="231">
        <v>4644.8999999999996</v>
      </c>
      <c r="F60" s="231">
        <v>4429</v>
      </c>
      <c r="G60" s="228">
        <v>215.9</v>
      </c>
      <c r="H60" s="229">
        <v>4.87E-2</v>
      </c>
      <c r="I60" s="231">
        <v>4628.5</v>
      </c>
      <c r="J60" s="231">
        <v>4428.3</v>
      </c>
      <c r="K60" s="228">
        <v>200.2</v>
      </c>
      <c r="L60" s="229">
        <v>4.5199999999999997E-2</v>
      </c>
      <c r="M60" s="231">
        <v>4644.8999999999996</v>
      </c>
      <c r="N60" s="231">
        <v>4429</v>
      </c>
      <c r="O60" s="228">
        <v>215.9</v>
      </c>
      <c r="P60" s="229">
        <v>4.87E-2</v>
      </c>
      <c r="Q60" s="231">
        <v>4634.1000000000004</v>
      </c>
      <c r="R60" s="231">
        <v>4419.7</v>
      </c>
      <c r="S60" s="228">
        <v>214.4</v>
      </c>
      <c r="T60" s="229">
        <v>4.8500000000000001E-2</v>
      </c>
      <c r="U60" s="231">
        <v>4622.6000000000004</v>
      </c>
      <c r="V60" s="231">
        <v>4414.3</v>
      </c>
      <c r="W60" s="228">
        <v>208.3</v>
      </c>
      <c r="X60" s="229">
        <v>4.7199999999999999E-2</v>
      </c>
      <c r="Y60" s="228">
        <v>16.399999999999999</v>
      </c>
      <c r="Z60" s="228">
        <v>0.7</v>
      </c>
      <c r="AA60" s="228">
        <v>15.7</v>
      </c>
      <c r="AB60" s="229">
        <v>3.5000000000000001E-3</v>
      </c>
      <c r="AC60" s="228">
        <v>16.399999999999999</v>
      </c>
      <c r="AD60" s="228">
        <v>0.7</v>
      </c>
      <c r="AE60" s="228">
        <v>15.7</v>
      </c>
      <c r="AF60" s="229">
        <v>3.5000000000000001E-3</v>
      </c>
      <c r="AG60" s="228">
        <v>5.6</v>
      </c>
      <c r="AH60" s="228">
        <v>-8.6</v>
      </c>
      <c r="AI60" s="228">
        <v>14.2</v>
      </c>
      <c r="AJ60" s="229">
        <v>1.1999999999999999E-3</v>
      </c>
      <c r="AK60" s="228">
        <v>-5.9</v>
      </c>
      <c r="AL60" s="228">
        <v>-14</v>
      </c>
      <c r="AM60" s="228">
        <v>8.1</v>
      </c>
      <c r="AN60" s="229">
        <v>-1.2999999999999999E-3</v>
      </c>
      <c r="AO60" s="231">
        <v>4598.33</v>
      </c>
      <c r="AP60" s="231">
        <v>4590.54</v>
      </c>
      <c r="AQ60" s="228">
        <v>0</v>
      </c>
      <c r="AR60" s="230">
        <v>1454700</v>
      </c>
      <c r="AS60" s="230">
        <v>799050</v>
      </c>
      <c r="AT60" s="230">
        <v>655650</v>
      </c>
      <c r="AU60" s="229">
        <v>0.82050000000000001</v>
      </c>
      <c r="AV60" s="230">
        <v>1297650</v>
      </c>
      <c r="AW60" s="230">
        <v>638700</v>
      </c>
      <c r="AX60" s="230">
        <v>658950</v>
      </c>
      <c r="AY60" s="229">
        <v>1.0317000000000001</v>
      </c>
      <c r="AZ60" s="230">
        <v>135600</v>
      </c>
      <c r="BA60" s="230">
        <v>154200</v>
      </c>
      <c r="BB60" s="230">
        <v>-18600</v>
      </c>
      <c r="BC60" s="229">
        <v>-0.1206</v>
      </c>
      <c r="BD60" s="230">
        <v>21450</v>
      </c>
      <c r="BE60" s="230">
        <v>6150</v>
      </c>
      <c r="BF60" s="230">
        <v>15300</v>
      </c>
      <c r="BG60" s="229">
        <v>2.4878</v>
      </c>
      <c r="BH60" s="230">
        <v>9702750</v>
      </c>
      <c r="BI60" s="230">
        <v>2490450</v>
      </c>
      <c r="BJ60" s="230">
        <v>7212300</v>
      </c>
      <c r="BK60" s="229">
        <v>2.8959999999999999</v>
      </c>
      <c r="BL60" s="230">
        <v>4359000</v>
      </c>
      <c r="BM60" s="230">
        <v>1421850</v>
      </c>
      <c r="BN60" s="230">
        <v>2937150</v>
      </c>
      <c r="BO60" s="229">
        <v>2.0657000000000001</v>
      </c>
      <c r="BP60" s="230">
        <v>15516450</v>
      </c>
      <c r="BQ60" s="230">
        <v>4711350</v>
      </c>
      <c r="BR60" s="230">
        <v>10805100</v>
      </c>
      <c r="BS60" s="229">
        <v>2.2934000000000001</v>
      </c>
      <c r="BT60" s="230">
        <v>1407059</v>
      </c>
      <c r="BU60" s="230">
        <v>356825</v>
      </c>
      <c r="BV60" s="230">
        <v>1050234</v>
      </c>
      <c r="BW60" s="229">
        <v>2.9432999999999998</v>
      </c>
      <c r="BX60" s="230">
        <v>4034100</v>
      </c>
      <c r="BY60" s="230">
        <v>4033200</v>
      </c>
      <c r="BZ60" s="228">
        <v>900</v>
      </c>
      <c r="CA60" s="229">
        <v>2.0000000000000001E-4</v>
      </c>
      <c r="CB60" s="230">
        <v>3679650</v>
      </c>
      <c r="CC60" s="230">
        <v>3708150</v>
      </c>
      <c r="CD60" s="230">
        <v>-28500</v>
      </c>
      <c r="CE60" s="229">
        <v>-7.7000000000000002E-3</v>
      </c>
      <c r="CF60" s="230">
        <v>334950</v>
      </c>
      <c r="CG60" s="230">
        <v>300750</v>
      </c>
      <c r="CH60" s="230">
        <v>34200</v>
      </c>
      <c r="CI60" s="229">
        <v>0.1137</v>
      </c>
      <c r="CJ60" s="230">
        <v>19500</v>
      </c>
      <c r="CK60" s="230">
        <v>24300</v>
      </c>
      <c r="CL60" s="230">
        <v>-4800</v>
      </c>
      <c r="CM60" s="229">
        <v>-0.19750000000000001</v>
      </c>
      <c r="CN60" s="230">
        <v>1949100</v>
      </c>
      <c r="CO60" s="230">
        <v>1920450</v>
      </c>
      <c r="CP60" s="230">
        <v>28650</v>
      </c>
      <c r="CQ60" s="229">
        <v>1.49E-2</v>
      </c>
      <c r="CR60" s="230">
        <v>1879350</v>
      </c>
      <c r="CS60" s="230">
        <v>1526850</v>
      </c>
      <c r="CT60" s="230">
        <v>352500</v>
      </c>
      <c r="CU60" s="229">
        <v>0.23089999999999999</v>
      </c>
      <c r="CV60" s="230">
        <v>7862550</v>
      </c>
      <c r="CW60" s="230">
        <v>7480500</v>
      </c>
      <c r="CX60" s="230">
        <v>382050</v>
      </c>
      <c r="CY60" s="229">
        <v>5.11E-2</v>
      </c>
      <c r="CZ60" s="228">
        <v>32.5</v>
      </c>
      <c r="DA60" s="228">
        <v>30.59</v>
      </c>
      <c r="DB60" s="228">
        <v>1.91</v>
      </c>
      <c r="DC60" s="228">
        <v>1.91</v>
      </c>
      <c r="DD60" s="228">
        <v>33.24</v>
      </c>
      <c r="DE60" s="228">
        <v>32.69</v>
      </c>
      <c r="DF60" s="228">
        <v>-0.74</v>
      </c>
      <c r="DG60" s="228">
        <v>0.55000000000000004</v>
      </c>
      <c r="DH60" s="228">
        <v>31.27</v>
      </c>
      <c r="DI60" s="228">
        <v>29.89</v>
      </c>
      <c r="DJ60" s="228">
        <v>1.38</v>
      </c>
      <c r="DK60" s="228">
        <v>1.38</v>
      </c>
      <c r="DL60" s="228">
        <v>35.25</v>
      </c>
      <c r="DM60" s="228">
        <v>31.81</v>
      </c>
      <c r="DN60" s="228">
        <v>3.44</v>
      </c>
      <c r="DO60" s="228">
        <v>3.44</v>
      </c>
      <c r="DP60" s="228">
        <v>0.96</v>
      </c>
      <c r="DQ60" s="228">
        <v>0.8</v>
      </c>
      <c r="DR60" s="228">
        <v>0.16</v>
      </c>
      <c r="DS60" s="229">
        <v>0.2</v>
      </c>
      <c r="DT60" s="231">
        <v>4600</v>
      </c>
      <c r="DU60" s="231">
        <v>4200</v>
      </c>
      <c r="DV60" s="228">
        <v>0.45</v>
      </c>
      <c r="DW60" s="228">
        <v>0.56999999999999995</v>
      </c>
      <c r="DX60" s="228">
        <v>-0.12</v>
      </c>
      <c r="DY60" s="229">
        <v>-0.21049999999999999</v>
      </c>
      <c r="DZ60" s="229">
        <v>8.7900000000000006E-2</v>
      </c>
      <c r="EA60" s="230">
        <v>325050</v>
      </c>
      <c r="EB60" s="229">
        <v>-2.3E-3</v>
      </c>
      <c r="EC60" s="229">
        <v>8.7900000000000006E-2</v>
      </c>
      <c r="ED60" s="228">
        <v>-7.79</v>
      </c>
      <c r="EE60" s="229">
        <v>-1.6999999999999999E-3</v>
      </c>
      <c r="EF60" s="230">
        <v>732037</v>
      </c>
      <c r="EG60" s="230">
        <v>131501</v>
      </c>
      <c r="EH60" s="229">
        <v>4.5667999999999997</v>
      </c>
      <c r="EI60" s="229">
        <v>0.52029999999999998</v>
      </c>
      <c r="EJ60" s="231">
        <v>463030.6</v>
      </c>
      <c r="EK60" s="231">
        <v>194747.96</v>
      </c>
      <c r="EL60" s="231">
        <v>66874.03</v>
      </c>
      <c r="EM60" s="231">
        <v>5489</v>
      </c>
      <c r="EN60" s="231">
        <v>724652.59</v>
      </c>
      <c r="EO60" s="231">
        <v>212424.15</v>
      </c>
      <c r="EP60" s="231">
        <v>512228.44</v>
      </c>
      <c r="EQ60" s="229">
        <v>2.4113000000000002</v>
      </c>
      <c r="ER60" s="231">
        <v>88186</v>
      </c>
      <c r="ES60" s="231">
        <v>78404</v>
      </c>
      <c r="ET60" s="231">
        <v>187339</v>
      </c>
      <c r="EU60" s="231">
        <v>16494391</v>
      </c>
      <c r="EV60" s="231">
        <v>353930</v>
      </c>
      <c r="EW60" s="231">
        <v>327077</v>
      </c>
      <c r="EX60" s="231">
        <v>26853</v>
      </c>
      <c r="EY60" s="229">
        <v>8.2100000000000006E-2</v>
      </c>
      <c r="EZ60" s="229">
        <v>0.47670000000000001</v>
      </c>
      <c r="FA60" s="227" t="s">
        <v>555</v>
      </c>
      <c r="FB60" s="161">
        <f t="shared" si="0"/>
        <v>354450</v>
      </c>
    </row>
    <row r="61" spans="1:158" ht="17.25" thickBot="1" x14ac:dyDescent="0.3">
      <c r="A61" s="226">
        <v>46129</v>
      </c>
      <c r="B61" s="227" t="s">
        <v>170</v>
      </c>
      <c r="C61" s="227" t="s">
        <v>208</v>
      </c>
      <c r="D61" s="228">
        <v>625</v>
      </c>
      <c r="E61" s="231">
        <v>1231.8</v>
      </c>
      <c r="F61" s="231">
        <v>1221</v>
      </c>
      <c r="G61" s="228">
        <v>10.8</v>
      </c>
      <c r="H61" s="229">
        <v>8.8000000000000005E-3</v>
      </c>
      <c r="I61" s="231">
        <v>1235.7</v>
      </c>
      <c r="J61" s="231">
        <v>1221.4000000000001</v>
      </c>
      <c r="K61" s="228">
        <v>14.3</v>
      </c>
      <c r="L61" s="229">
        <v>1.17E-2</v>
      </c>
      <c r="M61" s="231">
        <v>1231.8</v>
      </c>
      <c r="N61" s="231">
        <v>1221</v>
      </c>
      <c r="O61" s="228">
        <v>10.8</v>
      </c>
      <c r="P61" s="229">
        <v>8.8000000000000005E-3</v>
      </c>
      <c r="Q61" s="231">
        <v>1232.2</v>
      </c>
      <c r="R61" s="231">
        <v>1222.3</v>
      </c>
      <c r="S61" s="228">
        <v>9.9</v>
      </c>
      <c r="T61" s="229">
        <v>8.0999999999999996E-3</v>
      </c>
      <c r="U61" s="231">
        <v>1236.0999999999999</v>
      </c>
      <c r="V61" s="231">
        <v>1225.5999999999999</v>
      </c>
      <c r="W61" s="228">
        <v>10.5</v>
      </c>
      <c r="X61" s="229">
        <v>8.6E-3</v>
      </c>
      <c r="Y61" s="228">
        <v>-3.9</v>
      </c>
      <c r="Z61" s="228">
        <v>-0.4</v>
      </c>
      <c r="AA61" s="228">
        <v>-3.5</v>
      </c>
      <c r="AB61" s="229">
        <v>-3.2000000000000002E-3</v>
      </c>
      <c r="AC61" s="228">
        <v>-3.9</v>
      </c>
      <c r="AD61" s="228">
        <v>-0.4</v>
      </c>
      <c r="AE61" s="228">
        <v>-3.5</v>
      </c>
      <c r="AF61" s="229">
        <v>-3.2000000000000002E-3</v>
      </c>
      <c r="AG61" s="228">
        <v>-3.5</v>
      </c>
      <c r="AH61" s="228">
        <v>0.9</v>
      </c>
      <c r="AI61" s="228">
        <v>-4.4000000000000004</v>
      </c>
      <c r="AJ61" s="229">
        <v>-2.8E-3</v>
      </c>
      <c r="AK61" s="228">
        <v>0.4</v>
      </c>
      <c r="AL61" s="228">
        <v>4.2</v>
      </c>
      <c r="AM61" s="228">
        <v>-3.8</v>
      </c>
      <c r="AN61" s="229">
        <v>2.9999999999999997E-4</v>
      </c>
      <c r="AO61" s="231">
        <v>1226.95</v>
      </c>
      <c r="AP61" s="231">
        <v>1228.3800000000001</v>
      </c>
      <c r="AQ61" s="228">
        <v>0</v>
      </c>
      <c r="AR61" s="230">
        <v>2291875</v>
      </c>
      <c r="AS61" s="230">
        <v>2699375</v>
      </c>
      <c r="AT61" s="230">
        <v>-407500</v>
      </c>
      <c r="AU61" s="229">
        <v>-0.151</v>
      </c>
      <c r="AV61" s="230">
        <v>1768750</v>
      </c>
      <c r="AW61" s="230">
        <v>2198750</v>
      </c>
      <c r="AX61" s="230">
        <v>-430000</v>
      </c>
      <c r="AY61" s="229">
        <v>-0.1956</v>
      </c>
      <c r="AZ61" s="230">
        <v>486250</v>
      </c>
      <c r="BA61" s="230">
        <v>459375</v>
      </c>
      <c r="BB61" s="230">
        <v>26875</v>
      </c>
      <c r="BC61" s="229">
        <v>5.8500000000000003E-2</v>
      </c>
      <c r="BD61" s="230">
        <v>36875</v>
      </c>
      <c r="BE61" s="230">
        <v>41250</v>
      </c>
      <c r="BF61" s="230">
        <v>-4375</v>
      </c>
      <c r="BG61" s="229">
        <v>-0.1061</v>
      </c>
      <c r="BH61" s="230">
        <v>9595000</v>
      </c>
      <c r="BI61" s="230">
        <v>9176875</v>
      </c>
      <c r="BJ61" s="230">
        <v>418125</v>
      </c>
      <c r="BK61" s="229">
        <v>4.5600000000000002E-2</v>
      </c>
      <c r="BL61" s="230">
        <v>4037500</v>
      </c>
      <c r="BM61" s="230">
        <v>4723125</v>
      </c>
      <c r="BN61" s="230">
        <v>-685625</v>
      </c>
      <c r="BO61" s="229">
        <v>-0.1452</v>
      </c>
      <c r="BP61" s="230">
        <v>15924375</v>
      </c>
      <c r="BQ61" s="230">
        <v>16599375</v>
      </c>
      <c r="BR61" s="230">
        <v>-675000</v>
      </c>
      <c r="BS61" s="229">
        <v>-4.07E-2</v>
      </c>
      <c r="BT61" s="230">
        <v>2640179</v>
      </c>
      <c r="BU61" s="230">
        <v>2097756</v>
      </c>
      <c r="BV61" s="230">
        <v>542423</v>
      </c>
      <c r="BW61" s="229">
        <v>0.2586</v>
      </c>
      <c r="BX61" s="230">
        <v>13813750</v>
      </c>
      <c r="BY61" s="230">
        <v>13536250</v>
      </c>
      <c r="BZ61" s="230">
        <v>277500</v>
      </c>
      <c r="CA61" s="229">
        <v>2.0500000000000001E-2</v>
      </c>
      <c r="CB61" s="230">
        <v>12841250</v>
      </c>
      <c r="CC61" s="230">
        <v>12741875</v>
      </c>
      <c r="CD61" s="230">
        <v>99375</v>
      </c>
      <c r="CE61" s="229">
        <v>7.7999999999999996E-3</v>
      </c>
      <c r="CF61" s="230">
        <v>848750</v>
      </c>
      <c r="CG61" s="230">
        <v>671250</v>
      </c>
      <c r="CH61" s="230">
        <v>177500</v>
      </c>
      <c r="CI61" s="229">
        <v>0.26440000000000002</v>
      </c>
      <c r="CJ61" s="230">
        <v>123750</v>
      </c>
      <c r="CK61" s="230">
        <v>123125</v>
      </c>
      <c r="CL61" s="228">
        <v>625</v>
      </c>
      <c r="CM61" s="229">
        <v>5.1000000000000004E-3</v>
      </c>
      <c r="CN61" s="230">
        <v>7251250</v>
      </c>
      <c r="CO61" s="230">
        <v>7154375</v>
      </c>
      <c r="CP61" s="230">
        <v>96875</v>
      </c>
      <c r="CQ61" s="229">
        <v>1.35E-2</v>
      </c>
      <c r="CR61" s="230">
        <v>5168125</v>
      </c>
      <c r="CS61" s="230">
        <v>5128125</v>
      </c>
      <c r="CT61" s="230">
        <v>40000</v>
      </c>
      <c r="CU61" s="229">
        <v>7.7999999999999996E-3</v>
      </c>
      <c r="CV61" s="230">
        <v>26233125</v>
      </c>
      <c r="CW61" s="230">
        <v>25818750</v>
      </c>
      <c r="CX61" s="230">
        <v>414375</v>
      </c>
      <c r="CY61" s="229">
        <v>1.6E-2</v>
      </c>
      <c r="CZ61" s="228">
        <v>25.1</v>
      </c>
      <c r="DA61" s="228">
        <v>25.77</v>
      </c>
      <c r="DB61" s="228">
        <v>-0.67</v>
      </c>
      <c r="DC61" s="228">
        <v>-0.67</v>
      </c>
      <c r="DD61" s="228">
        <v>26.04</v>
      </c>
      <c r="DE61" s="228">
        <v>26.06</v>
      </c>
      <c r="DF61" s="228">
        <v>-0.94</v>
      </c>
      <c r="DG61" s="228">
        <v>-0.02</v>
      </c>
      <c r="DH61" s="228">
        <v>24.76</v>
      </c>
      <c r="DI61" s="228">
        <v>25.58</v>
      </c>
      <c r="DJ61" s="228">
        <v>-0.82</v>
      </c>
      <c r="DK61" s="228">
        <v>-0.82</v>
      </c>
      <c r="DL61" s="228">
        <v>25.92</v>
      </c>
      <c r="DM61" s="228">
        <v>26.15</v>
      </c>
      <c r="DN61" s="228">
        <v>-0.23</v>
      </c>
      <c r="DO61" s="228">
        <v>-0.23</v>
      </c>
      <c r="DP61" s="228">
        <v>0.71</v>
      </c>
      <c r="DQ61" s="228">
        <v>0.72</v>
      </c>
      <c r="DR61" s="228">
        <v>-0.01</v>
      </c>
      <c r="DS61" s="229">
        <v>-1.3899999999999999E-2</v>
      </c>
      <c r="DT61" s="231">
        <v>1260</v>
      </c>
      <c r="DU61" s="231">
        <v>1200</v>
      </c>
      <c r="DV61" s="228">
        <v>0.42</v>
      </c>
      <c r="DW61" s="228">
        <v>0.51</v>
      </c>
      <c r="DX61" s="228">
        <v>-0.09</v>
      </c>
      <c r="DY61" s="229">
        <v>-0.17649999999999999</v>
      </c>
      <c r="DZ61" s="229">
        <v>7.0400000000000004E-2</v>
      </c>
      <c r="EA61" s="230">
        <v>794375</v>
      </c>
      <c r="EB61" s="229">
        <v>2.9999999999999997E-4</v>
      </c>
      <c r="EC61" s="229">
        <v>7.0400000000000004E-2</v>
      </c>
      <c r="ED61" s="228">
        <v>1.43</v>
      </c>
      <c r="EE61" s="229">
        <v>1.1999999999999999E-3</v>
      </c>
      <c r="EF61" s="230">
        <v>1809643</v>
      </c>
      <c r="EG61" s="230">
        <v>1075065</v>
      </c>
      <c r="EH61" s="229">
        <v>0.68330000000000002</v>
      </c>
      <c r="EI61" s="229">
        <v>0.68540000000000001</v>
      </c>
      <c r="EJ61" s="231">
        <v>120971.58</v>
      </c>
      <c r="EK61" s="231">
        <v>49254.53</v>
      </c>
      <c r="EL61" s="231">
        <v>28129.599999999999</v>
      </c>
      <c r="EM61" s="231">
        <v>4521</v>
      </c>
      <c r="EN61" s="231">
        <v>198355.71</v>
      </c>
      <c r="EO61" s="231">
        <v>205807.23</v>
      </c>
      <c r="EP61" s="231">
        <v>-7451.52</v>
      </c>
      <c r="EQ61" s="229">
        <v>-3.6200000000000003E-2</v>
      </c>
      <c r="ER61" s="231">
        <v>91443</v>
      </c>
      <c r="ES61" s="231">
        <v>61039</v>
      </c>
      <c r="ET61" s="231">
        <v>170166</v>
      </c>
      <c r="EU61" s="231">
        <v>61026255</v>
      </c>
      <c r="EV61" s="231">
        <v>322648</v>
      </c>
      <c r="EW61" s="231">
        <v>315987</v>
      </c>
      <c r="EX61" s="231">
        <v>6661</v>
      </c>
      <c r="EY61" s="229">
        <v>2.1100000000000001E-2</v>
      </c>
      <c r="EZ61" s="229">
        <v>0.4299</v>
      </c>
      <c r="FA61" s="227" t="s">
        <v>555</v>
      </c>
      <c r="FB61" s="161">
        <f t="shared" si="0"/>
        <v>972500</v>
      </c>
    </row>
    <row r="62" spans="1:158" ht="17.25" thickBot="1" x14ac:dyDescent="0.3">
      <c r="A62" s="226">
        <v>46129</v>
      </c>
      <c r="B62" s="227" t="s">
        <v>162</v>
      </c>
      <c r="C62" s="227" t="s">
        <v>209</v>
      </c>
      <c r="D62" s="228">
        <v>100</v>
      </c>
      <c r="E62" s="231">
        <v>7189.5</v>
      </c>
      <c r="F62" s="231">
        <v>7132.5</v>
      </c>
      <c r="G62" s="228">
        <v>57</v>
      </c>
      <c r="H62" s="229">
        <v>8.0000000000000002E-3</v>
      </c>
      <c r="I62" s="231">
        <v>7189.5</v>
      </c>
      <c r="J62" s="231">
        <v>7131</v>
      </c>
      <c r="K62" s="228">
        <v>58.5</v>
      </c>
      <c r="L62" s="229">
        <v>8.2000000000000007E-3</v>
      </c>
      <c r="M62" s="231">
        <v>7189.5</v>
      </c>
      <c r="N62" s="231">
        <v>7132.5</v>
      </c>
      <c r="O62" s="228">
        <v>57</v>
      </c>
      <c r="P62" s="229">
        <v>8.0000000000000002E-3</v>
      </c>
      <c r="Q62" s="231">
        <v>7228.5</v>
      </c>
      <c r="R62" s="231">
        <v>7174</v>
      </c>
      <c r="S62" s="228">
        <v>54.5</v>
      </c>
      <c r="T62" s="229">
        <v>7.6E-3</v>
      </c>
      <c r="U62" s="231">
        <v>7279</v>
      </c>
      <c r="V62" s="231">
        <v>7214</v>
      </c>
      <c r="W62" s="228">
        <v>65</v>
      </c>
      <c r="X62" s="229">
        <v>8.9999999999999993E-3</v>
      </c>
      <c r="Y62" s="228">
        <v>0</v>
      </c>
      <c r="Z62" s="228">
        <v>1.5</v>
      </c>
      <c r="AA62" s="228">
        <v>-1.5</v>
      </c>
      <c r="AB62" s="229">
        <v>0</v>
      </c>
      <c r="AC62" s="228">
        <v>0</v>
      </c>
      <c r="AD62" s="228">
        <v>1.5</v>
      </c>
      <c r="AE62" s="228">
        <v>-1.5</v>
      </c>
      <c r="AF62" s="229">
        <v>0</v>
      </c>
      <c r="AG62" s="228">
        <v>39</v>
      </c>
      <c r="AH62" s="228">
        <v>43</v>
      </c>
      <c r="AI62" s="228">
        <v>-4</v>
      </c>
      <c r="AJ62" s="229">
        <v>5.4000000000000003E-3</v>
      </c>
      <c r="AK62" s="228">
        <v>89.5</v>
      </c>
      <c r="AL62" s="228">
        <v>83</v>
      </c>
      <c r="AM62" s="228">
        <v>6.5</v>
      </c>
      <c r="AN62" s="229">
        <v>1.24E-2</v>
      </c>
      <c r="AO62" s="231">
        <v>7170.41</v>
      </c>
      <c r="AP62" s="231">
        <v>7203.38</v>
      </c>
      <c r="AQ62" s="228">
        <v>0</v>
      </c>
      <c r="AR62" s="230">
        <v>480300</v>
      </c>
      <c r="AS62" s="230">
        <v>960300</v>
      </c>
      <c r="AT62" s="230">
        <v>-480000</v>
      </c>
      <c r="AU62" s="229">
        <v>-0.49980000000000002</v>
      </c>
      <c r="AV62" s="230">
        <v>396200</v>
      </c>
      <c r="AW62" s="230">
        <v>708800</v>
      </c>
      <c r="AX62" s="230">
        <v>-312600</v>
      </c>
      <c r="AY62" s="229">
        <v>-0.441</v>
      </c>
      <c r="AZ62" s="230">
        <v>79100</v>
      </c>
      <c r="BA62" s="230">
        <v>45500</v>
      </c>
      <c r="BB62" s="230">
        <v>33600</v>
      </c>
      <c r="BC62" s="229">
        <v>0.73850000000000005</v>
      </c>
      <c r="BD62" s="230">
        <v>5000</v>
      </c>
      <c r="BE62" s="230">
        <v>206000</v>
      </c>
      <c r="BF62" s="230">
        <v>-201000</v>
      </c>
      <c r="BG62" s="229">
        <v>-0.97570000000000001</v>
      </c>
      <c r="BH62" s="230">
        <v>3285900</v>
      </c>
      <c r="BI62" s="230">
        <v>2772600</v>
      </c>
      <c r="BJ62" s="230">
        <v>513300</v>
      </c>
      <c r="BK62" s="229">
        <v>0.18509999999999999</v>
      </c>
      <c r="BL62" s="230">
        <v>1101300</v>
      </c>
      <c r="BM62" s="230">
        <v>1464100</v>
      </c>
      <c r="BN62" s="230">
        <v>-362800</v>
      </c>
      <c r="BO62" s="229">
        <v>-0.24779999999999999</v>
      </c>
      <c r="BP62" s="230">
        <v>4867500</v>
      </c>
      <c r="BQ62" s="230">
        <v>5197000</v>
      </c>
      <c r="BR62" s="230">
        <v>-329500</v>
      </c>
      <c r="BS62" s="229">
        <v>-6.3399999999999998E-2</v>
      </c>
      <c r="BT62" s="230">
        <v>645766</v>
      </c>
      <c r="BU62" s="230">
        <v>600951</v>
      </c>
      <c r="BV62" s="230">
        <v>44815</v>
      </c>
      <c r="BW62" s="229">
        <v>7.46E-2</v>
      </c>
      <c r="BX62" s="230">
        <v>4294200</v>
      </c>
      <c r="BY62" s="230">
        <v>4352400</v>
      </c>
      <c r="BZ62" s="230">
        <v>-58200</v>
      </c>
      <c r="CA62" s="229">
        <v>-1.34E-2</v>
      </c>
      <c r="CB62" s="230">
        <v>3626900</v>
      </c>
      <c r="CC62" s="230">
        <v>3676900</v>
      </c>
      <c r="CD62" s="230">
        <v>-50000</v>
      </c>
      <c r="CE62" s="229">
        <v>-1.3599999999999999E-2</v>
      </c>
      <c r="CF62" s="230">
        <v>331600</v>
      </c>
      <c r="CG62" s="230">
        <v>339500</v>
      </c>
      <c r="CH62" s="230">
        <v>-7900</v>
      </c>
      <c r="CI62" s="229">
        <v>-2.3300000000000001E-2</v>
      </c>
      <c r="CJ62" s="230">
        <v>335700</v>
      </c>
      <c r="CK62" s="230">
        <v>336000</v>
      </c>
      <c r="CL62" s="228">
        <v>-300</v>
      </c>
      <c r="CM62" s="229">
        <v>-8.9999999999999998E-4</v>
      </c>
      <c r="CN62" s="230">
        <v>2321600</v>
      </c>
      <c r="CO62" s="230">
        <v>2323900</v>
      </c>
      <c r="CP62" s="230">
        <v>-2300</v>
      </c>
      <c r="CQ62" s="229">
        <v>-1E-3</v>
      </c>
      <c r="CR62" s="230">
        <v>1579400</v>
      </c>
      <c r="CS62" s="230">
        <v>1559600</v>
      </c>
      <c r="CT62" s="230">
        <v>19800</v>
      </c>
      <c r="CU62" s="229">
        <v>1.2699999999999999E-2</v>
      </c>
      <c r="CV62" s="230">
        <v>8195200</v>
      </c>
      <c r="CW62" s="230">
        <v>8235900</v>
      </c>
      <c r="CX62" s="230">
        <v>-40700</v>
      </c>
      <c r="CY62" s="229">
        <v>-4.8999999999999998E-3</v>
      </c>
      <c r="CZ62" s="228">
        <v>30.63</v>
      </c>
      <c r="DA62" s="228">
        <v>32.380000000000003</v>
      </c>
      <c r="DB62" s="228">
        <v>-1.75</v>
      </c>
      <c r="DC62" s="228">
        <v>-1.75</v>
      </c>
      <c r="DD62" s="228">
        <v>33.86</v>
      </c>
      <c r="DE62" s="228">
        <v>33.93</v>
      </c>
      <c r="DF62" s="228">
        <v>-3.23</v>
      </c>
      <c r="DG62" s="228">
        <v>-7.0000000000000007E-2</v>
      </c>
      <c r="DH62" s="228">
        <v>30.13</v>
      </c>
      <c r="DI62" s="228">
        <v>32.159999999999997</v>
      </c>
      <c r="DJ62" s="228">
        <v>-2.0299999999999998</v>
      </c>
      <c r="DK62" s="228">
        <v>-2.0299999999999998</v>
      </c>
      <c r="DL62" s="228">
        <v>32.15</v>
      </c>
      <c r="DM62" s="228">
        <v>32.81</v>
      </c>
      <c r="DN62" s="228">
        <v>-0.66</v>
      </c>
      <c r="DO62" s="228">
        <v>-0.66</v>
      </c>
      <c r="DP62" s="228">
        <v>0.68</v>
      </c>
      <c r="DQ62" s="228">
        <v>0.67</v>
      </c>
      <c r="DR62" s="228">
        <v>0.01</v>
      </c>
      <c r="DS62" s="229">
        <v>1.49E-2</v>
      </c>
      <c r="DT62" s="231">
        <v>8000</v>
      </c>
      <c r="DU62" s="231">
        <v>7100</v>
      </c>
      <c r="DV62" s="228">
        <v>0.34</v>
      </c>
      <c r="DW62" s="228">
        <v>0.53</v>
      </c>
      <c r="DX62" s="228">
        <v>-0.19</v>
      </c>
      <c r="DY62" s="229">
        <v>-0.35849999999999999</v>
      </c>
      <c r="DZ62" s="229">
        <v>0.15540000000000001</v>
      </c>
      <c r="EA62" s="230">
        <v>675500</v>
      </c>
      <c r="EB62" s="229">
        <v>5.4000000000000003E-3</v>
      </c>
      <c r="EC62" s="229">
        <v>0.15540000000000001</v>
      </c>
      <c r="ED62" s="228">
        <v>32.97</v>
      </c>
      <c r="EE62" s="229">
        <v>4.5999999999999999E-3</v>
      </c>
      <c r="EF62" s="230">
        <v>392238</v>
      </c>
      <c r="EG62" s="230">
        <v>301365</v>
      </c>
      <c r="EH62" s="229">
        <v>0.30149999999999999</v>
      </c>
      <c r="EI62" s="229">
        <v>0.60740000000000005</v>
      </c>
      <c r="EJ62" s="231">
        <v>245530.93</v>
      </c>
      <c r="EK62" s="231">
        <v>77446.83</v>
      </c>
      <c r="EL62" s="231">
        <v>34469.760000000002</v>
      </c>
      <c r="EM62" s="231">
        <v>8983</v>
      </c>
      <c r="EN62" s="231">
        <v>357447.52</v>
      </c>
      <c r="EO62" s="231">
        <v>378091.35</v>
      </c>
      <c r="EP62" s="231">
        <v>-20643.830000000002</v>
      </c>
      <c r="EQ62" s="229">
        <v>-5.4600000000000003E-2</v>
      </c>
      <c r="ER62" s="231">
        <v>172198</v>
      </c>
      <c r="ES62" s="231">
        <v>110050</v>
      </c>
      <c r="ET62" s="231">
        <v>309161</v>
      </c>
      <c r="EU62" s="231">
        <v>20960143</v>
      </c>
      <c r="EV62" s="231">
        <v>591409</v>
      </c>
      <c r="EW62" s="231">
        <v>591301</v>
      </c>
      <c r="EX62" s="228">
        <v>108</v>
      </c>
      <c r="EY62" s="229">
        <v>2.0000000000000001E-4</v>
      </c>
      <c r="EZ62" s="229">
        <v>0.39100000000000001</v>
      </c>
      <c r="FA62" s="227" t="s">
        <v>693</v>
      </c>
      <c r="FB62" s="161">
        <f t="shared" si="0"/>
        <v>667300</v>
      </c>
    </row>
    <row r="63" spans="1:158" ht="17.25" thickBot="1" x14ac:dyDescent="0.3">
      <c r="A63" s="226">
        <v>46129</v>
      </c>
      <c r="B63" s="227" t="s">
        <v>614</v>
      </c>
      <c r="C63" s="227" t="s">
        <v>665</v>
      </c>
      <c r="D63" s="228">
        <v>2425</v>
      </c>
      <c r="E63" s="228">
        <v>252.59</v>
      </c>
      <c r="F63" s="228">
        <v>252.79</v>
      </c>
      <c r="G63" s="228">
        <v>-0.2</v>
      </c>
      <c r="H63" s="229">
        <v>-8.0000000000000004E-4</v>
      </c>
      <c r="I63" s="228">
        <v>252.61</v>
      </c>
      <c r="J63" s="228">
        <v>252.7</v>
      </c>
      <c r="K63" s="228">
        <v>-0.09</v>
      </c>
      <c r="L63" s="229">
        <v>-4.0000000000000002E-4</v>
      </c>
      <c r="M63" s="228">
        <v>252.59</v>
      </c>
      <c r="N63" s="228">
        <v>252.79</v>
      </c>
      <c r="O63" s="228">
        <v>-0.2</v>
      </c>
      <c r="P63" s="229">
        <v>-8.0000000000000004E-4</v>
      </c>
      <c r="Q63" s="228">
        <v>253.93</v>
      </c>
      <c r="R63" s="228">
        <v>254.23</v>
      </c>
      <c r="S63" s="228">
        <v>-0.3</v>
      </c>
      <c r="T63" s="229">
        <v>-1.1999999999999999E-3</v>
      </c>
      <c r="U63" s="228">
        <v>255.4</v>
      </c>
      <c r="V63" s="228">
        <v>255.68</v>
      </c>
      <c r="W63" s="228">
        <v>-0.28000000000000003</v>
      </c>
      <c r="X63" s="229">
        <v>-1.1000000000000001E-3</v>
      </c>
      <c r="Y63" s="228">
        <v>-0.02</v>
      </c>
      <c r="Z63" s="228">
        <v>0.09</v>
      </c>
      <c r="AA63" s="228">
        <v>-0.11</v>
      </c>
      <c r="AB63" s="229">
        <v>-1E-4</v>
      </c>
      <c r="AC63" s="228">
        <v>-0.02</v>
      </c>
      <c r="AD63" s="228">
        <v>0.09</v>
      </c>
      <c r="AE63" s="228">
        <v>-0.11</v>
      </c>
      <c r="AF63" s="229">
        <v>-1E-4</v>
      </c>
      <c r="AG63" s="228">
        <v>1.32</v>
      </c>
      <c r="AH63" s="228">
        <v>1.53</v>
      </c>
      <c r="AI63" s="228">
        <v>-0.21</v>
      </c>
      <c r="AJ63" s="229">
        <v>5.1999999999999998E-3</v>
      </c>
      <c r="AK63" s="228">
        <v>2.79</v>
      </c>
      <c r="AL63" s="228">
        <v>2.98</v>
      </c>
      <c r="AM63" s="228">
        <v>-0.19</v>
      </c>
      <c r="AN63" s="229">
        <v>1.0999999999999999E-2</v>
      </c>
      <c r="AO63" s="228">
        <v>252.07</v>
      </c>
      <c r="AP63" s="228">
        <v>253.51</v>
      </c>
      <c r="AQ63" s="228">
        <v>0</v>
      </c>
      <c r="AR63" s="230">
        <v>35817250</v>
      </c>
      <c r="AS63" s="230">
        <v>41974325</v>
      </c>
      <c r="AT63" s="230">
        <v>-6157075</v>
      </c>
      <c r="AU63" s="229">
        <v>-0.1467</v>
      </c>
      <c r="AV63" s="230">
        <v>31745675</v>
      </c>
      <c r="AW63" s="230">
        <v>37628725</v>
      </c>
      <c r="AX63" s="230">
        <v>-5883050</v>
      </c>
      <c r="AY63" s="229">
        <v>-0.15629999999999999</v>
      </c>
      <c r="AZ63" s="230">
        <v>3557475</v>
      </c>
      <c r="BA63" s="230">
        <v>3821800</v>
      </c>
      <c r="BB63" s="230">
        <v>-264325</v>
      </c>
      <c r="BC63" s="229">
        <v>-6.9199999999999998E-2</v>
      </c>
      <c r="BD63" s="230">
        <v>514100</v>
      </c>
      <c r="BE63" s="230">
        <v>523800</v>
      </c>
      <c r="BF63" s="230">
        <v>-9700</v>
      </c>
      <c r="BG63" s="229">
        <v>-1.8499999999999999E-2</v>
      </c>
      <c r="BH63" s="230">
        <v>86082650</v>
      </c>
      <c r="BI63" s="230">
        <v>117808925</v>
      </c>
      <c r="BJ63" s="230">
        <v>-31726275</v>
      </c>
      <c r="BK63" s="229">
        <v>-0.26929999999999998</v>
      </c>
      <c r="BL63" s="230">
        <v>42107700</v>
      </c>
      <c r="BM63" s="230">
        <v>50973500</v>
      </c>
      <c r="BN63" s="230">
        <v>-8865800</v>
      </c>
      <c r="BO63" s="229">
        <v>-0.1739</v>
      </c>
      <c r="BP63" s="230">
        <v>164007600</v>
      </c>
      <c r="BQ63" s="230">
        <v>210756750</v>
      </c>
      <c r="BR63" s="230">
        <v>-46749150</v>
      </c>
      <c r="BS63" s="229">
        <v>-0.2218</v>
      </c>
      <c r="BT63" s="230">
        <v>38278410</v>
      </c>
      <c r="BU63" s="230">
        <v>50157460</v>
      </c>
      <c r="BV63" s="230">
        <v>-11879050</v>
      </c>
      <c r="BW63" s="229">
        <v>-0.23680000000000001</v>
      </c>
      <c r="BX63" s="230">
        <v>195071850</v>
      </c>
      <c r="BY63" s="230">
        <v>199987325</v>
      </c>
      <c r="BZ63" s="230">
        <v>-4915475</v>
      </c>
      <c r="CA63" s="229">
        <v>-2.46E-2</v>
      </c>
      <c r="CB63" s="230">
        <v>176940125</v>
      </c>
      <c r="CC63" s="230">
        <v>182832875</v>
      </c>
      <c r="CD63" s="230">
        <v>-5892750</v>
      </c>
      <c r="CE63" s="229">
        <v>-3.2199999999999999E-2</v>
      </c>
      <c r="CF63" s="230">
        <v>15267800</v>
      </c>
      <c r="CG63" s="230">
        <v>14406925</v>
      </c>
      <c r="CH63" s="230">
        <v>860875</v>
      </c>
      <c r="CI63" s="229">
        <v>5.9799999999999999E-2</v>
      </c>
      <c r="CJ63" s="230">
        <v>2863925</v>
      </c>
      <c r="CK63" s="230">
        <v>2747525</v>
      </c>
      <c r="CL63" s="230">
        <v>116400</v>
      </c>
      <c r="CM63" s="229">
        <v>4.24E-2</v>
      </c>
      <c r="CN63" s="230">
        <v>64820250</v>
      </c>
      <c r="CO63" s="230">
        <v>63377375</v>
      </c>
      <c r="CP63" s="230">
        <v>1442875</v>
      </c>
      <c r="CQ63" s="229">
        <v>2.2800000000000001E-2</v>
      </c>
      <c r="CR63" s="230">
        <v>50653400</v>
      </c>
      <c r="CS63" s="230">
        <v>49925900</v>
      </c>
      <c r="CT63" s="230">
        <v>727500</v>
      </c>
      <c r="CU63" s="229">
        <v>1.46E-2</v>
      </c>
      <c r="CV63" s="230">
        <v>310545500</v>
      </c>
      <c r="CW63" s="230">
        <v>313290600</v>
      </c>
      <c r="CX63" s="230">
        <v>-2745100</v>
      </c>
      <c r="CY63" s="229">
        <v>-8.8000000000000005E-3</v>
      </c>
      <c r="CZ63" s="228">
        <v>44.57</v>
      </c>
      <c r="DA63" s="228">
        <v>46.37</v>
      </c>
      <c r="DB63" s="228">
        <v>-1.8</v>
      </c>
      <c r="DC63" s="228">
        <v>-1.8</v>
      </c>
      <c r="DD63" s="228">
        <v>46.24</v>
      </c>
      <c r="DE63" s="228">
        <v>46.36</v>
      </c>
      <c r="DF63" s="228">
        <v>-1.67</v>
      </c>
      <c r="DG63" s="228">
        <v>-0.12</v>
      </c>
      <c r="DH63" s="228">
        <v>43.2</v>
      </c>
      <c r="DI63" s="228">
        <v>44.75</v>
      </c>
      <c r="DJ63" s="228">
        <v>-1.55</v>
      </c>
      <c r="DK63" s="228">
        <v>-1.55</v>
      </c>
      <c r="DL63" s="228">
        <v>47.37</v>
      </c>
      <c r="DM63" s="228">
        <v>50.12</v>
      </c>
      <c r="DN63" s="228">
        <v>-2.75</v>
      </c>
      <c r="DO63" s="228">
        <v>-2.75</v>
      </c>
      <c r="DP63" s="228">
        <v>0.78</v>
      </c>
      <c r="DQ63" s="228">
        <v>0.79</v>
      </c>
      <c r="DR63" s="228">
        <v>-0.01</v>
      </c>
      <c r="DS63" s="229">
        <v>-1.2699999999999999E-2</v>
      </c>
      <c r="DT63" s="228">
        <v>250</v>
      </c>
      <c r="DU63" s="228">
        <v>230</v>
      </c>
      <c r="DV63" s="228">
        <v>0.49</v>
      </c>
      <c r="DW63" s="228">
        <v>0.43</v>
      </c>
      <c r="DX63" s="228">
        <v>0.06</v>
      </c>
      <c r="DY63" s="229">
        <v>0.13950000000000001</v>
      </c>
      <c r="DZ63" s="229">
        <v>9.2899999999999996E-2</v>
      </c>
      <c r="EA63" s="230">
        <v>17154450</v>
      </c>
      <c r="EB63" s="229">
        <v>5.3E-3</v>
      </c>
      <c r="EC63" s="229">
        <v>9.2899999999999996E-2</v>
      </c>
      <c r="ED63" s="228">
        <v>1.44</v>
      </c>
      <c r="EE63" s="229">
        <v>5.7000000000000002E-3</v>
      </c>
      <c r="EF63" s="230">
        <v>18585012</v>
      </c>
      <c r="EG63" s="230">
        <v>21475461</v>
      </c>
      <c r="EH63" s="229">
        <v>-0.1346</v>
      </c>
      <c r="EI63" s="229">
        <v>0.48549999999999999</v>
      </c>
      <c r="EJ63" s="231">
        <v>228323.9</v>
      </c>
      <c r="EK63" s="231">
        <v>104332.44</v>
      </c>
      <c r="EL63" s="231">
        <v>90349.59</v>
      </c>
      <c r="EM63" s="231">
        <v>13526</v>
      </c>
      <c r="EN63" s="231">
        <v>423005.93</v>
      </c>
      <c r="EO63" s="231">
        <v>540848.52</v>
      </c>
      <c r="EP63" s="231">
        <v>-117842.59</v>
      </c>
      <c r="EQ63" s="229">
        <v>-0.21790000000000001</v>
      </c>
      <c r="ER63" s="231">
        <v>165124</v>
      </c>
      <c r="ES63" s="231">
        <v>120970</v>
      </c>
      <c r="ET63" s="231">
        <v>493017</v>
      </c>
      <c r="EU63" s="231">
        <v>1366821859</v>
      </c>
      <c r="EV63" s="231">
        <v>779111</v>
      </c>
      <c r="EW63" s="231">
        <v>786087</v>
      </c>
      <c r="EX63" s="231">
        <v>-6976</v>
      </c>
      <c r="EY63" s="229">
        <v>-8.8999999999999999E-3</v>
      </c>
      <c r="EZ63" s="229">
        <v>0.22720000000000001</v>
      </c>
      <c r="FA63" s="227" t="s">
        <v>567</v>
      </c>
      <c r="FB63" s="161">
        <f t="shared" si="0"/>
        <v>18131725</v>
      </c>
    </row>
    <row r="64" spans="1:158" ht="17.25" thickBot="1" x14ac:dyDescent="0.3">
      <c r="A64" s="226">
        <v>46129</v>
      </c>
      <c r="B64" s="227" t="s">
        <v>162</v>
      </c>
      <c r="C64" s="227" t="s">
        <v>211</v>
      </c>
      <c r="D64" s="228">
        <v>1800</v>
      </c>
      <c r="E64" s="228">
        <v>330.25</v>
      </c>
      <c r="F64" s="228">
        <v>331.6</v>
      </c>
      <c r="G64" s="228">
        <v>-1.35</v>
      </c>
      <c r="H64" s="229">
        <v>-4.1000000000000003E-3</v>
      </c>
      <c r="I64" s="228">
        <v>330</v>
      </c>
      <c r="J64" s="228">
        <v>331.4</v>
      </c>
      <c r="K64" s="228">
        <v>-1.4</v>
      </c>
      <c r="L64" s="229">
        <v>-4.1999999999999997E-3</v>
      </c>
      <c r="M64" s="228">
        <v>330.25</v>
      </c>
      <c r="N64" s="228">
        <v>331.6</v>
      </c>
      <c r="O64" s="228">
        <v>-1.35</v>
      </c>
      <c r="P64" s="229">
        <v>-4.1000000000000003E-3</v>
      </c>
      <c r="Q64" s="228">
        <v>332.2</v>
      </c>
      <c r="R64" s="228">
        <v>333.65</v>
      </c>
      <c r="S64" s="228">
        <v>-1.45</v>
      </c>
      <c r="T64" s="229">
        <v>-4.3E-3</v>
      </c>
      <c r="U64" s="228">
        <v>335</v>
      </c>
      <c r="V64" s="228">
        <v>335.35</v>
      </c>
      <c r="W64" s="228">
        <v>-0.35</v>
      </c>
      <c r="X64" s="229">
        <v>-1E-3</v>
      </c>
      <c r="Y64" s="228">
        <v>0.25</v>
      </c>
      <c r="Z64" s="228">
        <v>0.2</v>
      </c>
      <c r="AA64" s="228">
        <v>0.05</v>
      </c>
      <c r="AB64" s="229">
        <v>8.0000000000000004E-4</v>
      </c>
      <c r="AC64" s="228">
        <v>0.25</v>
      </c>
      <c r="AD64" s="228">
        <v>0.2</v>
      </c>
      <c r="AE64" s="228">
        <v>0.05</v>
      </c>
      <c r="AF64" s="229">
        <v>8.0000000000000004E-4</v>
      </c>
      <c r="AG64" s="228">
        <v>2.2000000000000002</v>
      </c>
      <c r="AH64" s="228">
        <v>2.25</v>
      </c>
      <c r="AI64" s="228">
        <v>-0.05</v>
      </c>
      <c r="AJ64" s="229">
        <v>6.7000000000000002E-3</v>
      </c>
      <c r="AK64" s="228">
        <v>5</v>
      </c>
      <c r="AL64" s="228">
        <v>3.95</v>
      </c>
      <c r="AM64" s="228">
        <v>1.05</v>
      </c>
      <c r="AN64" s="229">
        <v>1.52E-2</v>
      </c>
      <c r="AO64" s="228">
        <v>330.44</v>
      </c>
      <c r="AP64" s="228">
        <v>332.47</v>
      </c>
      <c r="AQ64" s="228">
        <v>0</v>
      </c>
      <c r="AR64" s="230">
        <v>4354200</v>
      </c>
      <c r="AS64" s="230">
        <v>3425400</v>
      </c>
      <c r="AT64" s="230">
        <v>928800</v>
      </c>
      <c r="AU64" s="229">
        <v>0.2712</v>
      </c>
      <c r="AV64" s="230">
        <v>3468600</v>
      </c>
      <c r="AW64" s="230">
        <v>2777400</v>
      </c>
      <c r="AX64" s="230">
        <v>691200</v>
      </c>
      <c r="AY64" s="229">
        <v>0.24890000000000001</v>
      </c>
      <c r="AZ64" s="230">
        <v>747000</v>
      </c>
      <c r="BA64" s="230">
        <v>576000</v>
      </c>
      <c r="BB64" s="230">
        <v>171000</v>
      </c>
      <c r="BC64" s="229">
        <v>0.2969</v>
      </c>
      <c r="BD64" s="230">
        <v>138600</v>
      </c>
      <c r="BE64" s="230">
        <v>72000</v>
      </c>
      <c r="BF64" s="230">
        <v>66600</v>
      </c>
      <c r="BG64" s="229">
        <v>0.92500000000000004</v>
      </c>
      <c r="BH64" s="230">
        <v>5094000</v>
      </c>
      <c r="BI64" s="230">
        <v>5351400</v>
      </c>
      <c r="BJ64" s="230">
        <v>-257400</v>
      </c>
      <c r="BK64" s="229">
        <v>-4.8099999999999997E-2</v>
      </c>
      <c r="BL64" s="230">
        <v>2656800</v>
      </c>
      <c r="BM64" s="230">
        <v>3418200</v>
      </c>
      <c r="BN64" s="230">
        <v>-761400</v>
      </c>
      <c r="BO64" s="229">
        <v>-0.22270000000000001</v>
      </c>
      <c r="BP64" s="230">
        <v>12105000</v>
      </c>
      <c r="BQ64" s="230">
        <v>12195000</v>
      </c>
      <c r="BR64" s="230">
        <v>-90000</v>
      </c>
      <c r="BS64" s="229">
        <v>-7.4000000000000003E-3</v>
      </c>
      <c r="BT64" s="230">
        <v>1571688</v>
      </c>
      <c r="BU64" s="230">
        <v>2357430</v>
      </c>
      <c r="BV64" s="230">
        <v>-785742</v>
      </c>
      <c r="BW64" s="229">
        <v>-0.33329999999999999</v>
      </c>
      <c r="BX64" s="230">
        <v>28744200</v>
      </c>
      <c r="BY64" s="230">
        <v>28931400</v>
      </c>
      <c r="BZ64" s="230">
        <v>-187200</v>
      </c>
      <c r="CA64" s="229">
        <v>-6.4999999999999997E-3</v>
      </c>
      <c r="CB64" s="230">
        <v>26305200</v>
      </c>
      <c r="CC64" s="230">
        <v>27009000</v>
      </c>
      <c r="CD64" s="230">
        <v>-703800</v>
      </c>
      <c r="CE64" s="229">
        <v>-2.6100000000000002E-2</v>
      </c>
      <c r="CF64" s="230">
        <v>2097000</v>
      </c>
      <c r="CG64" s="230">
        <v>1708200</v>
      </c>
      <c r="CH64" s="230">
        <v>388800</v>
      </c>
      <c r="CI64" s="229">
        <v>0.2276</v>
      </c>
      <c r="CJ64" s="230">
        <v>342000</v>
      </c>
      <c r="CK64" s="230">
        <v>214200</v>
      </c>
      <c r="CL64" s="230">
        <v>127800</v>
      </c>
      <c r="CM64" s="229">
        <v>0.59660000000000002</v>
      </c>
      <c r="CN64" s="230">
        <v>12963600</v>
      </c>
      <c r="CO64" s="230">
        <v>12450600</v>
      </c>
      <c r="CP64" s="230">
        <v>513000</v>
      </c>
      <c r="CQ64" s="229">
        <v>4.1200000000000001E-2</v>
      </c>
      <c r="CR64" s="230">
        <v>12621600</v>
      </c>
      <c r="CS64" s="230">
        <v>12443400</v>
      </c>
      <c r="CT64" s="230">
        <v>178200</v>
      </c>
      <c r="CU64" s="229">
        <v>1.43E-2</v>
      </c>
      <c r="CV64" s="230">
        <v>54329400</v>
      </c>
      <c r="CW64" s="230">
        <v>53825400</v>
      </c>
      <c r="CX64" s="230">
        <v>504000</v>
      </c>
      <c r="CY64" s="229">
        <v>9.4000000000000004E-3</v>
      </c>
      <c r="CZ64" s="228">
        <v>34.79</v>
      </c>
      <c r="DA64" s="228">
        <v>36.880000000000003</v>
      </c>
      <c r="DB64" s="228">
        <v>-2.09</v>
      </c>
      <c r="DC64" s="228">
        <v>-2.09</v>
      </c>
      <c r="DD64" s="228">
        <v>35.46</v>
      </c>
      <c r="DE64" s="228">
        <v>35.54</v>
      </c>
      <c r="DF64" s="228">
        <v>-0.67</v>
      </c>
      <c r="DG64" s="228">
        <v>-0.08</v>
      </c>
      <c r="DH64" s="228">
        <v>33.479999999999997</v>
      </c>
      <c r="DI64" s="228">
        <v>34.82</v>
      </c>
      <c r="DJ64" s="228">
        <v>-1.34</v>
      </c>
      <c r="DK64" s="228">
        <v>-1.34</v>
      </c>
      <c r="DL64" s="228">
        <v>37.299999999999997</v>
      </c>
      <c r="DM64" s="228">
        <v>40.1</v>
      </c>
      <c r="DN64" s="228">
        <v>-2.8</v>
      </c>
      <c r="DO64" s="228">
        <v>-2.8</v>
      </c>
      <c r="DP64" s="228">
        <v>0.97</v>
      </c>
      <c r="DQ64" s="228">
        <v>1</v>
      </c>
      <c r="DR64" s="228">
        <v>-0.03</v>
      </c>
      <c r="DS64" s="229">
        <v>-0.03</v>
      </c>
      <c r="DT64" s="228">
        <v>300</v>
      </c>
      <c r="DU64" s="228">
        <v>310</v>
      </c>
      <c r="DV64" s="228">
        <v>0.52</v>
      </c>
      <c r="DW64" s="228">
        <v>0.64</v>
      </c>
      <c r="DX64" s="228">
        <v>-0.12</v>
      </c>
      <c r="DY64" s="229">
        <v>-0.1875</v>
      </c>
      <c r="DZ64" s="229">
        <v>8.4900000000000003E-2</v>
      </c>
      <c r="EA64" s="230">
        <v>1922400</v>
      </c>
      <c r="EB64" s="229">
        <v>5.8999999999999999E-3</v>
      </c>
      <c r="EC64" s="229">
        <v>8.4900000000000003E-2</v>
      </c>
      <c r="ED64" s="228">
        <v>2.0299999999999998</v>
      </c>
      <c r="EE64" s="229">
        <v>6.1000000000000004E-3</v>
      </c>
      <c r="EF64" s="230">
        <v>633737</v>
      </c>
      <c r="EG64" s="230">
        <v>1108575</v>
      </c>
      <c r="EH64" s="229">
        <v>-0.42830000000000001</v>
      </c>
      <c r="EI64" s="229">
        <v>0.4032</v>
      </c>
      <c r="EJ64" s="231">
        <v>17569</v>
      </c>
      <c r="EK64" s="231">
        <v>8623.7999999999993</v>
      </c>
      <c r="EL64" s="231">
        <v>14409.45</v>
      </c>
      <c r="EM64" s="231">
        <v>2820</v>
      </c>
      <c r="EN64" s="231">
        <v>40602.25</v>
      </c>
      <c r="EO64" s="231">
        <v>40614.589999999997</v>
      </c>
      <c r="EP64" s="228">
        <v>-12.34</v>
      </c>
      <c r="EQ64" s="229">
        <v>-2.9999999999999997E-4</v>
      </c>
      <c r="ER64" s="231">
        <v>42668</v>
      </c>
      <c r="ES64" s="231">
        <v>39307</v>
      </c>
      <c r="ET64" s="231">
        <v>94985</v>
      </c>
      <c r="EU64" s="231">
        <v>50211048</v>
      </c>
      <c r="EV64" s="231">
        <v>176960</v>
      </c>
      <c r="EW64" s="231">
        <v>175534</v>
      </c>
      <c r="EX64" s="231">
        <v>1426</v>
      </c>
      <c r="EY64" s="229">
        <v>8.0999999999999996E-3</v>
      </c>
      <c r="EZ64" s="229">
        <v>1.0820000000000001</v>
      </c>
      <c r="FA64" s="227" t="s">
        <v>567</v>
      </c>
      <c r="FB64" s="161">
        <f t="shared" si="0"/>
        <v>2439000</v>
      </c>
    </row>
    <row r="65" spans="1:158" ht="17.25" thickBot="1" x14ac:dyDescent="0.3">
      <c r="A65" s="226">
        <v>46129</v>
      </c>
      <c r="B65" s="227" t="s">
        <v>172</v>
      </c>
      <c r="C65" s="227" t="s">
        <v>212</v>
      </c>
      <c r="D65" s="228">
        <v>5000</v>
      </c>
      <c r="E65" s="228">
        <v>293.60000000000002</v>
      </c>
      <c r="F65" s="228">
        <v>285.10000000000002</v>
      </c>
      <c r="G65" s="228">
        <v>8.5</v>
      </c>
      <c r="H65" s="229">
        <v>2.98E-2</v>
      </c>
      <c r="I65" s="228">
        <v>293.75</v>
      </c>
      <c r="J65" s="228">
        <v>284.39999999999998</v>
      </c>
      <c r="K65" s="228">
        <v>9.35</v>
      </c>
      <c r="L65" s="229">
        <v>3.2899999999999999E-2</v>
      </c>
      <c r="M65" s="228">
        <v>293.60000000000002</v>
      </c>
      <c r="N65" s="228">
        <v>285.10000000000002</v>
      </c>
      <c r="O65" s="228">
        <v>8.5</v>
      </c>
      <c r="P65" s="229">
        <v>2.98E-2</v>
      </c>
      <c r="Q65" s="228">
        <v>295.10000000000002</v>
      </c>
      <c r="R65" s="228">
        <v>286.75</v>
      </c>
      <c r="S65" s="228">
        <v>8.35</v>
      </c>
      <c r="T65" s="229">
        <v>2.9100000000000001E-2</v>
      </c>
      <c r="U65" s="228">
        <v>296.35000000000002</v>
      </c>
      <c r="V65" s="228">
        <v>288.39999999999998</v>
      </c>
      <c r="W65" s="228">
        <v>7.95</v>
      </c>
      <c r="X65" s="229">
        <v>2.76E-2</v>
      </c>
      <c r="Y65" s="228">
        <v>-0.15</v>
      </c>
      <c r="Z65" s="228">
        <v>0.7</v>
      </c>
      <c r="AA65" s="228">
        <v>-0.85</v>
      </c>
      <c r="AB65" s="229">
        <v>-5.0000000000000001E-4</v>
      </c>
      <c r="AC65" s="228">
        <v>-0.15</v>
      </c>
      <c r="AD65" s="228">
        <v>0.7</v>
      </c>
      <c r="AE65" s="228">
        <v>-0.85</v>
      </c>
      <c r="AF65" s="229">
        <v>-5.0000000000000001E-4</v>
      </c>
      <c r="AG65" s="228">
        <v>1.35</v>
      </c>
      <c r="AH65" s="228">
        <v>2.35</v>
      </c>
      <c r="AI65" s="228">
        <v>-1</v>
      </c>
      <c r="AJ65" s="229">
        <v>4.5999999999999999E-3</v>
      </c>
      <c r="AK65" s="228">
        <v>2.6</v>
      </c>
      <c r="AL65" s="228">
        <v>4</v>
      </c>
      <c r="AM65" s="228">
        <v>-1.4</v>
      </c>
      <c r="AN65" s="229">
        <v>8.8999999999999999E-3</v>
      </c>
      <c r="AO65" s="228">
        <v>290.95999999999998</v>
      </c>
      <c r="AP65" s="228">
        <v>291.7</v>
      </c>
      <c r="AQ65" s="228">
        <v>0</v>
      </c>
      <c r="AR65" s="230">
        <v>19315000</v>
      </c>
      <c r="AS65" s="230">
        <v>17275000</v>
      </c>
      <c r="AT65" s="230">
        <v>2040000</v>
      </c>
      <c r="AU65" s="229">
        <v>0.1181</v>
      </c>
      <c r="AV65" s="230">
        <v>16280000</v>
      </c>
      <c r="AW65" s="230">
        <v>13685000</v>
      </c>
      <c r="AX65" s="230">
        <v>2595000</v>
      </c>
      <c r="AY65" s="229">
        <v>0.18959999999999999</v>
      </c>
      <c r="AZ65" s="230">
        <v>2730000</v>
      </c>
      <c r="BA65" s="230">
        <v>3370000</v>
      </c>
      <c r="BB65" s="230">
        <v>-640000</v>
      </c>
      <c r="BC65" s="229">
        <v>-0.18990000000000001</v>
      </c>
      <c r="BD65" s="230">
        <v>305000</v>
      </c>
      <c r="BE65" s="230">
        <v>220000</v>
      </c>
      <c r="BF65" s="230">
        <v>85000</v>
      </c>
      <c r="BG65" s="229">
        <v>0.38640000000000002</v>
      </c>
      <c r="BH65" s="230">
        <v>67255000</v>
      </c>
      <c r="BI65" s="230">
        <v>58290000</v>
      </c>
      <c r="BJ65" s="230">
        <v>8965000</v>
      </c>
      <c r="BK65" s="229">
        <v>0.15379999999999999</v>
      </c>
      <c r="BL65" s="230">
        <v>37180000</v>
      </c>
      <c r="BM65" s="230">
        <v>30495000</v>
      </c>
      <c r="BN65" s="230">
        <v>6685000</v>
      </c>
      <c r="BO65" s="229">
        <v>0.21920000000000001</v>
      </c>
      <c r="BP65" s="230">
        <v>123750000</v>
      </c>
      <c r="BQ65" s="230">
        <v>106060000</v>
      </c>
      <c r="BR65" s="230">
        <v>17690000</v>
      </c>
      <c r="BS65" s="229">
        <v>0.1668</v>
      </c>
      <c r="BT65" s="230">
        <v>9698418</v>
      </c>
      <c r="BU65" s="230">
        <v>11165290</v>
      </c>
      <c r="BV65" s="230">
        <v>-1466872</v>
      </c>
      <c r="BW65" s="229">
        <v>-0.13139999999999999</v>
      </c>
      <c r="BX65" s="230">
        <v>80455000</v>
      </c>
      <c r="BY65" s="230">
        <v>82000000</v>
      </c>
      <c r="BZ65" s="230">
        <v>-1545000</v>
      </c>
      <c r="CA65" s="229">
        <v>-1.8800000000000001E-2</v>
      </c>
      <c r="CB65" s="230">
        <v>73865000</v>
      </c>
      <c r="CC65" s="230">
        <v>75835000</v>
      </c>
      <c r="CD65" s="230">
        <v>-1970000</v>
      </c>
      <c r="CE65" s="229">
        <v>-2.5999999999999999E-2</v>
      </c>
      <c r="CF65" s="230">
        <v>6040000</v>
      </c>
      <c r="CG65" s="230">
        <v>5585000</v>
      </c>
      <c r="CH65" s="230">
        <v>455000</v>
      </c>
      <c r="CI65" s="229">
        <v>8.1500000000000003E-2</v>
      </c>
      <c r="CJ65" s="230">
        <v>550000</v>
      </c>
      <c r="CK65" s="230">
        <v>580000</v>
      </c>
      <c r="CL65" s="230">
        <v>-30000</v>
      </c>
      <c r="CM65" s="229">
        <v>-5.1700000000000003E-2</v>
      </c>
      <c r="CN65" s="230">
        <v>36580000</v>
      </c>
      <c r="CO65" s="230">
        <v>40390000</v>
      </c>
      <c r="CP65" s="230">
        <v>-3810000</v>
      </c>
      <c r="CQ65" s="229">
        <v>-9.4299999999999995E-2</v>
      </c>
      <c r="CR65" s="230">
        <v>30710000</v>
      </c>
      <c r="CS65" s="230">
        <v>27795000</v>
      </c>
      <c r="CT65" s="230">
        <v>2915000</v>
      </c>
      <c r="CU65" s="229">
        <v>0.10489999999999999</v>
      </c>
      <c r="CV65" s="230">
        <v>147745000</v>
      </c>
      <c r="CW65" s="230">
        <v>150185000</v>
      </c>
      <c r="CX65" s="230">
        <v>-2440000</v>
      </c>
      <c r="CY65" s="229">
        <v>-1.6199999999999999E-2</v>
      </c>
      <c r="CZ65" s="228">
        <v>30.25</v>
      </c>
      <c r="DA65" s="228">
        <v>33.24</v>
      </c>
      <c r="DB65" s="228">
        <v>-2.99</v>
      </c>
      <c r="DC65" s="228">
        <v>-2.99</v>
      </c>
      <c r="DD65" s="228">
        <v>32.409999999999997</v>
      </c>
      <c r="DE65" s="228">
        <v>32.19</v>
      </c>
      <c r="DF65" s="228">
        <v>-2.16</v>
      </c>
      <c r="DG65" s="228">
        <v>0.22</v>
      </c>
      <c r="DH65" s="228">
        <v>28.39</v>
      </c>
      <c r="DI65" s="228">
        <v>32.58</v>
      </c>
      <c r="DJ65" s="228">
        <v>-4.1900000000000004</v>
      </c>
      <c r="DK65" s="228">
        <v>-4.1900000000000004</v>
      </c>
      <c r="DL65" s="228">
        <v>33.6</v>
      </c>
      <c r="DM65" s="228">
        <v>34.49</v>
      </c>
      <c r="DN65" s="228">
        <v>-0.89</v>
      </c>
      <c r="DO65" s="228">
        <v>-0.89</v>
      </c>
      <c r="DP65" s="228">
        <v>0.84</v>
      </c>
      <c r="DQ65" s="228">
        <v>0.69</v>
      </c>
      <c r="DR65" s="228">
        <v>0.15</v>
      </c>
      <c r="DS65" s="229">
        <v>0.21740000000000001</v>
      </c>
      <c r="DT65" s="228">
        <v>305</v>
      </c>
      <c r="DU65" s="228">
        <v>280</v>
      </c>
      <c r="DV65" s="228">
        <v>0.55000000000000004</v>
      </c>
      <c r="DW65" s="228">
        <v>0.52</v>
      </c>
      <c r="DX65" s="228">
        <v>0.03</v>
      </c>
      <c r="DY65" s="229">
        <v>5.7700000000000001E-2</v>
      </c>
      <c r="DZ65" s="229">
        <v>8.1900000000000001E-2</v>
      </c>
      <c r="EA65" s="230">
        <v>6165000</v>
      </c>
      <c r="EB65" s="229">
        <v>5.1000000000000004E-3</v>
      </c>
      <c r="EC65" s="229">
        <v>8.1900000000000001E-2</v>
      </c>
      <c r="ED65" s="228">
        <v>0.74</v>
      </c>
      <c r="EE65" s="229">
        <v>2.5000000000000001E-3</v>
      </c>
      <c r="EF65" s="230">
        <v>5726696</v>
      </c>
      <c r="EG65" s="230">
        <v>6434214</v>
      </c>
      <c r="EH65" s="229">
        <v>-0.11</v>
      </c>
      <c r="EI65" s="229">
        <v>0.59050000000000002</v>
      </c>
      <c r="EJ65" s="231">
        <v>203210.72</v>
      </c>
      <c r="EK65" s="231">
        <v>104645.13</v>
      </c>
      <c r="EL65" s="231">
        <v>56225.1</v>
      </c>
      <c r="EM65" s="231">
        <v>3437</v>
      </c>
      <c r="EN65" s="231">
        <v>364080.95</v>
      </c>
      <c r="EO65" s="231">
        <v>310686.87</v>
      </c>
      <c r="EP65" s="231">
        <v>53394.080000000002</v>
      </c>
      <c r="EQ65" s="229">
        <v>0.1719</v>
      </c>
      <c r="ER65" s="231">
        <v>107640</v>
      </c>
      <c r="ES65" s="231">
        <v>83141</v>
      </c>
      <c r="ET65" s="231">
        <v>236322</v>
      </c>
      <c r="EU65" s="231">
        <v>359450597</v>
      </c>
      <c r="EV65" s="231">
        <v>427102</v>
      </c>
      <c r="EW65" s="231">
        <v>427281</v>
      </c>
      <c r="EX65" s="228">
        <v>-179</v>
      </c>
      <c r="EY65" s="229">
        <v>-4.0000000000000002E-4</v>
      </c>
      <c r="EZ65" s="229">
        <v>0.41099999999999998</v>
      </c>
      <c r="FA65" s="227" t="s">
        <v>693</v>
      </c>
      <c r="FB65" s="161">
        <f t="shared" si="0"/>
        <v>6590000</v>
      </c>
    </row>
    <row r="66" spans="1:158" ht="17.25" thickBot="1" x14ac:dyDescent="0.3">
      <c r="A66" s="226">
        <v>46129</v>
      </c>
      <c r="B66" s="227" t="s">
        <v>181</v>
      </c>
      <c r="C66" s="227" t="s">
        <v>480</v>
      </c>
      <c r="D66" s="228">
        <v>60</v>
      </c>
      <c r="E66" s="231">
        <v>26566.3</v>
      </c>
      <c r="F66" s="231">
        <v>26392.2</v>
      </c>
      <c r="G66" s="228">
        <v>174.1</v>
      </c>
      <c r="H66" s="229">
        <v>6.6E-3</v>
      </c>
      <c r="I66" s="231">
        <v>26521.25</v>
      </c>
      <c r="J66" s="231">
        <v>26343.55</v>
      </c>
      <c r="K66" s="228">
        <v>177.7</v>
      </c>
      <c r="L66" s="229">
        <v>6.7000000000000002E-3</v>
      </c>
      <c r="M66" s="231">
        <v>26566.3</v>
      </c>
      <c r="N66" s="231">
        <v>26392.2</v>
      </c>
      <c r="O66" s="228">
        <v>174.1</v>
      </c>
      <c r="P66" s="229">
        <v>6.6E-3</v>
      </c>
      <c r="Q66" s="231">
        <v>26707.1</v>
      </c>
      <c r="R66" s="231">
        <v>26583.3</v>
      </c>
      <c r="S66" s="228">
        <v>123.8</v>
      </c>
      <c r="T66" s="229">
        <v>4.7000000000000002E-3</v>
      </c>
      <c r="U66" s="228">
        <v>0</v>
      </c>
      <c r="V66" s="228">
        <v>0</v>
      </c>
      <c r="W66" s="228">
        <v>0</v>
      </c>
      <c r="X66" s="229">
        <v>0</v>
      </c>
      <c r="Y66" s="228">
        <v>45.05</v>
      </c>
      <c r="Z66" s="228">
        <v>48.65</v>
      </c>
      <c r="AA66" s="228">
        <v>-3.6</v>
      </c>
      <c r="AB66" s="229">
        <v>1.6999999999999999E-3</v>
      </c>
      <c r="AC66" s="228">
        <v>45.05</v>
      </c>
      <c r="AD66" s="228">
        <v>48.65</v>
      </c>
      <c r="AE66" s="228">
        <v>-3.6</v>
      </c>
      <c r="AF66" s="229">
        <v>1.6999999999999999E-3</v>
      </c>
      <c r="AG66" s="228">
        <v>185.85</v>
      </c>
      <c r="AH66" s="228">
        <v>239.75</v>
      </c>
      <c r="AI66" s="228">
        <v>-53.9</v>
      </c>
      <c r="AJ66" s="229">
        <v>7.0000000000000001E-3</v>
      </c>
      <c r="AK66" s="228">
        <v>0</v>
      </c>
      <c r="AL66" s="228">
        <v>0</v>
      </c>
      <c r="AM66" s="228">
        <v>0</v>
      </c>
      <c r="AN66" s="229">
        <v>0</v>
      </c>
      <c r="AO66" s="231">
        <v>26477.07</v>
      </c>
      <c r="AP66" s="231">
        <v>26651.08</v>
      </c>
      <c r="AQ66" s="228">
        <v>0</v>
      </c>
      <c r="AR66" s="230">
        <v>13200</v>
      </c>
      <c r="AS66" s="230">
        <v>11100</v>
      </c>
      <c r="AT66" s="230">
        <v>2100</v>
      </c>
      <c r="AU66" s="229">
        <v>0.18920000000000001</v>
      </c>
      <c r="AV66" s="230">
        <v>11340</v>
      </c>
      <c r="AW66" s="230">
        <v>10080</v>
      </c>
      <c r="AX66" s="230">
        <v>1260</v>
      </c>
      <c r="AY66" s="229">
        <v>0.125</v>
      </c>
      <c r="AZ66" s="230">
        <v>1860</v>
      </c>
      <c r="BA66" s="230">
        <v>1020</v>
      </c>
      <c r="BB66" s="228">
        <v>840</v>
      </c>
      <c r="BC66" s="229">
        <v>0.82350000000000001</v>
      </c>
      <c r="BD66" s="228">
        <v>0</v>
      </c>
      <c r="BE66" s="228">
        <v>0</v>
      </c>
      <c r="BF66" s="228">
        <v>0</v>
      </c>
      <c r="BG66" s="229">
        <v>0</v>
      </c>
      <c r="BH66" s="230">
        <v>612900</v>
      </c>
      <c r="BI66" s="230">
        <v>628680</v>
      </c>
      <c r="BJ66" s="230">
        <v>-15780</v>
      </c>
      <c r="BK66" s="229">
        <v>-2.5100000000000001E-2</v>
      </c>
      <c r="BL66" s="230">
        <v>305400</v>
      </c>
      <c r="BM66" s="230">
        <v>473220</v>
      </c>
      <c r="BN66" s="230">
        <v>-167820</v>
      </c>
      <c r="BO66" s="229">
        <v>-0.35460000000000003</v>
      </c>
      <c r="BP66" s="230">
        <v>931500</v>
      </c>
      <c r="BQ66" s="230">
        <v>1113000</v>
      </c>
      <c r="BR66" s="230">
        <v>-181500</v>
      </c>
      <c r="BS66" s="229">
        <v>-0.16309999999999999</v>
      </c>
      <c r="BT66" s="228">
        <v>0</v>
      </c>
      <c r="BU66" s="228">
        <v>0</v>
      </c>
      <c r="BV66" s="228">
        <v>0</v>
      </c>
      <c r="BW66" s="229">
        <v>0</v>
      </c>
      <c r="BX66" s="230">
        <v>28920</v>
      </c>
      <c r="BY66" s="230">
        <v>26940</v>
      </c>
      <c r="BZ66" s="230">
        <v>1980</v>
      </c>
      <c r="CA66" s="229">
        <v>7.3499999999999996E-2</v>
      </c>
      <c r="CB66" s="230">
        <v>26460</v>
      </c>
      <c r="CC66" s="230">
        <v>24840</v>
      </c>
      <c r="CD66" s="230">
        <v>1620</v>
      </c>
      <c r="CE66" s="229">
        <v>6.5199999999999994E-2</v>
      </c>
      <c r="CF66" s="230">
        <v>2460</v>
      </c>
      <c r="CG66" s="230">
        <v>2100</v>
      </c>
      <c r="CH66" s="228">
        <v>360</v>
      </c>
      <c r="CI66" s="229">
        <v>0.1714</v>
      </c>
      <c r="CJ66" s="228">
        <v>0</v>
      </c>
      <c r="CK66" s="228">
        <v>0</v>
      </c>
      <c r="CL66" s="228">
        <v>0</v>
      </c>
      <c r="CM66" s="229">
        <v>0</v>
      </c>
      <c r="CN66" s="230">
        <v>395100</v>
      </c>
      <c r="CO66" s="230">
        <v>399240</v>
      </c>
      <c r="CP66" s="230">
        <v>-4140</v>
      </c>
      <c r="CQ66" s="229">
        <v>-1.04E-2</v>
      </c>
      <c r="CR66" s="230">
        <v>268020</v>
      </c>
      <c r="CS66" s="230">
        <v>279840</v>
      </c>
      <c r="CT66" s="230">
        <v>-11820</v>
      </c>
      <c r="CU66" s="229">
        <v>-4.2200000000000001E-2</v>
      </c>
      <c r="CV66" s="230">
        <v>692040</v>
      </c>
      <c r="CW66" s="230">
        <v>706020</v>
      </c>
      <c r="CX66" s="230">
        <v>-13980</v>
      </c>
      <c r="CY66" s="229">
        <v>-1.9800000000000002E-2</v>
      </c>
      <c r="CZ66" s="228">
        <v>21.34</v>
      </c>
      <c r="DA66" s="228">
        <v>23.02</v>
      </c>
      <c r="DB66" s="228">
        <v>-1.68</v>
      </c>
      <c r="DC66" s="228">
        <v>-1.68</v>
      </c>
      <c r="DD66" s="228">
        <v>21.76</v>
      </c>
      <c r="DE66" s="228">
        <v>21.8</v>
      </c>
      <c r="DF66" s="228">
        <v>-0.42</v>
      </c>
      <c r="DG66" s="228">
        <v>-0.04</v>
      </c>
      <c r="DH66" s="228">
        <v>19.96</v>
      </c>
      <c r="DI66" s="228">
        <v>20.93</v>
      </c>
      <c r="DJ66" s="228">
        <v>-0.97</v>
      </c>
      <c r="DK66" s="228">
        <v>-0.97</v>
      </c>
      <c r="DL66" s="228">
        <v>24.12</v>
      </c>
      <c r="DM66" s="228">
        <v>25.8</v>
      </c>
      <c r="DN66" s="228">
        <v>-1.68</v>
      </c>
      <c r="DO66" s="228">
        <v>-1.68</v>
      </c>
      <c r="DP66" s="228">
        <v>0.68</v>
      </c>
      <c r="DQ66" s="228">
        <v>0.7</v>
      </c>
      <c r="DR66" s="228">
        <v>-0.02</v>
      </c>
      <c r="DS66" s="229">
        <v>-2.86E-2</v>
      </c>
      <c r="DT66" s="231">
        <v>28500</v>
      </c>
      <c r="DU66" s="231">
        <v>24000</v>
      </c>
      <c r="DV66" s="228">
        <v>0.5</v>
      </c>
      <c r="DW66" s="228">
        <v>0.75</v>
      </c>
      <c r="DX66" s="228">
        <v>-0.25</v>
      </c>
      <c r="DY66" s="229">
        <v>-0.33329999999999999</v>
      </c>
      <c r="DZ66" s="229">
        <v>8.5099999999999995E-2</v>
      </c>
      <c r="EA66" s="230">
        <v>2100</v>
      </c>
      <c r="EB66" s="229">
        <v>5.3E-3</v>
      </c>
      <c r="EC66" s="229">
        <v>8.5099999999999995E-2</v>
      </c>
      <c r="ED66" s="228">
        <v>174.01</v>
      </c>
      <c r="EE66" s="229">
        <v>6.6E-3</v>
      </c>
      <c r="EF66" s="228">
        <v>0</v>
      </c>
      <c r="EG66" s="228">
        <v>0</v>
      </c>
      <c r="EH66" s="229">
        <v>0</v>
      </c>
      <c r="EI66" s="229">
        <v>0</v>
      </c>
      <c r="EJ66" s="231">
        <v>167654.37</v>
      </c>
      <c r="EK66" s="231">
        <v>77943.899999999994</v>
      </c>
      <c r="EL66" s="231">
        <v>3498.21</v>
      </c>
      <c r="EM66" s="228">
        <v>0</v>
      </c>
      <c r="EN66" s="231">
        <v>249096.48</v>
      </c>
      <c r="EO66" s="231">
        <v>295485.32</v>
      </c>
      <c r="EP66" s="231">
        <v>-46388.84</v>
      </c>
      <c r="EQ66" s="229">
        <v>-0.157</v>
      </c>
      <c r="ER66" s="231">
        <v>108371</v>
      </c>
      <c r="ES66" s="231">
        <v>65340</v>
      </c>
      <c r="ET66" s="231">
        <v>7686</v>
      </c>
      <c r="EU66" s="228">
        <v>0</v>
      </c>
      <c r="EV66" s="231">
        <v>181398</v>
      </c>
      <c r="EW66" s="231">
        <v>184080</v>
      </c>
      <c r="EX66" s="231">
        <v>-2682</v>
      </c>
      <c r="EY66" s="229">
        <v>-1.46E-2</v>
      </c>
      <c r="EZ66" s="229">
        <v>0</v>
      </c>
      <c r="FA66" s="227" t="s">
        <v>555</v>
      </c>
      <c r="FB66" s="161">
        <f t="shared" si="0"/>
        <v>2460</v>
      </c>
    </row>
    <row r="67" spans="1:158" ht="17.25" thickBot="1" x14ac:dyDescent="0.3">
      <c r="A67" s="226">
        <v>46129</v>
      </c>
      <c r="B67" s="227" t="s">
        <v>162</v>
      </c>
      <c r="C67" s="227" t="s">
        <v>700</v>
      </c>
      <c r="D67" s="228">
        <v>25</v>
      </c>
      <c r="E67" s="231">
        <v>22371</v>
      </c>
      <c r="F67" s="231">
        <v>22574</v>
      </c>
      <c r="G67" s="228">
        <v>-203</v>
      </c>
      <c r="H67" s="229">
        <v>-8.9999999999999993E-3</v>
      </c>
      <c r="I67" s="231">
        <v>22378</v>
      </c>
      <c r="J67" s="231">
        <v>22538</v>
      </c>
      <c r="K67" s="228">
        <v>-160</v>
      </c>
      <c r="L67" s="229">
        <v>-7.1000000000000004E-3</v>
      </c>
      <c r="M67" s="231">
        <v>22371</v>
      </c>
      <c r="N67" s="231">
        <v>22574</v>
      </c>
      <c r="O67" s="228">
        <v>-203</v>
      </c>
      <c r="P67" s="229">
        <v>-8.9999999999999993E-3</v>
      </c>
      <c r="Q67" s="231">
        <v>22257</v>
      </c>
      <c r="R67" s="231">
        <v>22480</v>
      </c>
      <c r="S67" s="228">
        <v>-223</v>
      </c>
      <c r="T67" s="229">
        <v>-9.9000000000000008E-3</v>
      </c>
      <c r="U67" s="231">
        <v>22250</v>
      </c>
      <c r="V67" s="231">
        <v>22466</v>
      </c>
      <c r="W67" s="228">
        <v>-216</v>
      </c>
      <c r="X67" s="229">
        <v>-9.5999999999999992E-3</v>
      </c>
      <c r="Y67" s="228">
        <v>-7</v>
      </c>
      <c r="Z67" s="228">
        <v>36</v>
      </c>
      <c r="AA67" s="228">
        <v>-43</v>
      </c>
      <c r="AB67" s="229">
        <v>-2.9999999999999997E-4</v>
      </c>
      <c r="AC67" s="228">
        <v>-7</v>
      </c>
      <c r="AD67" s="228">
        <v>36</v>
      </c>
      <c r="AE67" s="228">
        <v>-43</v>
      </c>
      <c r="AF67" s="229">
        <v>-2.9999999999999997E-4</v>
      </c>
      <c r="AG67" s="228">
        <v>-121</v>
      </c>
      <c r="AH67" s="228">
        <v>-58</v>
      </c>
      <c r="AI67" s="228">
        <v>-63</v>
      </c>
      <c r="AJ67" s="229">
        <v>-5.4000000000000003E-3</v>
      </c>
      <c r="AK67" s="228">
        <v>-128</v>
      </c>
      <c r="AL67" s="228">
        <v>-72</v>
      </c>
      <c r="AM67" s="228">
        <v>-56</v>
      </c>
      <c r="AN67" s="229">
        <v>-5.7000000000000002E-3</v>
      </c>
      <c r="AO67" s="231">
        <v>22459.57</v>
      </c>
      <c r="AP67" s="231">
        <v>22311.62</v>
      </c>
      <c r="AQ67" s="228">
        <v>0</v>
      </c>
      <c r="AR67" s="230">
        <v>33900</v>
      </c>
      <c r="AS67" s="230">
        <v>55450</v>
      </c>
      <c r="AT67" s="230">
        <v>-21550</v>
      </c>
      <c r="AU67" s="229">
        <v>-0.3886</v>
      </c>
      <c r="AV67" s="230">
        <v>24425</v>
      </c>
      <c r="AW67" s="230">
        <v>41050</v>
      </c>
      <c r="AX67" s="230">
        <v>-16625</v>
      </c>
      <c r="AY67" s="229">
        <v>-0.40500000000000003</v>
      </c>
      <c r="AZ67" s="230">
        <v>9425</v>
      </c>
      <c r="BA67" s="230">
        <v>14250</v>
      </c>
      <c r="BB67" s="230">
        <v>-4825</v>
      </c>
      <c r="BC67" s="229">
        <v>-0.33860000000000001</v>
      </c>
      <c r="BD67" s="228">
        <v>50</v>
      </c>
      <c r="BE67" s="228">
        <v>150</v>
      </c>
      <c r="BF67" s="228">
        <v>-100</v>
      </c>
      <c r="BG67" s="229">
        <v>-0.66669999999999996</v>
      </c>
      <c r="BH67" s="230">
        <v>53275</v>
      </c>
      <c r="BI67" s="230">
        <v>155575</v>
      </c>
      <c r="BJ67" s="230">
        <v>-102300</v>
      </c>
      <c r="BK67" s="229">
        <v>-0.65759999999999996</v>
      </c>
      <c r="BL67" s="230">
        <v>12550</v>
      </c>
      <c r="BM67" s="230">
        <v>25025</v>
      </c>
      <c r="BN67" s="230">
        <v>-12475</v>
      </c>
      <c r="BO67" s="229">
        <v>-0.4985</v>
      </c>
      <c r="BP67" s="230">
        <v>99725</v>
      </c>
      <c r="BQ67" s="230">
        <v>236050</v>
      </c>
      <c r="BR67" s="230">
        <v>-136325</v>
      </c>
      <c r="BS67" s="229">
        <v>-0.57750000000000001</v>
      </c>
      <c r="BT67" s="230">
        <v>101433</v>
      </c>
      <c r="BU67" s="230">
        <v>142823</v>
      </c>
      <c r="BV67" s="230">
        <v>-41390</v>
      </c>
      <c r="BW67" s="229">
        <v>-0.2898</v>
      </c>
      <c r="BX67" s="230">
        <v>131550</v>
      </c>
      <c r="BY67" s="230">
        <v>120025</v>
      </c>
      <c r="BZ67" s="230">
        <v>11525</v>
      </c>
      <c r="CA67" s="229">
        <v>9.6000000000000002E-2</v>
      </c>
      <c r="CB67" s="230">
        <v>98425</v>
      </c>
      <c r="CC67" s="230">
        <v>92275</v>
      </c>
      <c r="CD67" s="230">
        <v>6150</v>
      </c>
      <c r="CE67" s="229">
        <v>6.6600000000000006E-2</v>
      </c>
      <c r="CF67" s="230">
        <v>31750</v>
      </c>
      <c r="CG67" s="230">
        <v>26375</v>
      </c>
      <c r="CH67" s="230">
        <v>5375</v>
      </c>
      <c r="CI67" s="229">
        <v>0.20380000000000001</v>
      </c>
      <c r="CJ67" s="230">
        <v>1375</v>
      </c>
      <c r="CK67" s="230">
        <v>1375</v>
      </c>
      <c r="CL67" s="228">
        <v>0</v>
      </c>
      <c r="CM67" s="229">
        <v>0</v>
      </c>
      <c r="CN67" s="230">
        <v>78550</v>
      </c>
      <c r="CO67" s="230">
        <v>73375</v>
      </c>
      <c r="CP67" s="230">
        <v>5175</v>
      </c>
      <c r="CQ67" s="229">
        <v>7.0499999999999993E-2</v>
      </c>
      <c r="CR67" s="230">
        <v>26400</v>
      </c>
      <c r="CS67" s="230">
        <v>26400</v>
      </c>
      <c r="CT67" s="228">
        <v>0</v>
      </c>
      <c r="CU67" s="229">
        <v>0</v>
      </c>
      <c r="CV67" s="230">
        <v>236500</v>
      </c>
      <c r="CW67" s="230">
        <v>219800</v>
      </c>
      <c r="CX67" s="230">
        <v>16700</v>
      </c>
      <c r="CY67" s="229">
        <v>7.5999999999999998E-2</v>
      </c>
      <c r="CZ67" s="228">
        <v>60.87</v>
      </c>
      <c r="DA67" s="228">
        <v>59.79</v>
      </c>
      <c r="DB67" s="228">
        <v>1.08</v>
      </c>
      <c r="DC67" s="228">
        <v>1.08</v>
      </c>
      <c r="DD67" s="228">
        <v>65.760000000000005</v>
      </c>
      <c r="DE67" s="228">
        <v>65.91</v>
      </c>
      <c r="DF67" s="228">
        <v>-4.8899999999999997</v>
      </c>
      <c r="DG67" s="228">
        <v>-0.15</v>
      </c>
      <c r="DH67" s="228">
        <v>60.25</v>
      </c>
      <c r="DI67" s="228">
        <v>59.36</v>
      </c>
      <c r="DJ67" s="228">
        <v>0.89</v>
      </c>
      <c r="DK67" s="228">
        <v>0.89</v>
      </c>
      <c r="DL67" s="228">
        <v>63.53</v>
      </c>
      <c r="DM67" s="228">
        <v>62.5</v>
      </c>
      <c r="DN67" s="228">
        <v>1.03</v>
      </c>
      <c r="DO67" s="228">
        <v>1.03</v>
      </c>
      <c r="DP67" s="228">
        <v>0.34</v>
      </c>
      <c r="DQ67" s="228">
        <v>0.36</v>
      </c>
      <c r="DR67" s="228">
        <v>-0.02</v>
      </c>
      <c r="DS67" s="229">
        <v>-5.5599999999999997E-2</v>
      </c>
      <c r="DT67" s="231">
        <v>25000</v>
      </c>
      <c r="DU67" s="231">
        <v>22000</v>
      </c>
      <c r="DV67" s="228">
        <v>0.24</v>
      </c>
      <c r="DW67" s="228">
        <v>0.16</v>
      </c>
      <c r="DX67" s="228">
        <v>0.08</v>
      </c>
      <c r="DY67" s="229">
        <v>0.5</v>
      </c>
      <c r="DZ67" s="229">
        <v>0.25180000000000002</v>
      </c>
      <c r="EA67" s="230">
        <v>27750</v>
      </c>
      <c r="EB67" s="229">
        <v>-5.1000000000000004E-3</v>
      </c>
      <c r="EC67" s="229">
        <v>0.25180000000000002</v>
      </c>
      <c r="ED67" s="228">
        <v>-147.94999999999999</v>
      </c>
      <c r="EE67" s="229">
        <v>-6.6E-3</v>
      </c>
      <c r="EF67" s="230">
        <v>30354</v>
      </c>
      <c r="EG67" s="230">
        <v>26618</v>
      </c>
      <c r="EH67" s="229">
        <v>0.1404</v>
      </c>
      <c r="EI67" s="229">
        <v>0.29930000000000001</v>
      </c>
      <c r="EJ67" s="231">
        <v>13039.42</v>
      </c>
      <c r="EK67" s="231">
        <v>2641.72</v>
      </c>
      <c r="EL67" s="231">
        <v>7599.81</v>
      </c>
      <c r="EM67" s="231">
        <v>2314</v>
      </c>
      <c r="EN67" s="231">
        <v>23280.95</v>
      </c>
      <c r="EO67" s="231">
        <v>56307.22</v>
      </c>
      <c r="EP67" s="231">
        <v>-33026.269999999997</v>
      </c>
      <c r="EQ67" s="229">
        <v>-0.58650000000000002</v>
      </c>
      <c r="ER67" s="231">
        <v>18551</v>
      </c>
      <c r="ES67" s="231">
        <v>5424</v>
      </c>
      <c r="ET67" s="231">
        <v>29391</v>
      </c>
      <c r="EU67" s="231">
        <v>736885</v>
      </c>
      <c r="EV67" s="231">
        <v>53367</v>
      </c>
      <c r="EW67" s="231">
        <v>49818</v>
      </c>
      <c r="EX67" s="231">
        <v>3549</v>
      </c>
      <c r="EY67" s="229">
        <v>7.1199999999999999E-2</v>
      </c>
      <c r="EZ67" s="229">
        <v>0.32090000000000002</v>
      </c>
      <c r="FA67" s="227" t="s">
        <v>566</v>
      </c>
      <c r="FB67" s="161">
        <f t="shared" ref="FB67:FB130" si="1">BX67-CB67</f>
        <v>33125</v>
      </c>
    </row>
    <row r="68" spans="1:158" ht="17.25" thickBot="1" x14ac:dyDescent="0.3">
      <c r="A68" s="226">
        <v>46129</v>
      </c>
      <c r="B68" s="227" t="s">
        <v>170</v>
      </c>
      <c r="C68" s="227" t="s">
        <v>675</v>
      </c>
      <c r="D68" s="228">
        <v>775</v>
      </c>
      <c r="E68" s="228">
        <v>890.9</v>
      </c>
      <c r="F68" s="228">
        <v>873.8</v>
      </c>
      <c r="G68" s="228">
        <v>17.100000000000001</v>
      </c>
      <c r="H68" s="229">
        <v>1.9599999999999999E-2</v>
      </c>
      <c r="I68" s="228">
        <v>890.2</v>
      </c>
      <c r="J68" s="228">
        <v>873.9</v>
      </c>
      <c r="K68" s="228">
        <v>16.3</v>
      </c>
      <c r="L68" s="229">
        <v>1.8700000000000001E-2</v>
      </c>
      <c r="M68" s="228">
        <v>890.9</v>
      </c>
      <c r="N68" s="228">
        <v>873.8</v>
      </c>
      <c r="O68" s="228">
        <v>17.100000000000001</v>
      </c>
      <c r="P68" s="229">
        <v>1.9599999999999999E-2</v>
      </c>
      <c r="Q68" s="228">
        <v>896.1</v>
      </c>
      <c r="R68" s="228">
        <v>878.8</v>
      </c>
      <c r="S68" s="228">
        <v>17.3</v>
      </c>
      <c r="T68" s="229">
        <v>1.9699999999999999E-2</v>
      </c>
      <c r="U68" s="228">
        <v>901.15</v>
      </c>
      <c r="V68" s="228">
        <v>884.2</v>
      </c>
      <c r="W68" s="228">
        <v>16.95</v>
      </c>
      <c r="X68" s="229">
        <v>1.9199999999999998E-2</v>
      </c>
      <c r="Y68" s="228">
        <v>0.7</v>
      </c>
      <c r="Z68" s="228">
        <v>-0.1</v>
      </c>
      <c r="AA68" s="228">
        <v>0.8</v>
      </c>
      <c r="AB68" s="229">
        <v>8.0000000000000004E-4</v>
      </c>
      <c r="AC68" s="228">
        <v>0.7</v>
      </c>
      <c r="AD68" s="228">
        <v>-0.1</v>
      </c>
      <c r="AE68" s="228">
        <v>0.8</v>
      </c>
      <c r="AF68" s="229">
        <v>8.0000000000000004E-4</v>
      </c>
      <c r="AG68" s="228">
        <v>5.9</v>
      </c>
      <c r="AH68" s="228">
        <v>4.9000000000000004</v>
      </c>
      <c r="AI68" s="228">
        <v>1</v>
      </c>
      <c r="AJ68" s="229">
        <v>6.6E-3</v>
      </c>
      <c r="AK68" s="228">
        <v>10.95</v>
      </c>
      <c r="AL68" s="228">
        <v>10.3</v>
      </c>
      <c r="AM68" s="228">
        <v>0.65</v>
      </c>
      <c r="AN68" s="229">
        <v>1.23E-2</v>
      </c>
      <c r="AO68" s="228">
        <v>890.13</v>
      </c>
      <c r="AP68" s="228">
        <v>896.89</v>
      </c>
      <c r="AQ68" s="228">
        <v>0</v>
      </c>
      <c r="AR68" s="230">
        <v>1884025</v>
      </c>
      <c r="AS68" s="230">
        <v>3447975</v>
      </c>
      <c r="AT68" s="230">
        <v>-1563950</v>
      </c>
      <c r="AU68" s="229">
        <v>-0.4536</v>
      </c>
      <c r="AV68" s="230">
        <v>1617425</v>
      </c>
      <c r="AW68" s="230">
        <v>2510225</v>
      </c>
      <c r="AX68" s="230">
        <v>-892800</v>
      </c>
      <c r="AY68" s="229">
        <v>-0.35570000000000002</v>
      </c>
      <c r="AZ68" s="230">
        <v>223200</v>
      </c>
      <c r="BA68" s="230">
        <v>157325</v>
      </c>
      <c r="BB68" s="230">
        <v>65875</v>
      </c>
      <c r="BC68" s="229">
        <v>0.41870000000000002</v>
      </c>
      <c r="BD68" s="230">
        <v>43400</v>
      </c>
      <c r="BE68" s="230">
        <v>780425</v>
      </c>
      <c r="BF68" s="230">
        <v>-737025</v>
      </c>
      <c r="BG68" s="229">
        <v>-0.94440000000000002</v>
      </c>
      <c r="BH68" s="230">
        <v>4605050</v>
      </c>
      <c r="BI68" s="230">
        <v>2434275</v>
      </c>
      <c r="BJ68" s="230">
        <v>2170775</v>
      </c>
      <c r="BK68" s="229">
        <v>0.89180000000000004</v>
      </c>
      <c r="BL68" s="230">
        <v>2103350</v>
      </c>
      <c r="BM68" s="230">
        <v>1173350</v>
      </c>
      <c r="BN68" s="230">
        <v>930000</v>
      </c>
      <c r="BO68" s="229">
        <v>0.79259999999999997</v>
      </c>
      <c r="BP68" s="230">
        <v>8592425</v>
      </c>
      <c r="BQ68" s="230">
        <v>7055600</v>
      </c>
      <c r="BR68" s="230">
        <v>1536825</v>
      </c>
      <c r="BS68" s="229">
        <v>0.21779999999999999</v>
      </c>
      <c r="BT68" s="230">
        <v>928662</v>
      </c>
      <c r="BU68" s="230">
        <v>1609962</v>
      </c>
      <c r="BV68" s="230">
        <v>-681300</v>
      </c>
      <c r="BW68" s="229">
        <v>-0.42320000000000002</v>
      </c>
      <c r="BX68" s="230">
        <v>11120475</v>
      </c>
      <c r="BY68" s="230">
        <v>11093350</v>
      </c>
      <c r="BZ68" s="230">
        <v>27125</v>
      </c>
      <c r="CA68" s="229">
        <v>2.3999999999999998E-3</v>
      </c>
      <c r="CB68" s="230">
        <v>10041675</v>
      </c>
      <c r="CC68" s="230">
        <v>10093600</v>
      </c>
      <c r="CD68" s="230">
        <v>-51925</v>
      </c>
      <c r="CE68" s="229">
        <v>-5.1000000000000004E-3</v>
      </c>
      <c r="CF68" s="230">
        <v>274350</v>
      </c>
      <c r="CG68" s="230">
        <v>205375</v>
      </c>
      <c r="CH68" s="230">
        <v>68975</v>
      </c>
      <c r="CI68" s="229">
        <v>0.33579999999999999</v>
      </c>
      <c r="CJ68" s="230">
        <v>804450</v>
      </c>
      <c r="CK68" s="230">
        <v>794375</v>
      </c>
      <c r="CL68" s="230">
        <v>10075</v>
      </c>
      <c r="CM68" s="229">
        <v>1.2699999999999999E-2</v>
      </c>
      <c r="CN68" s="230">
        <v>2492400</v>
      </c>
      <c r="CO68" s="230">
        <v>2364525</v>
      </c>
      <c r="CP68" s="230">
        <v>127875</v>
      </c>
      <c r="CQ68" s="229">
        <v>5.4100000000000002E-2</v>
      </c>
      <c r="CR68" s="230">
        <v>1582550</v>
      </c>
      <c r="CS68" s="230">
        <v>1649200</v>
      </c>
      <c r="CT68" s="230">
        <v>-66650</v>
      </c>
      <c r="CU68" s="229">
        <v>-4.0399999999999998E-2</v>
      </c>
      <c r="CV68" s="230">
        <v>15195425</v>
      </c>
      <c r="CW68" s="230">
        <v>15107075</v>
      </c>
      <c r="CX68" s="230">
        <v>88350</v>
      </c>
      <c r="CY68" s="229">
        <v>5.7999999999999996E-3</v>
      </c>
      <c r="CZ68" s="228">
        <v>28.96</v>
      </c>
      <c r="DA68" s="228">
        <v>31.56</v>
      </c>
      <c r="DB68" s="228">
        <v>-2.6</v>
      </c>
      <c r="DC68" s="228">
        <v>-2.6</v>
      </c>
      <c r="DD68" s="228">
        <v>35.4</v>
      </c>
      <c r="DE68" s="228">
        <v>35.4</v>
      </c>
      <c r="DF68" s="228">
        <v>-6.44</v>
      </c>
      <c r="DG68" s="228">
        <v>0</v>
      </c>
      <c r="DH68" s="228">
        <v>27.64</v>
      </c>
      <c r="DI68" s="228">
        <v>30.7</v>
      </c>
      <c r="DJ68" s="228">
        <v>-3.06</v>
      </c>
      <c r="DK68" s="228">
        <v>-3.06</v>
      </c>
      <c r="DL68" s="228">
        <v>31.85</v>
      </c>
      <c r="DM68" s="228">
        <v>33.35</v>
      </c>
      <c r="DN68" s="228">
        <v>-1.5</v>
      </c>
      <c r="DO68" s="228">
        <v>-1.5</v>
      </c>
      <c r="DP68" s="228">
        <v>0.63</v>
      </c>
      <c r="DQ68" s="228">
        <v>0.7</v>
      </c>
      <c r="DR68" s="228">
        <v>-7.0000000000000007E-2</v>
      </c>
      <c r="DS68" s="229">
        <v>-0.1</v>
      </c>
      <c r="DT68" s="228">
        <v>940</v>
      </c>
      <c r="DU68" s="228">
        <v>850</v>
      </c>
      <c r="DV68" s="228">
        <v>0.46</v>
      </c>
      <c r="DW68" s="228">
        <v>0.48</v>
      </c>
      <c r="DX68" s="228">
        <v>-0.02</v>
      </c>
      <c r="DY68" s="229">
        <v>-4.1700000000000001E-2</v>
      </c>
      <c r="DZ68" s="229">
        <v>9.7000000000000003E-2</v>
      </c>
      <c r="EA68" s="230">
        <v>999750</v>
      </c>
      <c r="EB68" s="229">
        <v>5.7999999999999996E-3</v>
      </c>
      <c r="EC68" s="229">
        <v>9.7000000000000003E-2</v>
      </c>
      <c r="ED68" s="228">
        <v>6.76</v>
      </c>
      <c r="EE68" s="229">
        <v>7.6E-3</v>
      </c>
      <c r="EF68" s="230">
        <v>410282</v>
      </c>
      <c r="EG68" s="230">
        <v>859425</v>
      </c>
      <c r="EH68" s="229">
        <v>-0.52259999999999995</v>
      </c>
      <c r="EI68" s="229">
        <v>0.44180000000000003</v>
      </c>
      <c r="EJ68" s="231">
        <v>42250.22</v>
      </c>
      <c r="EK68" s="231">
        <v>18147.919999999998</v>
      </c>
      <c r="EL68" s="231">
        <v>16790.04</v>
      </c>
      <c r="EM68" s="231">
        <v>2390</v>
      </c>
      <c r="EN68" s="231">
        <v>77188.179999999993</v>
      </c>
      <c r="EO68" s="231">
        <v>62200.15</v>
      </c>
      <c r="EP68" s="231">
        <v>14988.03</v>
      </c>
      <c r="EQ68" s="229">
        <v>0.24099999999999999</v>
      </c>
      <c r="ER68" s="231">
        <v>22160</v>
      </c>
      <c r="ES68" s="231">
        <v>13177</v>
      </c>
      <c r="ET68" s="231">
        <v>99169</v>
      </c>
      <c r="EU68" s="231">
        <v>70894446</v>
      </c>
      <c r="EV68" s="231">
        <v>134506</v>
      </c>
      <c r="EW68" s="231">
        <v>131546</v>
      </c>
      <c r="EX68" s="231">
        <v>2960</v>
      </c>
      <c r="EY68" s="229">
        <v>2.2499999999999999E-2</v>
      </c>
      <c r="EZ68" s="229">
        <v>0.21429999999999999</v>
      </c>
      <c r="FA68" s="227" t="s">
        <v>555</v>
      </c>
      <c r="FB68" s="161">
        <f t="shared" si="1"/>
        <v>1078800</v>
      </c>
    </row>
    <row r="69" spans="1:158" ht="17.25" thickBot="1" x14ac:dyDescent="0.3">
      <c r="A69" s="226">
        <v>46129</v>
      </c>
      <c r="B69" s="227" t="s">
        <v>193</v>
      </c>
      <c r="C69" s="227" t="s">
        <v>213</v>
      </c>
      <c r="D69" s="228">
        <v>3150</v>
      </c>
      <c r="E69" s="228">
        <v>158.33000000000001</v>
      </c>
      <c r="F69" s="228">
        <v>158.97</v>
      </c>
      <c r="G69" s="228">
        <v>-0.64</v>
      </c>
      <c r="H69" s="229">
        <v>-4.0000000000000001E-3</v>
      </c>
      <c r="I69" s="228">
        <v>157.82</v>
      </c>
      <c r="J69" s="228">
        <v>158.91999999999999</v>
      </c>
      <c r="K69" s="228">
        <v>-1.1000000000000001</v>
      </c>
      <c r="L69" s="229">
        <v>-6.8999999999999999E-3</v>
      </c>
      <c r="M69" s="228">
        <v>158.33000000000001</v>
      </c>
      <c r="N69" s="228">
        <v>158.97</v>
      </c>
      <c r="O69" s="228">
        <v>-0.64</v>
      </c>
      <c r="P69" s="229">
        <v>-4.0000000000000001E-3</v>
      </c>
      <c r="Q69" s="228">
        <v>159.13999999999999</v>
      </c>
      <c r="R69" s="228">
        <v>159.86000000000001</v>
      </c>
      <c r="S69" s="228">
        <v>-0.72</v>
      </c>
      <c r="T69" s="229">
        <v>-4.4999999999999997E-3</v>
      </c>
      <c r="U69" s="228">
        <v>160.26</v>
      </c>
      <c r="V69" s="228">
        <v>160.65</v>
      </c>
      <c r="W69" s="228">
        <v>-0.39</v>
      </c>
      <c r="X69" s="229">
        <v>-2.3999999999999998E-3</v>
      </c>
      <c r="Y69" s="228">
        <v>0.51</v>
      </c>
      <c r="Z69" s="228">
        <v>0.05</v>
      </c>
      <c r="AA69" s="228">
        <v>0.46</v>
      </c>
      <c r="AB69" s="229">
        <v>3.2000000000000002E-3</v>
      </c>
      <c r="AC69" s="228">
        <v>0.51</v>
      </c>
      <c r="AD69" s="228">
        <v>0.05</v>
      </c>
      <c r="AE69" s="228">
        <v>0.46</v>
      </c>
      <c r="AF69" s="229">
        <v>3.2000000000000002E-3</v>
      </c>
      <c r="AG69" s="228">
        <v>1.32</v>
      </c>
      <c r="AH69" s="228">
        <v>0.94</v>
      </c>
      <c r="AI69" s="228">
        <v>0.38</v>
      </c>
      <c r="AJ69" s="229">
        <v>8.3999999999999995E-3</v>
      </c>
      <c r="AK69" s="228">
        <v>2.44</v>
      </c>
      <c r="AL69" s="228">
        <v>1.73</v>
      </c>
      <c r="AM69" s="228">
        <v>0.71</v>
      </c>
      <c r="AN69" s="229">
        <v>1.55E-2</v>
      </c>
      <c r="AO69" s="228">
        <v>158.38999999999999</v>
      </c>
      <c r="AP69" s="228">
        <v>159.19999999999999</v>
      </c>
      <c r="AQ69" s="228">
        <v>0</v>
      </c>
      <c r="AR69" s="230">
        <v>11188800</v>
      </c>
      <c r="AS69" s="230">
        <v>15671250</v>
      </c>
      <c r="AT69" s="230">
        <v>-4482450</v>
      </c>
      <c r="AU69" s="229">
        <v>-0.28599999999999998</v>
      </c>
      <c r="AV69" s="230">
        <v>9163350</v>
      </c>
      <c r="AW69" s="230">
        <v>10999800</v>
      </c>
      <c r="AX69" s="230">
        <v>-1836450</v>
      </c>
      <c r="AY69" s="229">
        <v>-0.16700000000000001</v>
      </c>
      <c r="AZ69" s="230">
        <v>1867950</v>
      </c>
      <c r="BA69" s="230">
        <v>1354500</v>
      </c>
      <c r="BB69" s="230">
        <v>513450</v>
      </c>
      <c r="BC69" s="229">
        <v>0.37909999999999999</v>
      </c>
      <c r="BD69" s="230">
        <v>157500</v>
      </c>
      <c r="BE69" s="230">
        <v>3316950</v>
      </c>
      <c r="BF69" s="230">
        <v>-3159450</v>
      </c>
      <c r="BG69" s="229">
        <v>-0.95250000000000001</v>
      </c>
      <c r="BH69" s="230">
        <v>13160700</v>
      </c>
      <c r="BI69" s="230">
        <v>16619400</v>
      </c>
      <c r="BJ69" s="230">
        <v>-3458700</v>
      </c>
      <c r="BK69" s="229">
        <v>-0.20810000000000001</v>
      </c>
      <c r="BL69" s="230">
        <v>10905300</v>
      </c>
      <c r="BM69" s="230">
        <v>10946250</v>
      </c>
      <c r="BN69" s="230">
        <v>-40950</v>
      </c>
      <c r="BO69" s="229">
        <v>-3.7000000000000002E-3</v>
      </c>
      <c r="BP69" s="230">
        <v>35254800</v>
      </c>
      <c r="BQ69" s="230">
        <v>43236900</v>
      </c>
      <c r="BR69" s="230">
        <v>-7982100</v>
      </c>
      <c r="BS69" s="229">
        <v>-0.18459999999999999</v>
      </c>
      <c r="BT69" s="230">
        <v>13504644</v>
      </c>
      <c r="BU69" s="230">
        <v>10249721</v>
      </c>
      <c r="BV69" s="230">
        <v>3254923</v>
      </c>
      <c r="BW69" s="229">
        <v>0.31759999999999999</v>
      </c>
      <c r="BX69" s="230">
        <v>78772050</v>
      </c>
      <c r="BY69" s="230">
        <v>78614550</v>
      </c>
      <c r="BZ69" s="230">
        <v>157500</v>
      </c>
      <c r="CA69" s="229">
        <v>2E-3</v>
      </c>
      <c r="CB69" s="230">
        <v>70830900</v>
      </c>
      <c r="CC69" s="230">
        <v>71527050</v>
      </c>
      <c r="CD69" s="230">
        <v>-696150</v>
      </c>
      <c r="CE69" s="229">
        <v>-9.7000000000000003E-3</v>
      </c>
      <c r="CF69" s="230">
        <v>4384800</v>
      </c>
      <c r="CG69" s="230">
        <v>3638250</v>
      </c>
      <c r="CH69" s="230">
        <v>746550</v>
      </c>
      <c r="CI69" s="229">
        <v>0.20519999999999999</v>
      </c>
      <c r="CJ69" s="230">
        <v>3556350</v>
      </c>
      <c r="CK69" s="230">
        <v>3449250</v>
      </c>
      <c r="CL69" s="230">
        <v>107100</v>
      </c>
      <c r="CM69" s="229">
        <v>3.1099999999999999E-2</v>
      </c>
      <c r="CN69" s="230">
        <v>27653850</v>
      </c>
      <c r="CO69" s="230">
        <v>26658450</v>
      </c>
      <c r="CP69" s="230">
        <v>995400</v>
      </c>
      <c r="CQ69" s="229">
        <v>3.73E-2</v>
      </c>
      <c r="CR69" s="230">
        <v>32514300</v>
      </c>
      <c r="CS69" s="230">
        <v>32252850</v>
      </c>
      <c r="CT69" s="230">
        <v>261450</v>
      </c>
      <c r="CU69" s="229">
        <v>8.0999999999999996E-3</v>
      </c>
      <c r="CV69" s="230">
        <v>138940200</v>
      </c>
      <c r="CW69" s="230">
        <v>137525850</v>
      </c>
      <c r="CX69" s="230">
        <v>1414350</v>
      </c>
      <c r="CY69" s="229">
        <v>1.03E-2</v>
      </c>
      <c r="CZ69" s="228">
        <v>30.16</v>
      </c>
      <c r="DA69" s="228">
        <v>31.28</v>
      </c>
      <c r="DB69" s="228">
        <v>-1.1200000000000001</v>
      </c>
      <c r="DC69" s="228">
        <v>-1.1200000000000001</v>
      </c>
      <c r="DD69" s="228">
        <v>35.58</v>
      </c>
      <c r="DE69" s="228">
        <v>35.67</v>
      </c>
      <c r="DF69" s="228">
        <v>-5.42</v>
      </c>
      <c r="DG69" s="228">
        <v>-0.09</v>
      </c>
      <c r="DH69" s="228">
        <v>28.14</v>
      </c>
      <c r="DI69" s="228">
        <v>29.39</v>
      </c>
      <c r="DJ69" s="228">
        <v>-1.25</v>
      </c>
      <c r="DK69" s="228">
        <v>-1.25</v>
      </c>
      <c r="DL69" s="228">
        <v>32.61</v>
      </c>
      <c r="DM69" s="228">
        <v>34.14</v>
      </c>
      <c r="DN69" s="228">
        <v>-1.53</v>
      </c>
      <c r="DO69" s="228">
        <v>-1.53</v>
      </c>
      <c r="DP69" s="228">
        <v>1.18</v>
      </c>
      <c r="DQ69" s="228">
        <v>1.21</v>
      </c>
      <c r="DR69" s="228">
        <v>-0.03</v>
      </c>
      <c r="DS69" s="229">
        <v>-2.4799999999999999E-2</v>
      </c>
      <c r="DT69" s="228">
        <v>144</v>
      </c>
      <c r="DU69" s="228">
        <v>130</v>
      </c>
      <c r="DV69" s="228">
        <v>0.83</v>
      </c>
      <c r="DW69" s="228">
        <v>0.66</v>
      </c>
      <c r="DX69" s="228">
        <v>0.17</v>
      </c>
      <c r="DY69" s="229">
        <v>0.2576</v>
      </c>
      <c r="DZ69" s="229">
        <v>0.1008</v>
      </c>
      <c r="EA69" s="230">
        <v>7087500</v>
      </c>
      <c r="EB69" s="229">
        <v>5.1000000000000004E-3</v>
      </c>
      <c r="EC69" s="229">
        <v>0.1008</v>
      </c>
      <c r="ED69" s="228">
        <v>0.81</v>
      </c>
      <c r="EE69" s="229">
        <v>5.1000000000000004E-3</v>
      </c>
      <c r="EF69" s="230">
        <v>8258780</v>
      </c>
      <c r="EG69" s="230">
        <v>6199384</v>
      </c>
      <c r="EH69" s="229">
        <v>0.3322</v>
      </c>
      <c r="EI69" s="229">
        <v>0.61160000000000003</v>
      </c>
      <c r="EJ69" s="231">
        <v>21678.13</v>
      </c>
      <c r="EK69" s="231">
        <v>16662.34</v>
      </c>
      <c r="EL69" s="231">
        <v>17739.669999999998</v>
      </c>
      <c r="EM69" s="231">
        <v>3851</v>
      </c>
      <c r="EN69" s="231">
        <v>56080.14</v>
      </c>
      <c r="EO69" s="231">
        <v>68630.240000000005</v>
      </c>
      <c r="EP69" s="231">
        <v>-12550.1</v>
      </c>
      <c r="EQ69" s="229">
        <v>-0.18290000000000001</v>
      </c>
      <c r="ER69" s="231">
        <v>42548</v>
      </c>
      <c r="ES69" s="231">
        <v>48576</v>
      </c>
      <c r="ET69" s="231">
        <v>124824</v>
      </c>
      <c r="EU69" s="231">
        <v>471255857</v>
      </c>
      <c r="EV69" s="231">
        <v>215948</v>
      </c>
      <c r="EW69" s="231">
        <v>214012</v>
      </c>
      <c r="EX69" s="231">
        <v>1936</v>
      </c>
      <c r="EY69" s="229">
        <v>8.9999999999999993E-3</v>
      </c>
      <c r="EZ69" s="229">
        <v>0.29480000000000001</v>
      </c>
      <c r="FA69" s="227" t="s">
        <v>566</v>
      </c>
      <c r="FB69" s="161">
        <f t="shared" si="1"/>
        <v>7941150</v>
      </c>
    </row>
    <row r="70" spans="1:158" ht="17.25" thickBot="1" x14ac:dyDescent="0.3">
      <c r="A70" s="226">
        <v>46129</v>
      </c>
      <c r="B70" s="227" t="s">
        <v>170</v>
      </c>
      <c r="C70" s="227" t="s">
        <v>214</v>
      </c>
      <c r="D70" s="228">
        <v>375</v>
      </c>
      <c r="E70" s="231">
        <v>2253.8000000000002</v>
      </c>
      <c r="F70" s="231">
        <v>2255.6</v>
      </c>
      <c r="G70" s="228">
        <v>-1.8</v>
      </c>
      <c r="H70" s="229">
        <v>-8.0000000000000004E-4</v>
      </c>
      <c r="I70" s="231">
        <v>2249.5</v>
      </c>
      <c r="J70" s="231">
        <v>2249.5</v>
      </c>
      <c r="K70" s="228">
        <v>0</v>
      </c>
      <c r="L70" s="229">
        <v>0</v>
      </c>
      <c r="M70" s="231">
        <v>2253.8000000000002</v>
      </c>
      <c r="N70" s="231">
        <v>2255.6</v>
      </c>
      <c r="O70" s="228">
        <v>-1.8</v>
      </c>
      <c r="P70" s="229">
        <v>-8.0000000000000004E-4</v>
      </c>
      <c r="Q70" s="231">
        <v>2264.6999999999998</v>
      </c>
      <c r="R70" s="231">
        <v>2266.1</v>
      </c>
      <c r="S70" s="228">
        <v>-1.4</v>
      </c>
      <c r="T70" s="229">
        <v>-5.9999999999999995E-4</v>
      </c>
      <c r="U70" s="231">
        <v>2278.9</v>
      </c>
      <c r="V70" s="231">
        <v>2280</v>
      </c>
      <c r="W70" s="228">
        <v>-1.1000000000000001</v>
      </c>
      <c r="X70" s="229">
        <v>-5.0000000000000001E-4</v>
      </c>
      <c r="Y70" s="228">
        <v>4.3</v>
      </c>
      <c r="Z70" s="228">
        <v>6.1</v>
      </c>
      <c r="AA70" s="228">
        <v>-1.8</v>
      </c>
      <c r="AB70" s="229">
        <v>1.9E-3</v>
      </c>
      <c r="AC70" s="228">
        <v>4.3</v>
      </c>
      <c r="AD70" s="228">
        <v>6.1</v>
      </c>
      <c r="AE70" s="228">
        <v>-1.8</v>
      </c>
      <c r="AF70" s="229">
        <v>1.9E-3</v>
      </c>
      <c r="AG70" s="228">
        <v>15.2</v>
      </c>
      <c r="AH70" s="228">
        <v>16.600000000000001</v>
      </c>
      <c r="AI70" s="228">
        <v>-1.4</v>
      </c>
      <c r="AJ70" s="229">
        <v>6.7999999999999996E-3</v>
      </c>
      <c r="AK70" s="228">
        <v>29.4</v>
      </c>
      <c r="AL70" s="228">
        <v>30.5</v>
      </c>
      <c r="AM70" s="228">
        <v>-1.1000000000000001</v>
      </c>
      <c r="AN70" s="229">
        <v>1.3100000000000001E-2</v>
      </c>
      <c r="AO70" s="231">
        <v>2256.69</v>
      </c>
      <c r="AP70" s="231">
        <v>2273.77</v>
      </c>
      <c r="AQ70" s="228">
        <v>0</v>
      </c>
      <c r="AR70" s="230">
        <v>774750</v>
      </c>
      <c r="AS70" s="230">
        <v>882750</v>
      </c>
      <c r="AT70" s="230">
        <v>-108000</v>
      </c>
      <c r="AU70" s="229">
        <v>-0.12230000000000001</v>
      </c>
      <c r="AV70" s="230">
        <v>711750</v>
      </c>
      <c r="AW70" s="230">
        <v>826875</v>
      </c>
      <c r="AX70" s="230">
        <v>-115125</v>
      </c>
      <c r="AY70" s="229">
        <v>-0.13919999999999999</v>
      </c>
      <c r="AZ70" s="230">
        <v>60375</v>
      </c>
      <c r="BA70" s="230">
        <v>55125</v>
      </c>
      <c r="BB70" s="230">
        <v>5250</v>
      </c>
      <c r="BC70" s="229">
        <v>9.5200000000000007E-2</v>
      </c>
      <c r="BD70" s="230">
        <v>2625</v>
      </c>
      <c r="BE70" s="228">
        <v>750</v>
      </c>
      <c r="BF70" s="230">
        <v>1875</v>
      </c>
      <c r="BG70" s="229">
        <v>2.5</v>
      </c>
      <c r="BH70" s="230">
        <v>4390500</v>
      </c>
      <c r="BI70" s="230">
        <v>2498250</v>
      </c>
      <c r="BJ70" s="230">
        <v>1892250</v>
      </c>
      <c r="BK70" s="229">
        <v>0.75739999999999996</v>
      </c>
      <c r="BL70" s="230">
        <v>1407375</v>
      </c>
      <c r="BM70" s="230">
        <v>1545750</v>
      </c>
      <c r="BN70" s="230">
        <v>-138375</v>
      </c>
      <c r="BO70" s="229">
        <v>-8.9499999999999996E-2</v>
      </c>
      <c r="BP70" s="230">
        <v>6572625</v>
      </c>
      <c r="BQ70" s="230">
        <v>4926750</v>
      </c>
      <c r="BR70" s="230">
        <v>1645875</v>
      </c>
      <c r="BS70" s="229">
        <v>0.33410000000000001</v>
      </c>
      <c r="BT70" s="230">
        <v>383534</v>
      </c>
      <c r="BU70" s="230">
        <v>452601</v>
      </c>
      <c r="BV70" s="230">
        <v>-69067</v>
      </c>
      <c r="BW70" s="229">
        <v>-0.15260000000000001</v>
      </c>
      <c r="BX70" s="230">
        <v>10236000</v>
      </c>
      <c r="BY70" s="230">
        <v>10263375</v>
      </c>
      <c r="BZ70" s="230">
        <v>-27375</v>
      </c>
      <c r="CA70" s="229">
        <v>-2.7000000000000001E-3</v>
      </c>
      <c r="CB70" s="230">
        <v>10109250</v>
      </c>
      <c r="CC70" s="230">
        <v>10168500</v>
      </c>
      <c r="CD70" s="230">
        <v>-59250</v>
      </c>
      <c r="CE70" s="229">
        <v>-5.7999999999999996E-3</v>
      </c>
      <c r="CF70" s="230">
        <v>116250</v>
      </c>
      <c r="CG70" s="230">
        <v>86625</v>
      </c>
      <c r="CH70" s="230">
        <v>29625</v>
      </c>
      <c r="CI70" s="229">
        <v>0.34200000000000003</v>
      </c>
      <c r="CJ70" s="230">
        <v>10500</v>
      </c>
      <c r="CK70" s="230">
        <v>8250</v>
      </c>
      <c r="CL70" s="230">
        <v>2250</v>
      </c>
      <c r="CM70" s="229">
        <v>0.2727</v>
      </c>
      <c r="CN70" s="230">
        <v>2390625</v>
      </c>
      <c r="CO70" s="230">
        <v>1815375</v>
      </c>
      <c r="CP70" s="230">
        <v>575250</v>
      </c>
      <c r="CQ70" s="229">
        <v>0.31690000000000002</v>
      </c>
      <c r="CR70" s="230">
        <v>1211625</v>
      </c>
      <c r="CS70" s="230">
        <v>1119375</v>
      </c>
      <c r="CT70" s="230">
        <v>92250</v>
      </c>
      <c r="CU70" s="229">
        <v>8.2400000000000001E-2</v>
      </c>
      <c r="CV70" s="230">
        <v>13838250</v>
      </c>
      <c r="CW70" s="230">
        <v>13198125</v>
      </c>
      <c r="CX70" s="230">
        <v>640125</v>
      </c>
      <c r="CY70" s="229">
        <v>4.8500000000000001E-2</v>
      </c>
      <c r="CZ70" s="228">
        <v>34.18</v>
      </c>
      <c r="DA70" s="228">
        <v>32.69</v>
      </c>
      <c r="DB70" s="228">
        <v>1.49</v>
      </c>
      <c r="DC70" s="228">
        <v>1.49</v>
      </c>
      <c r="DD70" s="228">
        <v>36.049999999999997</v>
      </c>
      <c r="DE70" s="228">
        <v>36.14</v>
      </c>
      <c r="DF70" s="228">
        <v>-1.87</v>
      </c>
      <c r="DG70" s="228">
        <v>-0.09</v>
      </c>
      <c r="DH70" s="228">
        <v>33.979999999999997</v>
      </c>
      <c r="DI70" s="228">
        <v>31.15</v>
      </c>
      <c r="DJ70" s="228">
        <v>2.83</v>
      </c>
      <c r="DK70" s="228">
        <v>2.83</v>
      </c>
      <c r="DL70" s="228">
        <v>34.79</v>
      </c>
      <c r="DM70" s="228">
        <v>35.18</v>
      </c>
      <c r="DN70" s="228">
        <v>-0.39</v>
      </c>
      <c r="DO70" s="228">
        <v>-0.39</v>
      </c>
      <c r="DP70" s="228">
        <v>0.51</v>
      </c>
      <c r="DQ70" s="228">
        <v>0.62</v>
      </c>
      <c r="DR70" s="228">
        <v>-0.11</v>
      </c>
      <c r="DS70" s="229">
        <v>-0.1774</v>
      </c>
      <c r="DT70" s="231">
        <v>2400</v>
      </c>
      <c r="DU70" s="231">
        <v>2100</v>
      </c>
      <c r="DV70" s="228">
        <v>0.32</v>
      </c>
      <c r="DW70" s="228">
        <v>0.62</v>
      </c>
      <c r="DX70" s="228">
        <v>-0.3</v>
      </c>
      <c r="DY70" s="229">
        <v>-0.4839</v>
      </c>
      <c r="DZ70" s="229">
        <v>1.24E-2</v>
      </c>
      <c r="EA70" s="230">
        <v>94875</v>
      </c>
      <c r="EB70" s="229">
        <v>4.7999999999999996E-3</v>
      </c>
      <c r="EC70" s="229">
        <v>1.24E-2</v>
      </c>
      <c r="ED70" s="228">
        <v>17.079999999999998</v>
      </c>
      <c r="EE70" s="229">
        <v>7.6E-3</v>
      </c>
      <c r="EF70" s="230">
        <v>191009</v>
      </c>
      <c r="EG70" s="230">
        <v>190420</v>
      </c>
      <c r="EH70" s="229">
        <v>3.0999999999999999E-3</v>
      </c>
      <c r="EI70" s="229">
        <v>0.498</v>
      </c>
      <c r="EJ70" s="231">
        <v>104225.45</v>
      </c>
      <c r="EK70" s="231">
        <v>30813.94</v>
      </c>
      <c r="EL70" s="231">
        <v>17494.66</v>
      </c>
      <c r="EM70" s="231">
        <v>2670</v>
      </c>
      <c r="EN70" s="231">
        <v>152534.04999999999</v>
      </c>
      <c r="EO70" s="231">
        <v>111674.57</v>
      </c>
      <c r="EP70" s="231">
        <v>40859.480000000003</v>
      </c>
      <c r="EQ70" s="229">
        <v>0.3659</v>
      </c>
      <c r="ER70" s="231">
        <v>54767</v>
      </c>
      <c r="ES70" s="231">
        <v>25329</v>
      </c>
      <c r="ET70" s="231">
        <v>230714</v>
      </c>
      <c r="EU70" s="231">
        <v>15844372</v>
      </c>
      <c r="EV70" s="231">
        <v>310811</v>
      </c>
      <c r="EW70" s="231">
        <v>295796</v>
      </c>
      <c r="EX70" s="231">
        <v>15015</v>
      </c>
      <c r="EY70" s="229">
        <v>5.0799999999999998E-2</v>
      </c>
      <c r="EZ70" s="229">
        <v>0.87339999999999995</v>
      </c>
      <c r="FA70" s="227" t="s">
        <v>567</v>
      </c>
      <c r="FB70" s="161">
        <f t="shared" si="1"/>
        <v>126750</v>
      </c>
    </row>
    <row r="71" spans="1:158" ht="17.25" thickBot="1" x14ac:dyDescent="0.3">
      <c r="A71" s="226">
        <v>46129</v>
      </c>
      <c r="B71" s="227" t="s">
        <v>215</v>
      </c>
      <c r="C71" s="227" t="s">
        <v>630</v>
      </c>
      <c r="D71" s="228">
        <v>6975</v>
      </c>
      <c r="E71" s="228">
        <v>97.16</v>
      </c>
      <c r="F71" s="228">
        <v>97</v>
      </c>
      <c r="G71" s="228">
        <v>0.16</v>
      </c>
      <c r="H71" s="229">
        <v>1.6000000000000001E-3</v>
      </c>
      <c r="I71" s="228">
        <v>96.85</v>
      </c>
      <c r="J71" s="228">
        <v>96.75</v>
      </c>
      <c r="K71" s="228">
        <v>0.1</v>
      </c>
      <c r="L71" s="229">
        <v>1E-3</v>
      </c>
      <c r="M71" s="228">
        <v>97.16</v>
      </c>
      <c r="N71" s="228">
        <v>97</v>
      </c>
      <c r="O71" s="228">
        <v>0.16</v>
      </c>
      <c r="P71" s="229">
        <v>1.6000000000000001E-3</v>
      </c>
      <c r="Q71" s="228">
        <v>97.64</v>
      </c>
      <c r="R71" s="228">
        <v>97.53</v>
      </c>
      <c r="S71" s="228">
        <v>0.11</v>
      </c>
      <c r="T71" s="229">
        <v>1.1000000000000001E-3</v>
      </c>
      <c r="U71" s="228">
        <v>98.29</v>
      </c>
      <c r="V71" s="228">
        <v>98.32</v>
      </c>
      <c r="W71" s="228">
        <v>-0.03</v>
      </c>
      <c r="X71" s="229">
        <v>-2.9999999999999997E-4</v>
      </c>
      <c r="Y71" s="228">
        <v>0.31</v>
      </c>
      <c r="Z71" s="228">
        <v>0.25</v>
      </c>
      <c r="AA71" s="228">
        <v>0.06</v>
      </c>
      <c r="AB71" s="229">
        <v>3.2000000000000002E-3</v>
      </c>
      <c r="AC71" s="228">
        <v>0.31</v>
      </c>
      <c r="AD71" s="228">
        <v>0.25</v>
      </c>
      <c r="AE71" s="228">
        <v>0.06</v>
      </c>
      <c r="AF71" s="229">
        <v>3.2000000000000002E-3</v>
      </c>
      <c r="AG71" s="228">
        <v>0.79</v>
      </c>
      <c r="AH71" s="228">
        <v>0.78</v>
      </c>
      <c r="AI71" s="228">
        <v>0.01</v>
      </c>
      <c r="AJ71" s="229">
        <v>8.2000000000000007E-3</v>
      </c>
      <c r="AK71" s="228">
        <v>1.44</v>
      </c>
      <c r="AL71" s="228">
        <v>1.57</v>
      </c>
      <c r="AM71" s="228">
        <v>-0.13</v>
      </c>
      <c r="AN71" s="229">
        <v>1.49E-2</v>
      </c>
      <c r="AO71" s="228">
        <v>97.33</v>
      </c>
      <c r="AP71" s="228">
        <v>98</v>
      </c>
      <c r="AQ71" s="228">
        <v>0</v>
      </c>
      <c r="AR71" s="230">
        <v>22724550</v>
      </c>
      <c r="AS71" s="230">
        <v>17046900</v>
      </c>
      <c r="AT71" s="230">
        <v>5677650</v>
      </c>
      <c r="AU71" s="229">
        <v>0.33310000000000001</v>
      </c>
      <c r="AV71" s="230">
        <v>15400800</v>
      </c>
      <c r="AW71" s="230">
        <v>14431275</v>
      </c>
      <c r="AX71" s="230">
        <v>969525</v>
      </c>
      <c r="AY71" s="229">
        <v>6.7199999999999996E-2</v>
      </c>
      <c r="AZ71" s="230">
        <v>2873700</v>
      </c>
      <c r="BA71" s="230">
        <v>2392425</v>
      </c>
      <c r="BB71" s="230">
        <v>481275</v>
      </c>
      <c r="BC71" s="229">
        <v>0.20119999999999999</v>
      </c>
      <c r="BD71" s="230">
        <v>4450050</v>
      </c>
      <c r="BE71" s="230">
        <v>223200</v>
      </c>
      <c r="BF71" s="230">
        <v>4226850</v>
      </c>
      <c r="BG71" s="229">
        <v>18.9375</v>
      </c>
      <c r="BH71" s="230">
        <v>25856325</v>
      </c>
      <c r="BI71" s="230">
        <v>40064400</v>
      </c>
      <c r="BJ71" s="230">
        <v>-14208075</v>
      </c>
      <c r="BK71" s="229">
        <v>-0.35460000000000003</v>
      </c>
      <c r="BL71" s="230">
        <v>13001400</v>
      </c>
      <c r="BM71" s="230">
        <v>28471950</v>
      </c>
      <c r="BN71" s="230">
        <v>-15470550</v>
      </c>
      <c r="BO71" s="229">
        <v>-0.54339999999999999</v>
      </c>
      <c r="BP71" s="230">
        <v>61582275</v>
      </c>
      <c r="BQ71" s="230">
        <v>85583250</v>
      </c>
      <c r="BR71" s="230">
        <v>-24000975</v>
      </c>
      <c r="BS71" s="229">
        <v>-0.28039999999999998</v>
      </c>
      <c r="BT71" s="230">
        <v>11386763</v>
      </c>
      <c r="BU71" s="230">
        <v>11144653</v>
      </c>
      <c r="BV71" s="230">
        <v>242110</v>
      </c>
      <c r="BW71" s="229">
        <v>2.1700000000000001E-2</v>
      </c>
      <c r="BX71" s="230">
        <v>134526825</v>
      </c>
      <c r="BY71" s="230">
        <v>132127425</v>
      </c>
      <c r="BZ71" s="230">
        <v>2399400</v>
      </c>
      <c r="CA71" s="229">
        <v>1.8200000000000001E-2</v>
      </c>
      <c r="CB71" s="230">
        <v>123192450</v>
      </c>
      <c r="CC71" s="230">
        <v>126163800</v>
      </c>
      <c r="CD71" s="230">
        <v>-2971350</v>
      </c>
      <c r="CE71" s="229">
        <v>-2.3599999999999999E-2</v>
      </c>
      <c r="CF71" s="230">
        <v>6319350</v>
      </c>
      <c r="CG71" s="230">
        <v>5196375</v>
      </c>
      <c r="CH71" s="230">
        <v>1122975</v>
      </c>
      <c r="CI71" s="229">
        <v>0.21609999999999999</v>
      </c>
      <c r="CJ71" s="230">
        <v>5015025</v>
      </c>
      <c r="CK71" s="230">
        <v>767250</v>
      </c>
      <c r="CL71" s="230">
        <v>4247775</v>
      </c>
      <c r="CM71" s="229">
        <v>5.5364000000000004</v>
      </c>
      <c r="CN71" s="230">
        <v>39011175</v>
      </c>
      <c r="CO71" s="230">
        <v>38397375</v>
      </c>
      <c r="CP71" s="230">
        <v>613800</v>
      </c>
      <c r="CQ71" s="229">
        <v>1.6E-2</v>
      </c>
      <c r="CR71" s="230">
        <v>29162475</v>
      </c>
      <c r="CS71" s="230">
        <v>28618425</v>
      </c>
      <c r="CT71" s="230">
        <v>544050</v>
      </c>
      <c r="CU71" s="229">
        <v>1.9E-2</v>
      </c>
      <c r="CV71" s="230">
        <v>202700475</v>
      </c>
      <c r="CW71" s="230">
        <v>199143225</v>
      </c>
      <c r="CX71" s="230">
        <v>3557250</v>
      </c>
      <c r="CY71" s="229">
        <v>1.7899999999999999E-2</v>
      </c>
      <c r="CZ71" s="228">
        <v>37.369999999999997</v>
      </c>
      <c r="DA71" s="228">
        <v>37.21</v>
      </c>
      <c r="DB71" s="228">
        <v>0.16</v>
      </c>
      <c r="DC71" s="228">
        <v>0.16</v>
      </c>
      <c r="DD71" s="228">
        <v>41.52</v>
      </c>
      <c r="DE71" s="228">
        <v>41.63</v>
      </c>
      <c r="DF71" s="228">
        <v>-4.1500000000000004</v>
      </c>
      <c r="DG71" s="228">
        <v>-0.11</v>
      </c>
      <c r="DH71" s="228">
        <v>36.799999999999997</v>
      </c>
      <c r="DI71" s="228">
        <v>36.78</v>
      </c>
      <c r="DJ71" s="228">
        <v>0.02</v>
      </c>
      <c r="DK71" s="228">
        <v>0.02</v>
      </c>
      <c r="DL71" s="228">
        <v>38.5</v>
      </c>
      <c r="DM71" s="228">
        <v>37.83</v>
      </c>
      <c r="DN71" s="228">
        <v>0.67</v>
      </c>
      <c r="DO71" s="228">
        <v>0.67</v>
      </c>
      <c r="DP71" s="228">
        <v>0.75</v>
      </c>
      <c r="DQ71" s="228">
        <v>0.75</v>
      </c>
      <c r="DR71" s="228">
        <v>0</v>
      </c>
      <c r="DS71" s="229">
        <v>0</v>
      </c>
      <c r="DT71" s="228">
        <v>100</v>
      </c>
      <c r="DU71" s="228">
        <v>95</v>
      </c>
      <c r="DV71" s="228">
        <v>0.5</v>
      </c>
      <c r="DW71" s="228">
        <v>0.71</v>
      </c>
      <c r="DX71" s="228">
        <v>-0.21</v>
      </c>
      <c r="DY71" s="229">
        <v>-0.29580000000000001</v>
      </c>
      <c r="DZ71" s="229">
        <v>8.43E-2</v>
      </c>
      <c r="EA71" s="230">
        <v>5963625</v>
      </c>
      <c r="EB71" s="229">
        <v>4.8999999999999998E-3</v>
      </c>
      <c r="EC71" s="229">
        <v>8.43E-2</v>
      </c>
      <c r="ED71" s="228">
        <v>0.67</v>
      </c>
      <c r="EE71" s="229">
        <v>6.8999999999999999E-3</v>
      </c>
      <c r="EF71" s="230">
        <v>6716307</v>
      </c>
      <c r="EG71" s="230">
        <v>4099992</v>
      </c>
      <c r="EH71" s="229">
        <v>0.6381</v>
      </c>
      <c r="EI71" s="229">
        <v>0.58979999999999999</v>
      </c>
      <c r="EJ71" s="231">
        <v>26533.58</v>
      </c>
      <c r="EK71" s="231">
        <v>12436.14</v>
      </c>
      <c r="EL71" s="231">
        <v>22186.3</v>
      </c>
      <c r="EM71" s="231">
        <v>2799</v>
      </c>
      <c r="EN71" s="231">
        <v>61156.02</v>
      </c>
      <c r="EO71" s="231">
        <v>85198.98</v>
      </c>
      <c r="EP71" s="231">
        <v>-24042.959999999999</v>
      </c>
      <c r="EQ71" s="229">
        <v>-0.28220000000000001</v>
      </c>
      <c r="ER71" s="231">
        <v>38538</v>
      </c>
      <c r="ES71" s="231">
        <v>26728</v>
      </c>
      <c r="ET71" s="231">
        <v>130793</v>
      </c>
      <c r="EU71" s="231">
        <v>534704421</v>
      </c>
      <c r="EV71" s="231">
        <v>196060</v>
      </c>
      <c r="EW71" s="231">
        <v>192112</v>
      </c>
      <c r="EX71" s="231">
        <v>3948</v>
      </c>
      <c r="EY71" s="229">
        <v>2.06E-2</v>
      </c>
      <c r="EZ71" s="229">
        <v>0.37909999999999999</v>
      </c>
      <c r="FA71" s="227" t="s">
        <v>555</v>
      </c>
      <c r="FB71" s="161">
        <f t="shared" si="1"/>
        <v>11334375</v>
      </c>
    </row>
    <row r="72" spans="1:158" ht="17.25" thickBot="1" x14ac:dyDescent="0.3">
      <c r="A72" s="226">
        <v>46129</v>
      </c>
      <c r="B72" s="227" t="s">
        <v>168</v>
      </c>
      <c r="C72" s="227" t="s">
        <v>699</v>
      </c>
      <c r="D72" s="228">
        <v>275</v>
      </c>
      <c r="E72" s="231">
        <v>2184.1999999999998</v>
      </c>
      <c r="F72" s="231">
        <v>2132.8000000000002</v>
      </c>
      <c r="G72" s="228">
        <v>51.4</v>
      </c>
      <c r="H72" s="229">
        <v>2.41E-2</v>
      </c>
      <c r="I72" s="231">
        <v>2207.6999999999998</v>
      </c>
      <c r="J72" s="231">
        <v>2124.9</v>
      </c>
      <c r="K72" s="228">
        <v>82.8</v>
      </c>
      <c r="L72" s="229">
        <v>3.9E-2</v>
      </c>
      <c r="M72" s="231">
        <v>2184.1999999999998</v>
      </c>
      <c r="N72" s="231">
        <v>2132.8000000000002</v>
      </c>
      <c r="O72" s="228">
        <v>51.4</v>
      </c>
      <c r="P72" s="229">
        <v>2.41E-2</v>
      </c>
      <c r="Q72" s="231">
        <v>2170.1999999999998</v>
      </c>
      <c r="R72" s="231">
        <v>2129.1999999999998</v>
      </c>
      <c r="S72" s="228">
        <v>41</v>
      </c>
      <c r="T72" s="229">
        <v>1.9300000000000001E-2</v>
      </c>
      <c r="U72" s="231">
        <v>2164.4</v>
      </c>
      <c r="V72" s="231">
        <v>2129.6</v>
      </c>
      <c r="W72" s="228">
        <v>34.799999999999997</v>
      </c>
      <c r="X72" s="229">
        <v>1.6299999999999999E-2</v>
      </c>
      <c r="Y72" s="228">
        <v>-23.5</v>
      </c>
      <c r="Z72" s="228">
        <v>7.9</v>
      </c>
      <c r="AA72" s="228">
        <v>-31.4</v>
      </c>
      <c r="AB72" s="229">
        <v>-1.06E-2</v>
      </c>
      <c r="AC72" s="228">
        <v>-23.5</v>
      </c>
      <c r="AD72" s="228">
        <v>7.9</v>
      </c>
      <c r="AE72" s="228">
        <v>-31.4</v>
      </c>
      <c r="AF72" s="229">
        <v>-1.06E-2</v>
      </c>
      <c r="AG72" s="228">
        <v>-37.5</v>
      </c>
      <c r="AH72" s="228">
        <v>4.3</v>
      </c>
      <c r="AI72" s="228">
        <v>-41.8</v>
      </c>
      <c r="AJ72" s="229">
        <v>-1.7000000000000001E-2</v>
      </c>
      <c r="AK72" s="228">
        <v>-43.3</v>
      </c>
      <c r="AL72" s="228">
        <v>4.7</v>
      </c>
      <c r="AM72" s="228">
        <v>-48</v>
      </c>
      <c r="AN72" s="229">
        <v>-1.9599999999999999E-2</v>
      </c>
      <c r="AO72" s="231">
        <v>2203.75</v>
      </c>
      <c r="AP72" s="231">
        <v>2183.25</v>
      </c>
      <c r="AQ72" s="228">
        <v>0</v>
      </c>
      <c r="AR72" s="230">
        <v>1638175</v>
      </c>
      <c r="AS72" s="230">
        <v>668250</v>
      </c>
      <c r="AT72" s="230">
        <v>969925</v>
      </c>
      <c r="AU72" s="229">
        <v>1.4514</v>
      </c>
      <c r="AV72" s="230">
        <v>1337875</v>
      </c>
      <c r="AW72" s="230">
        <v>565675</v>
      </c>
      <c r="AX72" s="230">
        <v>772200</v>
      </c>
      <c r="AY72" s="229">
        <v>1.3651</v>
      </c>
      <c r="AZ72" s="230">
        <v>278025</v>
      </c>
      <c r="BA72" s="230">
        <v>94600</v>
      </c>
      <c r="BB72" s="230">
        <v>183425</v>
      </c>
      <c r="BC72" s="229">
        <v>1.9390000000000001</v>
      </c>
      <c r="BD72" s="230">
        <v>22275</v>
      </c>
      <c r="BE72" s="230">
        <v>7975</v>
      </c>
      <c r="BF72" s="230">
        <v>14300</v>
      </c>
      <c r="BG72" s="229">
        <v>1.7930999999999999</v>
      </c>
      <c r="BH72" s="230">
        <v>6152025</v>
      </c>
      <c r="BI72" s="230">
        <v>691900</v>
      </c>
      <c r="BJ72" s="230">
        <v>5460125</v>
      </c>
      <c r="BK72" s="229">
        <v>7.8914999999999997</v>
      </c>
      <c r="BL72" s="230">
        <v>1490775</v>
      </c>
      <c r="BM72" s="230">
        <v>249425</v>
      </c>
      <c r="BN72" s="230">
        <v>1241350</v>
      </c>
      <c r="BO72" s="229">
        <v>4.9767999999999999</v>
      </c>
      <c r="BP72" s="230">
        <v>9280975</v>
      </c>
      <c r="BQ72" s="230">
        <v>1609575</v>
      </c>
      <c r="BR72" s="230">
        <v>7671400</v>
      </c>
      <c r="BS72" s="229">
        <v>4.7660999999999998</v>
      </c>
      <c r="BT72" s="230">
        <v>3764966</v>
      </c>
      <c r="BU72" s="230">
        <v>1012902</v>
      </c>
      <c r="BV72" s="230">
        <v>2752064</v>
      </c>
      <c r="BW72" s="229">
        <v>2.7170000000000001</v>
      </c>
      <c r="BX72" s="230">
        <v>1298275</v>
      </c>
      <c r="BY72" s="230">
        <v>848100</v>
      </c>
      <c r="BZ72" s="230">
        <v>450175</v>
      </c>
      <c r="CA72" s="229">
        <v>0.53080000000000005</v>
      </c>
      <c r="CB72" s="230">
        <v>1071950</v>
      </c>
      <c r="CC72" s="230">
        <v>754050</v>
      </c>
      <c r="CD72" s="230">
        <v>317900</v>
      </c>
      <c r="CE72" s="229">
        <v>0.42159999999999997</v>
      </c>
      <c r="CF72" s="230">
        <v>200750</v>
      </c>
      <c r="CG72" s="230">
        <v>77275</v>
      </c>
      <c r="CH72" s="230">
        <v>123475</v>
      </c>
      <c r="CI72" s="229">
        <v>1.5979000000000001</v>
      </c>
      <c r="CJ72" s="230">
        <v>25575</v>
      </c>
      <c r="CK72" s="230">
        <v>16775</v>
      </c>
      <c r="CL72" s="230">
        <v>8800</v>
      </c>
      <c r="CM72" s="229">
        <v>0.52459999999999996</v>
      </c>
      <c r="CN72" s="230">
        <v>920975</v>
      </c>
      <c r="CO72" s="230">
        <v>401775</v>
      </c>
      <c r="CP72" s="230">
        <v>519200</v>
      </c>
      <c r="CQ72" s="229">
        <v>1.2923</v>
      </c>
      <c r="CR72" s="230">
        <v>394900</v>
      </c>
      <c r="CS72" s="230">
        <v>165550</v>
      </c>
      <c r="CT72" s="230">
        <v>229350</v>
      </c>
      <c r="CU72" s="229">
        <v>1.3854</v>
      </c>
      <c r="CV72" s="230">
        <v>2614150</v>
      </c>
      <c r="CW72" s="230">
        <v>1415425</v>
      </c>
      <c r="CX72" s="230">
        <v>1198725</v>
      </c>
      <c r="CY72" s="229">
        <v>0.84689999999999999</v>
      </c>
      <c r="CZ72" s="228">
        <v>58.05</v>
      </c>
      <c r="DA72" s="228">
        <v>55.74</v>
      </c>
      <c r="DB72" s="228">
        <v>2.31</v>
      </c>
      <c r="DC72" s="228">
        <v>2.31</v>
      </c>
      <c r="DD72" s="228">
        <v>71.28</v>
      </c>
      <c r="DE72" s="228">
        <v>71.28</v>
      </c>
      <c r="DF72" s="228">
        <v>-13.23</v>
      </c>
      <c r="DG72" s="228">
        <v>0</v>
      </c>
      <c r="DH72" s="228">
        <v>57.9</v>
      </c>
      <c r="DI72" s="228">
        <v>53.4</v>
      </c>
      <c r="DJ72" s="228">
        <v>4.5</v>
      </c>
      <c r="DK72" s="228">
        <v>4.5</v>
      </c>
      <c r="DL72" s="228">
        <v>58.66</v>
      </c>
      <c r="DM72" s="228">
        <v>62.23</v>
      </c>
      <c r="DN72" s="228">
        <v>-3.57</v>
      </c>
      <c r="DO72" s="228">
        <v>-3.57</v>
      </c>
      <c r="DP72" s="228">
        <v>0.43</v>
      </c>
      <c r="DQ72" s="228">
        <v>0.41</v>
      </c>
      <c r="DR72" s="228">
        <v>0.02</v>
      </c>
      <c r="DS72" s="229">
        <v>4.8800000000000003E-2</v>
      </c>
      <c r="DT72" s="231">
        <v>2300</v>
      </c>
      <c r="DU72" s="231">
        <v>2100</v>
      </c>
      <c r="DV72" s="228">
        <v>0.24</v>
      </c>
      <c r="DW72" s="228">
        <v>0.36</v>
      </c>
      <c r="DX72" s="228">
        <v>-0.12</v>
      </c>
      <c r="DY72" s="229">
        <v>-0.33329999999999999</v>
      </c>
      <c r="DZ72" s="229">
        <v>0.17430000000000001</v>
      </c>
      <c r="EA72" s="230">
        <v>94050</v>
      </c>
      <c r="EB72" s="229">
        <v>-6.4000000000000003E-3</v>
      </c>
      <c r="EC72" s="229">
        <v>0.17430000000000001</v>
      </c>
      <c r="ED72" s="228">
        <v>-20.5</v>
      </c>
      <c r="EE72" s="229">
        <v>-9.2999999999999992E-3</v>
      </c>
      <c r="EF72" s="230">
        <v>782089</v>
      </c>
      <c r="EG72" s="230">
        <v>255902</v>
      </c>
      <c r="EH72" s="229">
        <v>2.0562</v>
      </c>
      <c r="EI72" s="229">
        <v>0.2077</v>
      </c>
      <c r="EJ72" s="231">
        <v>144006.46</v>
      </c>
      <c r="EK72" s="231">
        <v>32233.25</v>
      </c>
      <c r="EL72" s="231">
        <v>36039.730000000003</v>
      </c>
      <c r="EM72" s="231">
        <v>1885</v>
      </c>
      <c r="EN72" s="231">
        <v>212279.44</v>
      </c>
      <c r="EO72" s="231">
        <v>34514.89</v>
      </c>
      <c r="EP72" s="231">
        <v>177764.55</v>
      </c>
      <c r="EQ72" s="229">
        <v>5.1504000000000003</v>
      </c>
      <c r="ER72" s="231">
        <v>20666</v>
      </c>
      <c r="ES72" s="231">
        <v>8115</v>
      </c>
      <c r="ET72" s="231">
        <v>28324</v>
      </c>
      <c r="EU72" s="231">
        <v>6329596</v>
      </c>
      <c r="EV72" s="231">
        <v>57105</v>
      </c>
      <c r="EW72" s="231">
        <v>30041</v>
      </c>
      <c r="EX72" s="231">
        <v>27064</v>
      </c>
      <c r="EY72" s="229">
        <v>0.90090000000000003</v>
      </c>
      <c r="EZ72" s="229">
        <v>0.41299999999999998</v>
      </c>
      <c r="FA72" s="227" t="s">
        <v>555</v>
      </c>
      <c r="FB72" s="161">
        <f t="shared" si="1"/>
        <v>226325</v>
      </c>
    </row>
    <row r="73" spans="1:158" ht="17.25" thickBot="1" x14ac:dyDescent="0.3">
      <c r="A73" s="226">
        <v>46129</v>
      </c>
      <c r="B73" s="227" t="s">
        <v>168</v>
      </c>
      <c r="C73" s="227" t="s">
        <v>217</v>
      </c>
      <c r="D73" s="228">
        <v>500</v>
      </c>
      <c r="E73" s="231">
        <v>1112.6500000000001</v>
      </c>
      <c r="F73" s="231">
        <v>1084.75</v>
      </c>
      <c r="G73" s="228">
        <v>27.9</v>
      </c>
      <c r="H73" s="229">
        <v>2.5700000000000001E-2</v>
      </c>
      <c r="I73" s="231">
        <v>1109.4000000000001</v>
      </c>
      <c r="J73" s="231">
        <v>1081.1500000000001</v>
      </c>
      <c r="K73" s="228">
        <v>28.25</v>
      </c>
      <c r="L73" s="229">
        <v>2.6100000000000002E-2</v>
      </c>
      <c r="M73" s="231">
        <v>1112.6500000000001</v>
      </c>
      <c r="N73" s="231">
        <v>1084.75</v>
      </c>
      <c r="O73" s="228">
        <v>27.9</v>
      </c>
      <c r="P73" s="229">
        <v>2.5700000000000001E-2</v>
      </c>
      <c r="Q73" s="231">
        <v>1113.5999999999999</v>
      </c>
      <c r="R73" s="231">
        <v>1086.6500000000001</v>
      </c>
      <c r="S73" s="228">
        <v>26.95</v>
      </c>
      <c r="T73" s="229">
        <v>2.4799999999999999E-2</v>
      </c>
      <c r="U73" s="231">
        <v>1120.9000000000001</v>
      </c>
      <c r="V73" s="231">
        <v>1093.7</v>
      </c>
      <c r="W73" s="228">
        <v>27.2</v>
      </c>
      <c r="X73" s="229">
        <v>2.4899999999999999E-2</v>
      </c>
      <c r="Y73" s="228">
        <v>3.25</v>
      </c>
      <c r="Z73" s="228">
        <v>3.6</v>
      </c>
      <c r="AA73" s="228">
        <v>-0.35</v>
      </c>
      <c r="AB73" s="229">
        <v>2.8999999999999998E-3</v>
      </c>
      <c r="AC73" s="228">
        <v>3.25</v>
      </c>
      <c r="AD73" s="228">
        <v>3.6</v>
      </c>
      <c r="AE73" s="228">
        <v>-0.35</v>
      </c>
      <c r="AF73" s="229">
        <v>2.8999999999999998E-3</v>
      </c>
      <c r="AG73" s="228">
        <v>4.2</v>
      </c>
      <c r="AH73" s="228">
        <v>5.5</v>
      </c>
      <c r="AI73" s="228">
        <v>-1.3</v>
      </c>
      <c r="AJ73" s="229">
        <v>3.8E-3</v>
      </c>
      <c r="AK73" s="228">
        <v>11.5</v>
      </c>
      <c r="AL73" s="228">
        <v>12.55</v>
      </c>
      <c r="AM73" s="228">
        <v>-1.05</v>
      </c>
      <c r="AN73" s="229">
        <v>1.04E-2</v>
      </c>
      <c r="AO73" s="231">
        <v>1108.1600000000001</v>
      </c>
      <c r="AP73" s="231">
        <v>1109.22</v>
      </c>
      <c r="AQ73" s="228">
        <v>0</v>
      </c>
      <c r="AR73" s="230">
        <v>3853000</v>
      </c>
      <c r="AS73" s="230">
        <v>709500</v>
      </c>
      <c r="AT73" s="230">
        <v>3143500</v>
      </c>
      <c r="AU73" s="229">
        <v>4.4306000000000001</v>
      </c>
      <c r="AV73" s="230">
        <v>3064000</v>
      </c>
      <c r="AW73" s="230">
        <v>669500</v>
      </c>
      <c r="AX73" s="230">
        <v>2394500</v>
      </c>
      <c r="AY73" s="229">
        <v>3.5764999999999998</v>
      </c>
      <c r="AZ73" s="230">
        <v>180500</v>
      </c>
      <c r="BA73" s="230">
        <v>39000</v>
      </c>
      <c r="BB73" s="230">
        <v>141500</v>
      </c>
      <c r="BC73" s="229">
        <v>3.6282000000000001</v>
      </c>
      <c r="BD73" s="230">
        <v>608500</v>
      </c>
      <c r="BE73" s="230">
        <v>1000</v>
      </c>
      <c r="BF73" s="230">
        <v>607500</v>
      </c>
      <c r="BG73" s="229">
        <v>607.5</v>
      </c>
      <c r="BH73" s="230">
        <v>4474000</v>
      </c>
      <c r="BI73" s="230">
        <v>777500</v>
      </c>
      <c r="BJ73" s="230">
        <v>3696500</v>
      </c>
      <c r="BK73" s="229">
        <v>4.7542999999999997</v>
      </c>
      <c r="BL73" s="230">
        <v>1620500</v>
      </c>
      <c r="BM73" s="230">
        <v>433000</v>
      </c>
      <c r="BN73" s="230">
        <v>1187500</v>
      </c>
      <c r="BO73" s="229">
        <v>2.7425000000000002</v>
      </c>
      <c r="BP73" s="230">
        <v>9947500</v>
      </c>
      <c r="BQ73" s="230">
        <v>1920000</v>
      </c>
      <c r="BR73" s="230">
        <v>8027500</v>
      </c>
      <c r="BS73" s="229">
        <v>4.181</v>
      </c>
      <c r="BT73" s="230">
        <v>1788590</v>
      </c>
      <c r="BU73" s="230">
        <v>997673</v>
      </c>
      <c r="BV73" s="230">
        <v>790917</v>
      </c>
      <c r="BW73" s="229">
        <v>0.79279999999999995</v>
      </c>
      <c r="BX73" s="230">
        <v>12260500</v>
      </c>
      <c r="BY73" s="230">
        <v>11983000</v>
      </c>
      <c r="BZ73" s="230">
        <v>277500</v>
      </c>
      <c r="CA73" s="229">
        <v>2.3199999999999998E-2</v>
      </c>
      <c r="CB73" s="230">
        <v>11456000</v>
      </c>
      <c r="CC73" s="230">
        <v>11865000</v>
      </c>
      <c r="CD73" s="230">
        <v>-409000</v>
      </c>
      <c r="CE73" s="229">
        <v>-3.4500000000000003E-2</v>
      </c>
      <c r="CF73" s="230">
        <v>196000</v>
      </c>
      <c r="CG73" s="230">
        <v>114000</v>
      </c>
      <c r="CH73" s="230">
        <v>82000</v>
      </c>
      <c r="CI73" s="229">
        <v>0.71930000000000005</v>
      </c>
      <c r="CJ73" s="230">
        <v>608500</v>
      </c>
      <c r="CK73" s="230">
        <v>4000</v>
      </c>
      <c r="CL73" s="230">
        <v>604500</v>
      </c>
      <c r="CM73" s="229">
        <v>151.125</v>
      </c>
      <c r="CN73" s="230">
        <v>1684500</v>
      </c>
      <c r="CO73" s="230">
        <v>1542500</v>
      </c>
      <c r="CP73" s="230">
        <v>142000</v>
      </c>
      <c r="CQ73" s="229">
        <v>9.2100000000000001E-2</v>
      </c>
      <c r="CR73" s="230">
        <v>1286500</v>
      </c>
      <c r="CS73" s="230">
        <v>1230500</v>
      </c>
      <c r="CT73" s="230">
        <v>56000</v>
      </c>
      <c r="CU73" s="229">
        <v>4.5499999999999999E-2</v>
      </c>
      <c r="CV73" s="230">
        <v>15231500</v>
      </c>
      <c r="CW73" s="230">
        <v>14756000</v>
      </c>
      <c r="CX73" s="230">
        <v>475500</v>
      </c>
      <c r="CY73" s="229">
        <v>3.2199999999999999E-2</v>
      </c>
      <c r="CZ73" s="228">
        <v>28.9</v>
      </c>
      <c r="DA73" s="228">
        <v>32.19</v>
      </c>
      <c r="DB73" s="228">
        <v>-3.29</v>
      </c>
      <c r="DC73" s="228">
        <v>-3.29</v>
      </c>
      <c r="DD73" s="228">
        <v>30.4</v>
      </c>
      <c r="DE73" s="228">
        <v>30.28</v>
      </c>
      <c r="DF73" s="228">
        <v>-1.5</v>
      </c>
      <c r="DG73" s="228">
        <v>0.12</v>
      </c>
      <c r="DH73" s="228">
        <v>27.63</v>
      </c>
      <c r="DI73" s="228">
        <v>30.86</v>
      </c>
      <c r="DJ73" s="228">
        <v>-3.23</v>
      </c>
      <c r="DK73" s="228">
        <v>-3.23</v>
      </c>
      <c r="DL73" s="228">
        <v>32.42</v>
      </c>
      <c r="DM73" s="228">
        <v>34.58</v>
      </c>
      <c r="DN73" s="228">
        <v>-2.16</v>
      </c>
      <c r="DO73" s="228">
        <v>-2.16</v>
      </c>
      <c r="DP73" s="228">
        <v>0.76</v>
      </c>
      <c r="DQ73" s="228">
        <v>0.8</v>
      </c>
      <c r="DR73" s="228">
        <v>-0.04</v>
      </c>
      <c r="DS73" s="229">
        <v>-0.05</v>
      </c>
      <c r="DT73" s="231">
        <v>1160</v>
      </c>
      <c r="DU73" s="231">
        <v>1080</v>
      </c>
      <c r="DV73" s="228">
        <v>0.36</v>
      </c>
      <c r="DW73" s="228">
        <v>0.56000000000000005</v>
      </c>
      <c r="DX73" s="228">
        <v>-0.2</v>
      </c>
      <c r="DY73" s="229">
        <v>-0.35709999999999997</v>
      </c>
      <c r="DZ73" s="229">
        <v>6.5600000000000006E-2</v>
      </c>
      <c r="EA73" s="230">
        <v>118000</v>
      </c>
      <c r="EB73" s="229">
        <v>8.9999999999999998E-4</v>
      </c>
      <c r="EC73" s="229">
        <v>6.5600000000000006E-2</v>
      </c>
      <c r="ED73" s="228">
        <v>1.06</v>
      </c>
      <c r="EE73" s="229">
        <v>1E-3</v>
      </c>
      <c r="EF73" s="230">
        <v>1164476</v>
      </c>
      <c r="EG73" s="230">
        <v>655903</v>
      </c>
      <c r="EH73" s="229">
        <v>0.77539999999999998</v>
      </c>
      <c r="EI73" s="229">
        <v>0.65110000000000001</v>
      </c>
      <c r="EJ73" s="231">
        <v>51055.89</v>
      </c>
      <c r="EK73" s="231">
        <v>17394.68</v>
      </c>
      <c r="EL73" s="231">
        <v>42776.29</v>
      </c>
      <c r="EM73" s="231">
        <v>1986</v>
      </c>
      <c r="EN73" s="231">
        <v>111226.86</v>
      </c>
      <c r="EO73" s="231">
        <v>21116.78</v>
      </c>
      <c r="EP73" s="231">
        <v>90110.080000000002</v>
      </c>
      <c r="EQ73" s="229">
        <v>4.2671999999999999</v>
      </c>
      <c r="ER73" s="231">
        <v>18685</v>
      </c>
      <c r="ES73" s="231">
        <v>13209</v>
      </c>
      <c r="ET73" s="231">
        <v>136469</v>
      </c>
      <c r="EU73" s="231">
        <v>53250524</v>
      </c>
      <c r="EV73" s="231">
        <v>168363</v>
      </c>
      <c r="EW73" s="231">
        <v>159487</v>
      </c>
      <c r="EX73" s="231">
        <v>8876</v>
      </c>
      <c r="EY73" s="229">
        <v>5.57E-2</v>
      </c>
      <c r="EZ73" s="229">
        <v>0.28599999999999998</v>
      </c>
      <c r="FA73" s="227" t="s">
        <v>555</v>
      </c>
      <c r="FB73" s="161">
        <f t="shared" si="1"/>
        <v>804500</v>
      </c>
    </row>
    <row r="74" spans="1:158" ht="17.25" thickBot="1" x14ac:dyDescent="0.3">
      <c r="A74" s="226">
        <v>46129</v>
      </c>
      <c r="B74" s="227" t="s">
        <v>206</v>
      </c>
      <c r="C74" s="227" t="s">
        <v>218</v>
      </c>
      <c r="D74" s="228">
        <v>275</v>
      </c>
      <c r="E74" s="231">
        <v>1764</v>
      </c>
      <c r="F74" s="231">
        <v>1748.6</v>
      </c>
      <c r="G74" s="228">
        <v>15.4</v>
      </c>
      <c r="H74" s="229">
        <v>8.8000000000000005E-3</v>
      </c>
      <c r="I74" s="231">
        <v>1758.8</v>
      </c>
      <c r="J74" s="231">
        <v>1747.4</v>
      </c>
      <c r="K74" s="228">
        <v>11.4</v>
      </c>
      <c r="L74" s="229">
        <v>6.4999999999999997E-3</v>
      </c>
      <c r="M74" s="231">
        <v>1764</v>
      </c>
      <c r="N74" s="231">
        <v>1748.6</v>
      </c>
      <c r="O74" s="228">
        <v>15.4</v>
      </c>
      <c r="P74" s="229">
        <v>8.8000000000000005E-3</v>
      </c>
      <c r="Q74" s="231">
        <v>1774.2</v>
      </c>
      <c r="R74" s="231">
        <v>1759.2</v>
      </c>
      <c r="S74" s="228">
        <v>15</v>
      </c>
      <c r="T74" s="229">
        <v>8.5000000000000006E-3</v>
      </c>
      <c r="U74" s="231">
        <v>1786</v>
      </c>
      <c r="V74" s="231">
        <v>1764.4</v>
      </c>
      <c r="W74" s="228">
        <v>21.6</v>
      </c>
      <c r="X74" s="229">
        <v>1.2200000000000001E-2</v>
      </c>
      <c r="Y74" s="228">
        <v>5.2</v>
      </c>
      <c r="Z74" s="228">
        <v>1.2</v>
      </c>
      <c r="AA74" s="228">
        <v>4</v>
      </c>
      <c r="AB74" s="229">
        <v>3.0000000000000001E-3</v>
      </c>
      <c r="AC74" s="228">
        <v>5.2</v>
      </c>
      <c r="AD74" s="228">
        <v>1.2</v>
      </c>
      <c r="AE74" s="228">
        <v>4</v>
      </c>
      <c r="AF74" s="229">
        <v>3.0000000000000001E-3</v>
      </c>
      <c r="AG74" s="228">
        <v>15.4</v>
      </c>
      <c r="AH74" s="228">
        <v>11.8</v>
      </c>
      <c r="AI74" s="228">
        <v>3.6</v>
      </c>
      <c r="AJ74" s="229">
        <v>8.8000000000000005E-3</v>
      </c>
      <c r="AK74" s="228">
        <v>27.2</v>
      </c>
      <c r="AL74" s="228">
        <v>17</v>
      </c>
      <c r="AM74" s="228">
        <v>10.199999999999999</v>
      </c>
      <c r="AN74" s="229">
        <v>1.55E-2</v>
      </c>
      <c r="AO74" s="231">
        <v>1759.33</v>
      </c>
      <c r="AP74" s="231">
        <v>1768.54</v>
      </c>
      <c r="AQ74" s="228">
        <v>0</v>
      </c>
      <c r="AR74" s="230">
        <v>875875</v>
      </c>
      <c r="AS74" s="230">
        <v>1011725</v>
      </c>
      <c r="AT74" s="230">
        <v>-135850</v>
      </c>
      <c r="AU74" s="229">
        <v>-0.1343</v>
      </c>
      <c r="AV74" s="230">
        <v>781550</v>
      </c>
      <c r="AW74" s="230">
        <v>927300</v>
      </c>
      <c r="AX74" s="230">
        <v>-145750</v>
      </c>
      <c r="AY74" s="229">
        <v>-0.15720000000000001</v>
      </c>
      <c r="AZ74" s="230">
        <v>86350</v>
      </c>
      <c r="BA74" s="230">
        <v>75075</v>
      </c>
      <c r="BB74" s="230">
        <v>11275</v>
      </c>
      <c r="BC74" s="229">
        <v>0.1502</v>
      </c>
      <c r="BD74" s="230">
        <v>7975</v>
      </c>
      <c r="BE74" s="230">
        <v>9350</v>
      </c>
      <c r="BF74" s="230">
        <v>-1375</v>
      </c>
      <c r="BG74" s="229">
        <v>-0.14710000000000001</v>
      </c>
      <c r="BH74" s="230">
        <v>2407900</v>
      </c>
      <c r="BI74" s="230">
        <v>2411475</v>
      </c>
      <c r="BJ74" s="230">
        <v>-3575</v>
      </c>
      <c r="BK74" s="229">
        <v>-1.5E-3</v>
      </c>
      <c r="BL74" s="230">
        <v>1978350</v>
      </c>
      <c r="BM74" s="230">
        <v>1798225</v>
      </c>
      <c r="BN74" s="230">
        <v>180125</v>
      </c>
      <c r="BO74" s="229">
        <v>0.1002</v>
      </c>
      <c r="BP74" s="230">
        <v>5262125</v>
      </c>
      <c r="BQ74" s="230">
        <v>5221425</v>
      </c>
      <c r="BR74" s="230">
        <v>40700</v>
      </c>
      <c r="BS74" s="229">
        <v>7.7999999999999996E-3</v>
      </c>
      <c r="BT74" s="230">
        <v>716707</v>
      </c>
      <c r="BU74" s="230">
        <v>1008355</v>
      </c>
      <c r="BV74" s="230">
        <v>-291648</v>
      </c>
      <c r="BW74" s="229">
        <v>-0.28920000000000001</v>
      </c>
      <c r="BX74" s="230">
        <v>8075925</v>
      </c>
      <c r="BY74" s="230">
        <v>8102325</v>
      </c>
      <c r="BZ74" s="230">
        <v>-26400</v>
      </c>
      <c r="CA74" s="229">
        <v>-3.3E-3</v>
      </c>
      <c r="CB74" s="230">
        <v>7717600</v>
      </c>
      <c r="CC74" s="230">
        <v>7774525</v>
      </c>
      <c r="CD74" s="230">
        <v>-56925</v>
      </c>
      <c r="CE74" s="229">
        <v>-7.3000000000000001E-3</v>
      </c>
      <c r="CF74" s="230">
        <v>325050</v>
      </c>
      <c r="CG74" s="230">
        <v>297550</v>
      </c>
      <c r="CH74" s="230">
        <v>27500</v>
      </c>
      <c r="CI74" s="229">
        <v>9.2399999999999996E-2</v>
      </c>
      <c r="CJ74" s="230">
        <v>33275</v>
      </c>
      <c r="CK74" s="230">
        <v>30250</v>
      </c>
      <c r="CL74" s="230">
        <v>3025</v>
      </c>
      <c r="CM74" s="229">
        <v>0.1</v>
      </c>
      <c r="CN74" s="230">
        <v>2893000</v>
      </c>
      <c r="CO74" s="230">
        <v>2806650</v>
      </c>
      <c r="CP74" s="230">
        <v>86350</v>
      </c>
      <c r="CQ74" s="229">
        <v>3.0800000000000001E-2</v>
      </c>
      <c r="CR74" s="230">
        <v>2711500</v>
      </c>
      <c r="CS74" s="230">
        <v>2674650</v>
      </c>
      <c r="CT74" s="230">
        <v>36850</v>
      </c>
      <c r="CU74" s="229">
        <v>1.38E-2</v>
      </c>
      <c r="CV74" s="230">
        <v>13680425</v>
      </c>
      <c r="CW74" s="230">
        <v>13583625</v>
      </c>
      <c r="CX74" s="230">
        <v>96800</v>
      </c>
      <c r="CY74" s="229">
        <v>7.1000000000000004E-3</v>
      </c>
      <c r="CZ74" s="228">
        <v>39.5</v>
      </c>
      <c r="DA74" s="228">
        <v>40.61</v>
      </c>
      <c r="DB74" s="228">
        <v>-1.1100000000000001</v>
      </c>
      <c r="DC74" s="228">
        <v>-1.1100000000000001</v>
      </c>
      <c r="DD74" s="228">
        <v>45.79</v>
      </c>
      <c r="DE74" s="228">
        <v>45.89</v>
      </c>
      <c r="DF74" s="228">
        <v>-6.29</v>
      </c>
      <c r="DG74" s="228">
        <v>-0.1</v>
      </c>
      <c r="DH74" s="228">
        <v>35.31</v>
      </c>
      <c r="DI74" s="228">
        <v>36.979999999999997</v>
      </c>
      <c r="DJ74" s="228">
        <v>-1.67</v>
      </c>
      <c r="DK74" s="228">
        <v>-1.67</v>
      </c>
      <c r="DL74" s="228">
        <v>44.59</v>
      </c>
      <c r="DM74" s="228">
        <v>45.47</v>
      </c>
      <c r="DN74" s="228">
        <v>-0.88</v>
      </c>
      <c r="DO74" s="228">
        <v>-0.88</v>
      </c>
      <c r="DP74" s="228">
        <v>0.94</v>
      </c>
      <c r="DQ74" s="228">
        <v>0.95</v>
      </c>
      <c r="DR74" s="228">
        <v>-0.01</v>
      </c>
      <c r="DS74" s="229">
        <v>-1.0500000000000001E-2</v>
      </c>
      <c r="DT74" s="231">
        <v>1700</v>
      </c>
      <c r="DU74" s="231">
        <v>1700</v>
      </c>
      <c r="DV74" s="228">
        <v>0.82</v>
      </c>
      <c r="DW74" s="228">
        <v>0.75</v>
      </c>
      <c r="DX74" s="228">
        <v>7.0000000000000007E-2</v>
      </c>
      <c r="DY74" s="229">
        <v>9.3299999999999994E-2</v>
      </c>
      <c r="DZ74" s="229">
        <v>4.4400000000000002E-2</v>
      </c>
      <c r="EA74" s="230">
        <v>327800</v>
      </c>
      <c r="EB74" s="229">
        <v>5.7999999999999996E-3</v>
      </c>
      <c r="EC74" s="229">
        <v>4.4400000000000002E-2</v>
      </c>
      <c r="ED74" s="228">
        <v>9.2100000000000009</v>
      </c>
      <c r="EE74" s="229">
        <v>5.1999999999999998E-3</v>
      </c>
      <c r="EF74" s="230">
        <v>298079</v>
      </c>
      <c r="EG74" s="230">
        <v>485637</v>
      </c>
      <c r="EH74" s="229">
        <v>-0.38619999999999999</v>
      </c>
      <c r="EI74" s="229">
        <v>0.41589999999999999</v>
      </c>
      <c r="EJ74" s="231">
        <v>44026.36</v>
      </c>
      <c r="EK74" s="231">
        <v>32895.39</v>
      </c>
      <c r="EL74" s="231">
        <v>15418.86</v>
      </c>
      <c r="EM74" s="231">
        <v>4246</v>
      </c>
      <c r="EN74" s="231">
        <v>92340.61</v>
      </c>
      <c r="EO74" s="231">
        <v>91714.92</v>
      </c>
      <c r="EP74" s="228">
        <v>625.69000000000005</v>
      </c>
      <c r="EQ74" s="229">
        <v>6.7999999999999996E-3</v>
      </c>
      <c r="ER74" s="231">
        <v>50120</v>
      </c>
      <c r="ES74" s="231">
        <v>43141</v>
      </c>
      <c r="ET74" s="231">
        <v>142500</v>
      </c>
      <c r="EU74" s="231">
        <v>23870110</v>
      </c>
      <c r="EV74" s="231">
        <v>235761</v>
      </c>
      <c r="EW74" s="231">
        <v>232708</v>
      </c>
      <c r="EX74" s="231">
        <v>3053</v>
      </c>
      <c r="EY74" s="229">
        <v>1.3100000000000001E-2</v>
      </c>
      <c r="EZ74" s="229">
        <v>0.57310000000000005</v>
      </c>
      <c r="FA74" s="227" t="s">
        <v>693</v>
      </c>
      <c r="FB74" s="161">
        <f t="shared" si="1"/>
        <v>358325</v>
      </c>
    </row>
    <row r="75" spans="1:158" ht="17.25" thickBot="1" x14ac:dyDescent="0.3">
      <c r="A75" s="226">
        <v>46129</v>
      </c>
      <c r="B75" s="227" t="s">
        <v>157</v>
      </c>
      <c r="C75" s="227" t="s">
        <v>219</v>
      </c>
      <c r="D75" s="228">
        <v>250</v>
      </c>
      <c r="E75" s="231">
        <v>2726.6</v>
      </c>
      <c r="F75" s="231">
        <v>2723.8</v>
      </c>
      <c r="G75" s="228">
        <v>2.8</v>
      </c>
      <c r="H75" s="229">
        <v>1E-3</v>
      </c>
      <c r="I75" s="231">
        <v>2720.5</v>
      </c>
      <c r="J75" s="231">
        <v>2717.3</v>
      </c>
      <c r="K75" s="228">
        <v>3.2</v>
      </c>
      <c r="L75" s="229">
        <v>1.1999999999999999E-3</v>
      </c>
      <c r="M75" s="231">
        <v>2726.6</v>
      </c>
      <c r="N75" s="231">
        <v>2723.8</v>
      </c>
      <c r="O75" s="228">
        <v>2.8</v>
      </c>
      <c r="P75" s="229">
        <v>1E-3</v>
      </c>
      <c r="Q75" s="231">
        <v>2739.8</v>
      </c>
      <c r="R75" s="231">
        <v>2739.2</v>
      </c>
      <c r="S75" s="228">
        <v>0.6</v>
      </c>
      <c r="T75" s="229">
        <v>2.0000000000000001E-4</v>
      </c>
      <c r="U75" s="231">
        <v>2753.7</v>
      </c>
      <c r="V75" s="231">
        <v>2755.6</v>
      </c>
      <c r="W75" s="228">
        <v>-1.9</v>
      </c>
      <c r="X75" s="229">
        <v>-6.9999999999999999E-4</v>
      </c>
      <c r="Y75" s="228">
        <v>6.1</v>
      </c>
      <c r="Z75" s="228">
        <v>6.5</v>
      </c>
      <c r="AA75" s="228">
        <v>-0.4</v>
      </c>
      <c r="AB75" s="229">
        <v>2.2000000000000001E-3</v>
      </c>
      <c r="AC75" s="228">
        <v>6.1</v>
      </c>
      <c r="AD75" s="228">
        <v>6.5</v>
      </c>
      <c r="AE75" s="228">
        <v>-0.4</v>
      </c>
      <c r="AF75" s="229">
        <v>2.2000000000000001E-3</v>
      </c>
      <c r="AG75" s="228">
        <v>19.3</v>
      </c>
      <c r="AH75" s="228">
        <v>21.9</v>
      </c>
      <c r="AI75" s="228">
        <v>-2.6</v>
      </c>
      <c r="AJ75" s="229">
        <v>7.1000000000000004E-3</v>
      </c>
      <c r="AK75" s="228">
        <v>33.200000000000003</v>
      </c>
      <c r="AL75" s="228">
        <v>38.299999999999997</v>
      </c>
      <c r="AM75" s="228">
        <v>-5.0999999999999996</v>
      </c>
      <c r="AN75" s="229">
        <v>1.2200000000000001E-2</v>
      </c>
      <c r="AO75" s="231">
        <v>2726.43</v>
      </c>
      <c r="AP75" s="231">
        <v>2742.2</v>
      </c>
      <c r="AQ75" s="228">
        <v>0</v>
      </c>
      <c r="AR75" s="230">
        <v>497500</v>
      </c>
      <c r="AS75" s="230">
        <v>3726250</v>
      </c>
      <c r="AT75" s="230">
        <v>-3228750</v>
      </c>
      <c r="AU75" s="229">
        <v>-0.86650000000000005</v>
      </c>
      <c r="AV75" s="230">
        <v>420500</v>
      </c>
      <c r="AW75" s="230">
        <v>2149000</v>
      </c>
      <c r="AX75" s="230">
        <v>-1728500</v>
      </c>
      <c r="AY75" s="229">
        <v>-0.80430000000000001</v>
      </c>
      <c r="AZ75" s="230">
        <v>66250</v>
      </c>
      <c r="BA75" s="230">
        <v>1326500</v>
      </c>
      <c r="BB75" s="230">
        <v>-1260250</v>
      </c>
      <c r="BC75" s="229">
        <v>-0.95009999999999994</v>
      </c>
      <c r="BD75" s="230">
        <v>10750</v>
      </c>
      <c r="BE75" s="230">
        <v>250750</v>
      </c>
      <c r="BF75" s="230">
        <v>-240000</v>
      </c>
      <c r="BG75" s="229">
        <v>-0.95709999999999995</v>
      </c>
      <c r="BH75" s="230">
        <v>1249750</v>
      </c>
      <c r="BI75" s="230">
        <v>3041250</v>
      </c>
      <c r="BJ75" s="230">
        <v>-1791500</v>
      </c>
      <c r="BK75" s="229">
        <v>-0.58909999999999996</v>
      </c>
      <c r="BL75" s="230">
        <v>520000</v>
      </c>
      <c r="BM75" s="230">
        <v>1702500</v>
      </c>
      <c r="BN75" s="230">
        <v>-1182500</v>
      </c>
      <c r="BO75" s="229">
        <v>-0.6946</v>
      </c>
      <c r="BP75" s="230">
        <v>2267250</v>
      </c>
      <c r="BQ75" s="230">
        <v>8470000</v>
      </c>
      <c r="BR75" s="230">
        <v>-6202750</v>
      </c>
      <c r="BS75" s="229">
        <v>-0.73229999999999995</v>
      </c>
      <c r="BT75" s="230">
        <v>442157</v>
      </c>
      <c r="BU75" s="230">
        <v>816612</v>
      </c>
      <c r="BV75" s="230">
        <v>-374455</v>
      </c>
      <c r="BW75" s="229">
        <v>-0.45850000000000002</v>
      </c>
      <c r="BX75" s="230">
        <v>14148500</v>
      </c>
      <c r="BY75" s="230">
        <v>14074000</v>
      </c>
      <c r="BZ75" s="230">
        <v>74500</v>
      </c>
      <c r="CA75" s="229">
        <v>5.3E-3</v>
      </c>
      <c r="CB75" s="230">
        <v>12221750</v>
      </c>
      <c r="CC75" s="230">
        <v>12179750</v>
      </c>
      <c r="CD75" s="230">
        <v>42000</v>
      </c>
      <c r="CE75" s="229">
        <v>3.3999999999999998E-3</v>
      </c>
      <c r="CF75" s="230">
        <v>1558500</v>
      </c>
      <c r="CG75" s="230">
        <v>1529000</v>
      </c>
      <c r="CH75" s="230">
        <v>29500</v>
      </c>
      <c r="CI75" s="229">
        <v>1.9300000000000001E-2</v>
      </c>
      <c r="CJ75" s="230">
        <v>368250</v>
      </c>
      <c r="CK75" s="230">
        <v>365250</v>
      </c>
      <c r="CL75" s="230">
        <v>3000</v>
      </c>
      <c r="CM75" s="229">
        <v>8.2000000000000007E-3</v>
      </c>
      <c r="CN75" s="230">
        <v>1701000</v>
      </c>
      <c r="CO75" s="230">
        <v>1748000</v>
      </c>
      <c r="CP75" s="230">
        <v>-47000</v>
      </c>
      <c r="CQ75" s="229">
        <v>-2.69E-2</v>
      </c>
      <c r="CR75" s="230">
        <v>1234250</v>
      </c>
      <c r="CS75" s="230">
        <v>1280750</v>
      </c>
      <c r="CT75" s="230">
        <v>-46500</v>
      </c>
      <c r="CU75" s="229">
        <v>-3.6299999999999999E-2</v>
      </c>
      <c r="CV75" s="230">
        <v>17083750</v>
      </c>
      <c r="CW75" s="230">
        <v>17102750</v>
      </c>
      <c r="CX75" s="230">
        <v>-19000</v>
      </c>
      <c r="CY75" s="229">
        <v>-1.1000000000000001E-3</v>
      </c>
      <c r="CZ75" s="228">
        <v>26.85</v>
      </c>
      <c r="DA75" s="228">
        <v>28.24</v>
      </c>
      <c r="DB75" s="228">
        <v>-1.39</v>
      </c>
      <c r="DC75" s="228">
        <v>-1.39</v>
      </c>
      <c r="DD75" s="228">
        <v>28.37</v>
      </c>
      <c r="DE75" s="228">
        <v>28.44</v>
      </c>
      <c r="DF75" s="228">
        <v>-1.52</v>
      </c>
      <c r="DG75" s="228">
        <v>-7.0000000000000007E-2</v>
      </c>
      <c r="DH75" s="228">
        <v>26.37</v>
      </c>
      <c r="DI75" s="228">
        <v>27.85</v>
      </c>
      <c r="DJ75" s="228">
        <v>-1.48</v>
      </c>
      <c r="DK75" s="228">
        <v>-1.48</v>
      </c>
      <c r="DL75" s="228">
        <v>28</v>
      </c>
      <c r="DM75" s="228">
        <v>28.94</v>
      </c>
      <c r="DN75" s="228">
        <v>-0.94</v>
      </c>
      <c r="DO75" s="228">
        <v>-0.94</v>
      </c>
      <c r="DP75" s="228">
        <v>0.73</v>
      </c>
      <c r="DQ75" s="228">
        <v>0.73</v>
      </c>
      <c r="DR75" s="228">
        <v>0</v>
      </c>
      <c r="DS75" s="229">
        <v>0</v>
      </c>
      <c r="DT75" s="231">
        <v>2800</v>
      </c>
      <c r="DU75" s="231">
        <v>2600</v>
      </c>
      <c r="DV75" s="228">
        <v>0.42</v>
      </c>
      <c r="DW75" s="228">
        <v>0.56000000000000005</v>
      </c>
      <c r="DX75" s="228">
        <v>-0.14000000000000001</v>
      </c>
      <c r="DY75" s="229">
        <v>-0.25</v>
      </c>
      <c r="DZ75" s="229">
        <v>0.13619999999999999</v>
      </c>
      <c r="EA75" s="230">
        <v>1894250</v>
      </c>
      <c r="EB75" s="229">
        <v>4.7999999999999996E-3</v>
      </c>
      <c r="EC75" s="229">
        <v>0.13619999999999999</v>
      </c>
      <c r="ED75" s="228">
        <v>15.77</v>
      </c>
      <c r="EE75" s="229">
        <v>5.7999999999999996E-3</v>
      </c>
      <c r="EF75" s="230">
        <v>248174</v>
      </c>
      <c r="EG75" s="230">
        <v>489939</v>
      </c>
      <c r="EH75" s="229">
        <v>-0.49349999999999999</v>
      </c>
      <c r="EI75" s="229">
        <v>0.56130000000000002</v>
      </c>
      <c r="EJ75" s="231">
        <v>35081.26</v>
      </c>
      <c r="EK75" s="231">
        <v>14094.84</v>
      </c>
      <c r="EL75" s="231">
        <v>13577.45</v>
      </c>
      <c r="EM75" s="231">
        <v>5753</v>
      </c>
      <c r="EN75" s="231">
        <v>62753.55</v>
      </c>
      <c r="EO75" s="231">
        <v>234786.54</v>
      </c>
      <c r="EP75" s="231">
        <v>-172032.99</v>
      </c>
      <c r="EQ75" s="229">
        <v>-0.73270000000000002</v>
      </c>
      <c r="ER75" s="231">
        <v>47549</v>
      </c>
      <c r="ES75" s="231">
        <v>31885</v>
      </c>
      <c r="ET75" s="231">
        <v>386079</v>
      </c>
      <c r="EU75" s="231">
        <v>38401443</v>
      </c>
      <c r="EV75" s="231">
        <v>465512</v>
      </c>
      <c r="EW75" s="231">
        <v>465459</v>
      </c>
      <c r="EX75" s="228">
        <v>53</v>
      </c>
      <c r="EY75" s="229">
        <v>1E-4</v>
      </c>
      <c r="EZ75" s="229">
        <v>0.44490000000000002</v>
      </c>
      <c r="FA75" s="227" t="s">
        <v>555</v>
      </c>
      <c r="FB75" s="161">
        <f t="shared" si="1"/>
        <v>1926750</v>
      </c>
    </row>
    <row r="76" spans="1:158" ht="17.25" thickBot="1" x14ac:dyDescent="0.3">
      <c r="A76" s="226">
        <v>46129</v>
      </c>
      <c r="B76" s="227" t="s">
        <v>184</v>
      </c>
      <c r="C76" s="227" t="s">
        <v>513</v>
      </c>
      <c r="D76" s="228">
        <v>150</v>
      </c>
      <c r="E76" s="231">
        <v>4393.3</v>
      </c>
      <c r="F76" s="231">
        <v>4376.3999999999996</v>
      </c>
      <c r="G76" s="228">
        <v>16.899999999999999</v>
      </c>
      <c r="H76" s="229">
        <v>3.8999999999999998E-3</v>
      </c>
      <c r="I76" s="231">
        <v>4388.1000000000004</v>
      </c>
      <c r="J76" s="231">
        <v>4363.3999999999996</v>
      </c>
      <c r="K76" s="228">
        <v>24.7</v>
      </c>
      <c r="L76" s="229">
        <v>5.7000000000000002E-3</v>
      </c>
      <c r="M76" s="231">
        <v>4393.3</v>
      </c>
      <c r="N76" s="231">
        <v>4376.3999999999996</v>
      </c>
      <c r="O76" s="228">
        <v>16.899999999999999</v>
      </c>
      <c r="P76" s="229">
        <v>3.8999999999999998E-3</v>
      </c>
      <c r="Q76" s="231">
        <v>4418.6000000000004</v>
      </c>
      <c r="R76" s="231">
        <v>4402.1000000000004</v>
      </c>
      <c r="S76" s="228">
        <v>16.5</v>
      </c>
      <c r="T76" s="229">
        <v>3.7000000000000002E-3</v>
      </c>
      <c r="U76" s="231">
        <v>4445</v>
      </c>
      <c r="V76" s="231">
        <v>4426.3999999999996</v>
      </c>
      <c r="W76" s="228">
        <v>18.600000000000001</v>
      </c>
      <c r="X76" s="229">
        <v>4.1999999999999997E-3</v>
      </c>
      <c r="Y76" s="228">
        <v>5.2</v>
      </c>
      <c r="Z76" s="228">
        <v>13</v>
      </c>
      <c r="AA76" s="228">
        <v>-7.8</v>
      </c>
      <c r="AB76" s="229">
        <v>1.1999999999999999E-3</v>
      </c>
      <c r="AC76" s="228">
        <v>5.2</v>
      </c>
      <c r="AD76" s="228">
        <v>13</v>
      </c>
      <c r="AE76" s="228">
        <v>-7.8</v>
      </c>
      <c r="AF76" s="229">
        <v>1.1999999999999999E-3</v>
      </c>
      <c r="AG76" s="228">
        <v>30.5</v>
      </c>
      <c r="AH76" s="228">
        <v>38.700000000000003</v>
      </c>
      <c r="AI76" s="228">
        <v>-8.1999999999999993</v>
      </c>
      <c r="AJ76" s="229">
        <v>7.0000000000000001E-3</v>
      </c>
      <c r="AK76" s="228">
        <v>56.9</v>
      </c>
      <c r="AL76" s="228">
        <v>63</v>
      </c>
      <c r="AM76" s="228">
        <v>-6.1</v>
      </c>
      <c r="AN76" s="229">
        <v>1.2999999999999999E-2</v>
      </c>
      <c r="AO76" s="231">
        <v>4382.28</v>
      </c>
      <c r="AP76" s="231">
        <v>4408.37</v>
      </c>
      <c r="AQ76" s="228">
        <v>0</v>
      </c>
      <c r="AR76" s="230">
        <v>935700</v>
      </c>
      <c r="AS76" s="230">
        <v>2570700</v>
      </c>
      <c r="AT76" s="230">
        <v>-1635000</v>
      </c>
      <c r="AU76" s="229">
        <v>-0.63600000000000001</v>
      </c>
      <c r="AV76" s="230">
        <v>727200</v>
      </c>
      <c r="AW76" s="230">
        <v>2077500</v>
      </c>
      <c r="AX76" s="230">
        <v>-1350300</v>
      </c>
      <c r="AY76" s="229">
        <v>-0.65</v>
      </c>
      <c r="AZ76" s="230">
        <v>186900</v>
      </c>
      <c r="BA76" s="230">
        <v>293400</v>
      </c>
      <c r="BB76" s="230">
        <v>-106500</v>
      </c>
      <c r="BC76" s="229">
        <v>-0.36299999999999999</v>
      </c>
      <c r="BD76" s="230">
        <v>21600</v>
      </c>
      <c r="BE76" s="230">
        <v>199800</v>
      </c>
      <c r="BF76" s="230">
        <v>-178200</v>
      </c>
      <c r="BG76" s="229">
        <v>-0.89190000000000003</v>
      </c>
      <c r="BH76" s="230">
        <v>4740750</v>
      </c>
      <c r="BI76" s="230">
        <v>15127350</v>
      </c>
      <c r="BJ76" s="230">
        <v>-10386600</v>
      </c>
      <c r="BK76" s="229">
        <v>-0.68659999999999999</v>
      </c>
      <c r="BL76" s="230">
        <v>3074250</v>
      </c>
      <c r="BM76" s="230">
        <v>6618450</v>
      </c>
      <c r="BN76" s="230">
        <v>-3544200</v>
      </c>
      <c r="BO76" s="229">
        <v>-0.53549999999999998</v>
      </c>
      <c r="BP76" s="230">
        <v>8750700</v>
      </c>
      <c r="BQ76" s="230">
        <v>24316500</v>
      </c>
      <c r="BR76" s="230">
        <v>-15565800</v>
      </c>
      <c r="BS76" s="229">
        <v>-0.6401</v>
      </c>
      <c r="BT76" s="230">
        <v>1136732</v>
      </c>
      <c r="BU76" s="230">
        <v>2514113</v>
      </c>
      <c r="BV76" s="230">
        <v>-1377381</v>
      </c>
      <c r="BW76" s="229">
        <v>-0.54790000000000005</v>
      </c>
      <c r="BX76" s="230">
        <v>7551450</v>
      </c>
      <c r="BY76" s="230">
        <v>7609950</v>
      </c>
      <c r="BZ76" s="230">
        <v>-58500</v>
      </c>
      <c r="CA76" s="229">
        <v>-7.7000000000000002E-3</v>
      </c>
      <c r="CB76" s="230">
        <v>6692700</v>
      </c>
      <c r="CC76" s="230">
        <v>6821850</v>
      </c>
      <c r="CD76" s="230">
        <v>-129150</v>
      </c>
      <c r="CE76" s="229">
        <v>-1.89E-2</v>
      </c>
      <c r="CF76" s="230">
        <v>638700</v>
      </c>
      <c r="CG76" s="230">
        <v>574350</v>
      </c>
      <c r="CH76" s="230">
        <v>64350</v>
      </c>
      <c r="CI76" s="229">
        <v>0.112</v>
      </c>
      <c r="CJ76" s="230">
        <v>220050</v>
      </c>
      <c r="CK76" s="230">
        <v>213750</v>
      </c>
      <c r="CL76" s="230">
        <v>6300</v>
      </c>
      <c r="CM76" s="229">
        <v>2.9499999999999998E-2</v>
      </c>
      <c r="CN76" s="230">
        <v>3505350</v>
      </c>
      <c r="CO76" s="230">
        <v>3529350</v>
      </c>
      <c r="CP76" s="230">
        <v>-24000</v>
      </c>
      <c r="CQ76" s="229">
        <v>-6.7999999999999996E-3</v>
      </c>
      <c r="CR76" s="230">
        <v>3327150</v>
      </c>
      <c r="CS76" s="230">
        <v>3375300</v>
      </c>
      <c r="CT76" s="230">
        <v>-48150</v>
      </c>
      <c r="CU76" s="229">
        <v>-1.43E-2</v>
      </c>
      <c r="CV76" s="230">
        <v>14383950</v>
      </c>
      <c r="CW76" s="230">
        <v>14514600</v>
      </c>
      <c r="CX76" s="230">
        <v>-130650</v>
      </c>
      <c r="CY76" s="229">
        <v>-8.9999999999999993E-3</v>
      </c>
      <c r="CZ76" s="228">
        <v>32.08</v>
      </c>
      <c r="DA76" s="228">
        <v>32.35</v>
      </c>
      <c r="DB76" s="228">
        <v>-0.27</v>
      </c>
      <c r="DC76" s="228">
        <v>-0.27</v>
      </c>
      <c r="DD76" s="228">
        <v>39.18</v>
      </c>
      <c r="DE76" s="228">
        <v>39.28</v>
      </c>
      <c r="DF76" s="228">
        <v>-7.1</v>
      </c>
      <c r="DG76" s="228">
        <v>-0.1</v>
      </c>
      <c r="DH76" s="228">
        <v>30.13</v>
      </c>
      <c r="DI76" s="228">
        <v>31.4</v>
      </c>
      <c r="DJ76" s="228">
        <v>-1.27</v>
      </c>
      <c r="DK76" s="228">
        <v>-1.27</v>
      </c>
      <c r="DL76" s="228">
        <v>35.07</v>
      </c>
      <c r="DM76" s="228">
        <v>34.54</v>
      </c>
      <c r="DN76" s="228">
        <v>0.53</v>
      </c>
      <c r="DO76" s="228">
        <v>0.53</v>
      </c>
      <c r="DP76" s="228">
        <v>0.95</v>
      </c>
      <c r="DQ76" s="228">
        <v>0.96</v>
      </c>
      <c r="DR76" s="228">
        <v>-0.01</v>
      </c>
      <c r="DS76" s="229">
        <v>-1.04E-2</v>
      </c>
      <c r="DT76" s="231">
        <v>4400</v>
      </c>
      <c r="DU76" s="231">
        <v>3600</v>
      </c>
      <c r="DV76" s="228">
        <v>0.65</v>
      </c>
      <c r="DW76" s="228">
        <v>0.44</v>
      </c>
      <c r="DX76" s="228">
        <v>0.21</v>
      </c>
      <c r="DY76" s="229">
        <v>0.4773</v>
      </c>
      <c r="DZ76" s="229">
        <v>0.1137</v>
      </c>
      <c r="EA76" s="230">
        <v>788100</v>
      </c>
      <c r="EB76" s="229">
        <v>5.7999999999999996E-3</v>
      </c>
      <c r="EC76" s="229">
        <v>0.1137</v>
      </c>
      <c r="ED76" s="228">
        <v>26.09</v>
      </c>
      <c r="EE76" s="229">
        <v>6.0000000000000001E-3</v>
      </c>
      <c r="EF76" s="230">
        <v>493403</v>
      </c>
      <c r="EG76" s="230">
        <v>864217</v>
      </c>
      <c r="EH76" s="229">
        <v>-0.42909999999999998</v>
      </c>
      <c r="EI76" s="229">
        <v>0.43409999999999999</v>
      </c>
      <c r="EJ76" s="231">
        <v>215237.3</v>
      </c>
      <c r="EK76" s="231">
        <v>129621.32</v>
      </c>
      <c r="EL76" s="231">
        <v>41064.699999999997</v>
      </c>
      <c r="EM76" s="231">
        <v>10075</v>
      </c>
      <c r="EN76" s="231">
        <v>385923.32</v>
      </c>
      <c r="EO76" s="231">
        <v>1075650.44</v>
      </c>
      <c r="EP76" s="231">
        <v>-689727.12</v>
      </c>
      <c r="EQ76" s="229">
        <v>-0.64119999999999999</v>
      </c>
      <c r="ER76" s="231">
        <v>147462</v>
      </c>
      <c r="ES76" s="231">
        <v>131299</v>
      </c>
      <c r="ET76" s="231">
        <v>332033</v>
      </c>
      <c r="EU76" s="231">
        <v>28450886</v>
      </c>
      <c r="EV76" s="231">
        <v>610795</v>
      </c>
      <c r="EW76" s="231">
        <v>613737</v>
      </c>
      <c r="EX76" s="231">
        <v>-2942</v>
      </c>
      <c r="EY76" s="229">
        <v>-4.7999999999999996E-3</v>
      </c>
      <c r="EZ76" s="229">
        <v>0.50560000000000005</v>
      </c>
      <c r="FA76" s="227" t="s">
        <v>693</v>
      </c>
      <c r="FB76" s="161">
        <f t="shared" si="1"/>
        <v>858750</v>
      </c>
    </row>
    <row r="77" spans="1:158" ht="17.25" thickBot="1" x14ac:dyDescent="0.3">
      <c r="A77" s="226">
        <v>46129</v>
      </c>
      <c r="B77" s="227" t="s">
        <v>184</v>
      </c>
      <c r="C77" s="227" t="s">
        <v>220</v>
      </c>
      <c r="D77" s="228">
        <v>500</v>
      </c>
      <c r="E77" s="231">
        <v>1309.8</v>
      </c>
      <c r="F77" s="231">
        <v>1294</v>
      </c>
      <c r="G77" s="228">
        <v>15.8</v>
      </c>
      <c r="H77" s="229">
        <v>1.2200000000000001E-2</v>
      </c>
      <c r="I77" s="231">
        <v>1306.4000000000001</v>
      </c>
      <c r="J77" s="231">
        <v>1291.0999999999999</v>
      </c>
      <c r="K77" s="228">
        <v>15.3</v>
      </c>
      <c r="L77" s="229">
        <v>1.1900000000000001E-2</v>
      </c>
      <c r="M77" s="231">
        <v>1309.8</v>
      </c>
      <c r="N77" s="231">
        <v>1294</v>
      </c>
      <c r="O77" s="228">
        <v>15.8</v>
      </c>
      <c r="P77" s="229">
        <v>1.2200000000000001E-2</v>
      </c>
      <c r="Q77" s="231">
        <v>1311.9</v>
      </c>
      <c r="R77" s="231">
        <v>1296</v>
      </c>
      <c r="S77" s="228">
        <v>15.9</v>
      </c>
      <c r="T77" s="229">
        <v>1.23E-2</v>
      </c>
      <c r="U77" s="231">
        <v>1318.1</v>
      </c>
      <c r="V77" s="231">
        <v>1301</v>
      </c>
      <c r="W77" s="228">
        <v>17.100000000000001</v>
      </c>
      <c r="X77" s="229">
        <v>1.3100000000000001E-2</v>
      </c>
      <c r="Y77" s="228">
        <v>3.4</v>
      </c>
      <c r="Z77" s="228">
        <v>2.9</v>
      </c>
      <c r="AA77" s="228">
        <v>0.5</v>
      </c>
      <c r="AB77" s="229">
        <v>2.5999999999999999E-3</v>
      </c>
      <c r="AC77" s="228">
        <v>3.4</v>
      </c>
      <c r="AD77" s="228">
        <v>2.9</v>
      </c>
      <c r="AE77" s="228">
        <v>0.5</v>
      </c>
      <c r="AF77" s="229">
        <v>2.5999999999999999E-3</v>
      </c>
      <c r="AG77" s="228">
        <v>5.5</v>
      </c>
      <c r="AH77" s="228">
        <v>4.9000000000000004</v>
      </c>
      <c r="AI77" s="228">
        <v>0.6</v>
      </c>
      <c r="AJ77" s="229">
        <v>4.1999999999999997E-3</v>
      </c>
      <c r="AK77" s="228">
        <v>11.7</v>
      </c>
      <c r="AL77" s="228">
        <v>9.9</v>
      </c>
      <c r="AM77" s="228">
        <v>1.8</v>
      </c>
      <c r="AN77" s="229">
        <v>8.9999999999999993E-3</v>
      </c>
      <c r="AO77" s="231">
        <v>1307.57</v>
      </c>
      <c r="AP77" s="231">
        <v>1309.3699999999999</v>
      </c>
      <c r="AQ77" s="228">
        <v>0</v>
      </c>
      <c r="AR77" s="230">
        <v>1597500</v>
      </c>
      <c r="AS77" s="230">
        <v>2594500</v>
      </c>
      <c r="AT77" s="230">
        <v>-997000</v>
      </c>
      <c r="AU77" s="229">
        <v>-0.38429999999999997</v>
      </c>
      <c r="AV77" s="230">
        <v>1325500</v>
      </c>
      <c r="AW77" s="230">
        <v>2013500</v>
      </c>
      <c r="AX77" s="230">
        <v>-688000</v>
      </c>
      <c r="AY77" s="229">
        <v>-0.3417</v>
      </c>
      <c r="AZ77" s="230">
        <v>252500</v>
      </c>
      <c r="BA77" s="230">
        <v>548500</v>
      </c>
      <c r="BB77" s="230">
        <v>-296000</v>
      </c>
      <c r="BC77" s="229">
        <v>-0.53969999999999996</v>
      </c>
      <c r="BD77" s="230">
        <v>19500</v>
      </c>
      <c r="BE77" s="230">
        <v>32500</v>
      </c>
      <c r="BF77" s="230">
        <v>-13000</v>
      </c>
      <c r="BG77" s="229">
        <v>-0.4</v>
      </c>
      <c r="BH77" s="230">
        <v>4491500</v>
      </c>
      <c r="BI77" s="230">
        <v>3302000</v>
      </c>
      <c r="BJ77" s="230">
        <v>1189500</v>
      </c>
      <c r="BK77" s="229">
        <v>0.36020000000000002</v>
      </c>
      <c r="BL77" s="230">
        <v>1497500</v>
      </c>
      <c r="BM77" s="230">
        <v>1459500</v>
      </c>
      <c r="BN77" s="230">
        <v>38000</v>
      </c>
      <c r="BO77" s="229">
        <v>2.5999999999999999E-2</v>
      </c>
      <c r="BP77" s="230">
        <v>7586500</v>
      </c>
      <c r="BQ77" s="230">
        <v>7356000</v>
      </c>
      <c r="BR77" s="230">
        <v>230500</v>
      </c>
      <c r="BS77" s="229">
        <v>3.1300000000000001E-2</v>
      </c>
      <c r="BT77" s="230">
        <v>793275</v>
      </c>
      <c r="BU77" s="230">
        <v>1019664</v>
      </c>
      <c r="BV77" s="230">
        <v>-226389</v>
      </c>
      <c r="BW77" s="229">
        <v>-0.222</v>
      </c>
      <c r="BX77" s="230">
        <v>8921500</v>
      </c>
      <c r="BY77" s="230">
        <v>8825500</v>
      </c>
      <c r="BZ77" s="230">
        <v>96000</v>
      </c>
      <c r="CA77" s="229">
        <v>1.09E-2</v>
      </c>
      <c r="CB77" s="230">
        <v>8360000</v>
      </c>
      <c r="CC77" s="230">
        <v>8298000</v>
      </c>
      <c r="CD77" s="230">
        <v>62000</v>
      </c>
      <c r="CE77" s="229">
        <v>7.4999999999999997E-3</v>
      </c>
      <c r="CF77" s="230">
        <v>519000</v>
      </c>
      <c r="CG77" s="230">
        <v>487500</v>
      </c>
      <c r="CH77" s="230">
        <v>31500</v>
      </c>
      <c r="CI77" s="229">
        <v>6.4600000000000005E-2</v>
      </c>
      <c r="CJ77" s="230">
        <v>42500</v>
      </c>
      <c r="CK77" s="230">
        <v>40000</v>
      </c>
      <c r="CL77" s="230">
        <v>2500</v>
      </c>
      <c r="CM77" s="229">
        <v>6.25E-2</v>
      </c>
      <c r="CN77" s="230">
        <v>3176000</v>
      </c>
      <c r="CO77" s="230">
        <v>3007000</v>
      </c>
      <c r="CP77" s="230">
        <v>169000</v>
      </c>
      <c r="CQ77" s="229">
        <v>5.62E-2</v>
      </c>
      <c r="CR77" s="230">
        <v>2349000</v>
      </c>
      <c r="CS77" s="230">
        <v>2224500</v>
      </c>
      <c r="CT77" s="230">
        <v>124500</v>
      </c>
      <c r="CU77" s="229">
        <v>5.6000000000000001E-2</v>
      </c>
      <c r="CV77" s="230">
        <v>14446500</v>
      </c>
      <c r="CW77" s="230">
        <v>14057000</v>
      </c>
      <c r="CX77" s="230">
        <v>389500</v>
      </c>
      <c r="CY77" s="229">
        <v>2.7699999999999999E-2</v>
      </c>
      <c r="CZ77" s="228">
        <v>37.03</v>
      </c>
      <c r="DA77" s="228">
        <v>37.17</v>
      </c>
      <c r="DB77" s="228">
        <v>-0.14000000000000001</v>
      </c>
      <c r="DC77" s="228">
        <v>-0.14000000000000001</v>
      </c>
      <c r="DD77" s="228">
        <v>29.58</v>
      </c>
      <c r="DE77" s="228">
        <v>29.61</v>
      </c>
      <c r="DF77" s="228">
        <v>7.45</v>
      </c>
      <c r="DG77" s="228">
        <v>-0.03</v>
      </c>
      <c r="DH77" s="228">
        <v>36.479999999999997</v>
      </c>
      <c r="DI77" s="228">
        <v>36.380000000000003</v>
      </c>
      <c r="DJ77" s="228">
        <v>0.1</v>
      </c>
      <c r="DK77" s="228">
        <v>0.1</v>
      </c>
      <c r="DL77" s="228">
        <v>38.69</v>
      </c>
      <c r="DM77" s="228">
        <v>38.97</v>
      </c>
      <c r="DN77" s="228">
        <v>-0.28000000000000003</v>
      </c>
      <c r="DO77" s="228">
        <v>-0.28000000000000003</v>
      </c>
      <c r="DP77" s="228">
        <v>0.74</v>
      </c>
      <c r="DQ77" s="228">
        <v>0.74</v>
      </c>
      <c r="DR77" s="228">
        <v>0</v>
      </c>
      <c r="DS77" s="229">
        <v>0</v>
      </c>
      <c r="DT77" s="231">
        <v>1300</v>
      </c>
      <c r="DU77" s="231">
        <v>1200</v>
      </c>
      <c r="DV77" s="228">
        <v>0.33</v>
      </c>
      <c r="DW77" s="228">
        <v>0.44</v>
      </c>
      <c r="DX77" s="228">
        <v>-0.11</v>
      </c>
      <c r="DY77" s="229">
        <v>-0.25</v>
      </c>
      <c r="DZ77" s="229">
        <v>6.2899999999999998E-2</v>
      </c>
      <c r="EA77" s="230">
        <v>527500</v>
      </c>
      <c r="EB77" s="229">
        <v>1.6000000000000001E-3</v>
      </c>
      <c r="EC77" s="229">
        <v>6.2899999999999998E-2</v>
      </c>
      <c r="ED77" s="228">
        <v>1.8</v>
      </c>
      <c r="EE77" s="229">
        <v>1.4E-3</v>
      </c>
      <c r="EF77" s="230">
        <v>391368</v>
      </c>
      <c r="EG77" s="230">
        <v>494343</v>
      </c>
      <c r="EH77" s="229">
        <v>-0.20830000000000001</v>
      </c>
      <c r="EI77" s="229">
        <v>0.49340000000000001</v>
      </c>
      <c r="EJ77" s="231">
        <v>61321.66</v>
      </c>
      <c r="EK77" s="231">
        <v>19210.97</v>
      </c>
      <c r="EL77" s="231">
        <v>20894.3</v>
      </c>
      <c r="EM77" s="231">
        <v>4480</v>
      </c>
      <c r="EN77" s="231">
        <v>101426.93</v>
      </c>
      <c r="EO77" s="231">
        <v>96414.6</v>
      </c>
      <c r="EP77" s="231">
        <v>5012.33</v>
      </c>
      <c r="EQ77" s="229">
        <v>5.1999999999999998E-2</v>
      </c>
      <c r="ER77" s="231">
        <v>42148</v>
      </c>
      <c r="ES77" s="231">
        <v>28983</v>
      </c>
      <c r="ET77" s="231">
        <v>116868</v>
      </c>
      <c r="EU77" s="231">
        <v>29751886</v>
      </c>
      <c r="EV77" s="231">
        <v>188000</v>
      </c>
      <c r="EW77" s="231">
        <v>181455</v>
      </c>
      <c r="EX77" s="231">
        <v>6545</v>
      </c>
      <c r="EY77" s="229">
        <v>3.61E-2</v>
      </c>
      <c r="EZ77" s="229">
        <v>0.48559999999999998</v>
      </c>
      <c r="FA77" s="227" t="s">
        <v>555</v>
      </c>
      <c r="FB77" s="161">
        <f t="shared" si="1"/>
        <v>561500</v>
      </c>
    </row>
    <row r="78" spans="1:158" ht="17.25" thickBot="1" x14ac:dyDescent="0.3">
      <c r="A78" s="226">
        <v>46129</v>
      </c>
      <c r="B78" s="227" t="s">
        <v>221</v>
      </c>
      <c r="C78" s="227" t="s">
        <v>222</v>
      </c>
      <c r="D78" s="228">
        <v>350</v>
      </c>
      <c r="E78" s="231">
        <v>1415.3</v>
      </c>
      <c r="F78" s="231">
        <v>1420</v>
      </c>
      <c r="G78" s="228">
        <v>-4.7</v>
      </c>
      <c r="H78" s="229">
        <v>-3.3E-3</v>
      </c>
      <c r="I78" s="231">
        <v>1442.3</v>
      </c>
      <c r="J78" s="231">
        <v>1450.2</v>
      </c>
      <c r="K78" s="228">
        <v>-7.9</v>
      </c>
      <c r="L78" s="229">
        <v>-5.4000000000000003E-3</v>
      </c>
      <c r="M78" s="231">
        <v>1415.3</v>
      </c>
      <c r="N78" s="231">
        <v>1420</v>
      </c>
      <c r="O78" s="228">
        <v>-4.7</v>
      </c>
      <c r="P78" s="229">
        <v>-3.3E-3</v>
      </c>
      <c r="Q78" s="231">
        <v>1402.4</v>
      </c>
      <c r="R78" s="231">
        <v>1406.4</v>
      </c>
      <c r="S78" s="228">
        <v>-4</v>
      </c>
      <c r="T78" s="229">
        <v>-2.8E-3</v>
      </c>
      <c r="U78" s="231">
        <v>1398.2</v>
      </c>
      <c r="V78" s="231">
        <v>1397.7</v>
      </c>
      <c r="W78" s="228">
        <v>0.5</v>
      </c>
      <c r="X78" s="229">
        <v>4.0000000000000002E-4</v>
      </c>
      <c r="Y78" s="228">
        <v>-27</v>
      </c>
      <c r="Z78" s="228">
        <v>-30.2</v>
      </c>
      <c r="AA78" s="228">
        <v>3.2</v>
      </c>
      <c r="AB78" s="229">
        <v>-1.8700000000000001E-2</v>
      </c>
      <c r="AC78" s="228">
        <v>-27</v>
      </c>
      <c r="AD78" s="228">
        <v>-30.2</v>
      </c>
      <c r="AE78" s="228">
        <v>3.2</v>
      </c>
      <c r="AF78" s="229">
        <v>-1.8700000000000001E-2</v>
      </c>
      <c r="AG78" s="228">
        <v>-39.9</v>
      </c>
      <c r="AH78" s="228">
        <v>-43.8</v>
      </c>
      <c r="AI78" s="228">
        <v>3.9</v>
      </c>
      <c r="AJ78" s="229">
        <v>-2.7699999999999999E-2</v>
      </c>
      <c r="AK78" s="228">
        <v>-44.1</v>
      </c>
      <c r="AL78" s="228">
        <v>-52.5</v>
      </c>
      <c r="AM78" s="228">
        <v>8.4</v>
      </c>
      <c r="AN78" s="229">
        <v>-3.0599999999999999E-2</v>
      </c>
      <c r="AO78" s="231">
        <v>1412.66</v>
      </c>
      <c r="AP78" s="231">
        <v>1398.23</v>
      </c>
      <c r="AQ78" s="228">
        <v>0</v>
      </c>
      <c r="AR78" s="230">
        <v>7057400</v>
      </c>
      <c r="AS78" s="230">
        <v>10900050</v>
      </c>
      <c r="AT78" s="230">
        <v>-3842650</v>
      </c>
      <c r="AU78" s="229">
        <v>-0.35249999999999998</v>
      </c>
      <c r="AV78" s="230">
        <v>5533850</v>
      </c>
      <c r="AW78" s="230">
        <v>8897350</v>
      </c>
      <c r="AX78" s="230">
        <v>-3363500</v>
      </c>
      <c r="AY78" s="229">
        <v>-0.378</v>
      </c>
      <c r="AZ78" s="230">
        <v>1493800</v>
      </c>
      <c r="BA78" s="230">
        <v>1926750</v>
      </c>
      <c r="BB78" s="230">
        <v>-432950</v>
      </c>
      <c r="BC78" s="229">
        <v>-0.22470000000000001</v>
      </c>
      <c r="BD78" s="230">
        <v>29750</v>
      </c>
      <c r="BE78" s="230">
        <v>75950</v>
      </c>
      <c r="BF78" s="230">
        <v>-46200</v>
      </c>
      <c r="BG78" s="229">
        <v>-0.60829999999999995</v>
      </c>
      <c r="BH78" s="230">
        <v>10275300</v>
      </c>
      <c r="BI78" s="230">
        <v>14999950</v>
      </c>
      <c r="BJ78" s="230">
        <v>-4724650</v>
      </c>
      <c r="BK78" s="229">
        <v>-0.315</v>
      </c>
      <c r="BL78" s="230">
        <v>5757500</v>
      </c>
      <c r="BM78" s="230">
        <v>8384250</v>
      </c>
      <c r="BN78" s="230">
        <v>-2626750</v>
      </c>
      <c r="BO78" s="229">
        <v>-0.31330000000000002</v>
      </c>
      <c r="BP78" s="230">
        <v>23090200</v>
      </c>
      <c r="BQ78" s="230">
        <v>34284250</v>
      </c>
      <c r="BR78" s="230">
        <v>-11194050</v>
      </c>
      <c r="BS78" s="229">
        <v>-0.32650000000000001</v>
      </c>
      <c r="BT78" s="230">
        <v>3608781</v>
      </c>
      <c r="BU78" s="230">
        <v>5371927</v>
      </c>
      <c r="BV78" s="230">
        <v>-1763146</v>
      </c>
      <c r="BW78" s="229">
        <v>-0.32819999999999999</v>
      </c>
      <c r="BX78" s="230">
        <v>42867300</v>
      </c>
      <c r="BY78" s="230">
        <v>41508950</v>
      </c>
      <c r="BZ78" s="230">
        <v>1358350</v>
      </c>
      <c r="CA78" s="229">
        <v>3.27E-2</v>
      </c>
      <c r="CB78" s="230">
        <v>36706600</v>
      </c>
      <c r="CC78" s="230">
        <v>36147650</v>
      </c>
      <c r="CD78" s="230">
        <v>558950</v>
      </c>
      <c r="CE78" s="229">
        <v>1.55E-2</v>
      </c>
      <c r="CF78" s="230">
        <v>5937400</v>
      </c>
      <c r="CG78" s="230">
        <v>5150950</v>
      </c>
      <c r="CH78" s="230">
        <v>786450</v>
      </c>
      <c r="CI78" s="229">
        <v>0.1527</v>
      </c>
      <c r="CJ78" s="230">
        <v>223300</v>
      </c>
      <c r="CK78" s="230">
        <v>210350</v>
      </c>
      <c r="CL78" s="230">
        <v>12950</v>
      </c>
      <c r="CM78" s="229">
        <v>6.1600000000000002E-2</v>
      </c>
      <c r="CN78" s="230">
        <v>7123550</v>
      </c>
      <c r="CO78" s="230">
        <v>6675200</v>
      </c>
      <c r="CP78" s="230">
        <v>448350</v>
      </c>
      <c r="CQ78" s="229">
        <v>6.7199999999999996E-2</v>
      </c>
      <c r="CR78" s="230">
        <v>5924100</v>
      </c>
      <c r="CS78" s="230">
        <v>5715150</v>
      </c>
      <c r="CT78" s="230">
        <v>208950</v>
      </c>
      <c r="CU78" s="229">
        <v>3.6600000000000001E-2</v>
      </c>
      <c r="CV78" s="230">
        <v>55914950</v>
      </c>
      <c r="CW78" s="230">
        <v>53899300</v>
      </c>
      <c r="CX78" s="230">
        <v>2015650</v>
      </c>
      <c r="CY78" s="229">
        <v>3.7400000000000003E-2</v>
      </c>
      <c r="CZ78" s="228">
        <v>35.65</v>
      </c>
      <c r="DA78" s="228">
        <v>35.14</v>
      </c>
      <c r="DB78" s="228">
        <v>0.51</v>
      </c>
      <c r="DC78" s="228">
        <v>0.51</v>
      </c>
      <c r="DD78" s="228">
        <v>29.34</v>
      </c>
      <c r="DE78" s="228">
        <v>29.4</v>
      </c>
      <c r="DF78" s="228">
        <v>6.31</v>
      </c>
      <c r="DG78" s="228">
        <v>-0.06</v>
      </c>
      <c r="DH78" s="228">
        <v>35.47</v>
      </c>
      <c r="DI78" s="228">
        <v>34.56</v>
      </c>
      <c r="DJ78" s="228">
        <v>0.91</v>
      </c>
      <c r="DK78" s="228">
        <v>0.91</v>
      </c>
      <c r="DL78" s="228">
        <v>35.979999999999997</v>
      </c>
      <c r="DM78" s="228">
        <v>36.18</v>
      </c>
      <c r="DN78" s="228">
        <v>-0.2</v>
      </c>
      <c r="DO78" s="228">
        <v>-0.2</v>
      </c>
      <c r="DP78" s="228">
        <v>0.83</v>
      </c>
      <c r="DQ78" s="228">
        <v>0.86</v>
      </c>
      <c r="DR78" s="228">
        <v>-0.03</v>
      </c>
      <c r="DS78" s="229">
        <v>-3.49E-2</v>
      </c>
      <c r="DT78" s="231">
        <v>1440</v>
      </c>
      <c r="DU78" s="231">
        <v>1400</v>
      </c>
      <c r="DV78" s="228">
        <v>0.56000000000000005</v>
      </c>
      <c r="DW78" s="228">
        <v>0.56000000000000005</v>
      </c>
      <c r="DX78" s="228">
        <v>0</v>
      </c>
      <c r="DY78" s="229">
        <v>0</v>
      </c>
      <c r="DZ78" s="229">
        <v>0.14369999999999999</v>
      </c>
      <c r="EA78" s="230">
        <v>5361300</v>
      </c>
      <c r="EB78" s="229">
        <v>-9.1000000000000004E-3</v>
      </c>
      <c r="EC78" s="229">
        <v>0.14369999999999999</v>
      </c>
      <c r="ED78" s="228">
        <v>-14.43</v>
      </c>
      <c r="EE78" s="229">
        <v>-1.0200000000000001E-2</v>
      </c>
      <c r="EF78" s="230">
        <v>2104908</v>
      </c>
      <c r="EG78" s="230">
        <v>3004978</v>
      </c>
      <c r="EH78" s="229">
        <v>-0.29949999999999999</v>
      </c>
      <c r="EI78" s="229">
        <v>0.58330000000000004</v>
      </c>
      <c r="EJ78" s="231">
        <v>152306.97</v>
      </c>
      <c r="EK78" s="231">
        <v>81840.289999999994</v>
      </c>
      <c r="EL78" s="231">
        <v>99475.79</v>
      </c>
      <c r="EM78" s="231">
        <v>20055</v>
      </c>
      <c r="EN78" s="231">
        <v>333623.05</v>
      </c>
      <c r="EO78" s="231">
        <v>496293.89</v>
      </c>
      <c r="EP78" s="231">
        <v>-162670.84</v>
      </c>
      <c r="EQ78" s="229">
        <v>-0.32779999999999998</v>
      </c>
      <c r="ER78" s="231">
        <v>104221</v>
      </c>
      <c r="ES78" s="231">
        <v>80650</v>
      </c>
      <c r="ET78" s="231">
        <v>605897</v>
      </c>
      <c r="EU78" s="231">
        <v>145140505</v>
      </c>
      <c r="EV78" s="231">
        <v>790768</v>
      </c>
      <c r="EW78" s="231">
        <v>764042</v>
      </c>
      <c r="EX78" s="231">
        <v>26726</v>
      </c>
      <c r="EY78" s="229">
        <v>3.5000000000000003E-2</v>
      </c>
      <c r="EZ78" s="229">
        <v>0.38519999999999999</v>
      </c>
      <c r="FA78" s="227" t="s">
        <v>566</v>
      </c>
      <c r="FB78" s="161">
        <f t="shared" si="1"/>
        <v>6160700</v>
      </c>
    </row>
    <row r="79" spans="1:158" ht="17.25" thickBot="1" x14ac:dyDescent="0.3">
      <c r="A79" s="226">
        <v>46129</v>
      </c>
      <c r="B79" s="227" t="s">
        <v>175</v>
      </c>
      <c r="C79" s="227" t="s">
        <v>475</v>
      </c>
      <c r="D79" s="228">
        <v>300</v>
      </c>
      <c r="E79" s="231">
        <v>2791.6</v>
      </c>
      <c r="F79" s="231">
        <v>2662.2</v>
      </c>
      <c r="G79" s="228">
        <v>129.4</v>
      </c>
      <c r="H79" s="229">
        <v>4.8599999999999997E-2</v>
      </c>
      <c r="I79" s="231">
        <v>2792.4</v>
      </c>
      <c r="J79" s="231">
        <v>2662.2</v>
      </c>
      <c r="K79" s="228">
        <v>130.19999999999999</v>
      </c>
      <c r="L79" s="229">
        <v>4.8899999999999999E-2</v>
      </c>
      <c r="M79" s="231">
        <v>2791.6</v>
      </c>
      <c r="N79" s="231">
        <v>2662.2</v>
      </c>
      <c r="O79" s="228">
        <v>129.4</v>
      </c>
      <c r="P79" s="229">
        <v>4.8599999999999997E-2</v>
      </c>
      <c r="Q79" s="231">
        <v>2803.1</v>
      </c>
      <c r="R79" s="231">
        <v>2673</v>
      </c>
      <c r="S79" s="228">
        <v>130.1</v>
      </c>
      <c r="T79" s="229">
        <v>4.87E-2</v>
      </c>
      <c r="U79" s="231">
        <v>2810.8</v>
      </c>
      <c r="V79" s="231">
        <v>2684.5</v>
      </c>
      <c r="W79" s="228">
        <v>126.3</v>
      </c>
      <c r="X79" s="229">
        <v>4.7E-2</v>
      </c>
      <c r="Y79" s="228">
        <v>-0.8</v>
      </c>
      <c r="Z79" s="228">
        <v>0</v>
      </c>
      <c r="AA79" s="228">
        <v>-0.8</v>
      </c>
      <c r="AB79" s="229">
        <v>-2.9999999999999997E-4</v>
      </c>
      <c r="AC79" s="228">
        <v>-0.8</v>
      </c>
      <c r="AD79" s="228">
        <v>0</v>
      </c>
      <c r="AE79" s="228">
        <v>-0.8</v>
      </c>
      <c r="AF79" s="229">
        <v>-2.9999999999999997E-4</v>
      </c>
      <c r="AG79" s="228">
        <v>10.7</v>
      </c>
      <c r="AH79" s="228">
        <v>10.8</v>
      </c>
      <c r="AI79" s="228">
        <v>-0.1</v>
      </c>
      <c r="AJ79" s="229">
        <v>3.8E-3</v>
      </c>
      <c r="AK79" s="228">
        <v>18.399999999999999</v>
      </c>
      <c r="AL79" s="228">
        <v>22.3</v>
      </c>
      <c r="AM79" s="228">
        <v>-3.9</v>
      </c>
      <c r="AN79" s="229">
        <v>6.6E-3</v>
      </c>
      <c r="AO79" s="231">
        <v>2762.05</v>
      </c>
      <c r="AP79" s="231">
        <v>2776.6</v>
      </c>
      <c r="AQ79" s="228">
        <v>0</v>
      </c>
      <c r="AR79" s="230">
        <v>2414100</v>
      </c>
      <c r="AS79" s="230">
        <v>3707700</v>
      </c>
      <c r="AT79" s="230">
        <v>-1293600</v>
      </c>
      <c r="AU79" s="229">
        <v>-0.34889999999999999</v>
      </c>
      <c r="AV79" s="230">
        <v>2199000</v>
      </c>
      <c r="AW79" s="230">
        <v>3304800</v>
      </c>
      <c r="AX79" s="230">
        <v>-1105800</v>
      </c>
      <c r="AY79" s="229">
        <v>-0.33460000000000001</v>
      </c>
      <c r="AZ79" s="230">
        <v>194100</v>
      </c>
      <c r="BA79" s="230">
        <v>291600</v>
      </c>
      <c r="BB79" s="230">
        <v>-97500</v>
      </c>
      <c r="BC79" s="229">
        <v>-0.33439999999999998</v>
      </c>
      <c r="BD79" s="230">
        <v>21000</v>
      </c>
      <c r="BE79" s="230">
        <v>111300</v>
      </c>
      <c r="BF79" s="230">
        <v>-90300</v>
      </c>
      <c r="BG79" s="229">
        <v>-0.81130000000000002</v>
      </c>
      <c r="BH79" s="230">
        <v>20601000</v>
      </c>
      <c r="BI79" s="230">
        <v>15552900</v>
      </c>
      <c r="BJ79" s="230">
        <v>5048100</v>
      </c>
      <c r="BK79" s="229">
        <v>0.3246</v>
      </c>
      <c r="BL79" s="230">
        <v>9114000</v>
      </c>
      <c r="BM79" s="230">
        <v>10475400</v>
      </c>
      <c r="BN79" s="230">
        <v>-1361400</v>
      </c>
      <c r="BO79" s="229">
        <v>-0.13</v>
      </c>
      <c r="BP79" s="230">
        <v>32129100</v>
      </c>
      <c r="BQ79" s="230">
        <v>29736000</v>
      </c>
      <c r="BR79" s="230">
        <v>2393100</v>
      </c>
      <c r="BS79" s="229">
        <v>8.0500000000000002E-2</v>
      </c>
      <c r="BT79" s="230">
        <v>2369564</v>
      </c>
      <c r="BU79" s="230">
        <v>3073493</v>
      </c>
      <c r="BV79" s="230">
        <v>-703929</v>
      </c>
      <c r="BW79" s="229">
        <v>-0.22900000000000001</v>
      </c>
      <c r="BX79" s="230">
        <v>5727600</v>
      </c>
      <c r="BY79" s="230">
        <v>5671800</v>
      </c>
      <c r="BZ79" s="230">
        <v>55800</v>
      </c>
      <c r="CA79" s="229">
        <v>9.7999999999999997E-3</v>
      </c>
      <c r="CB79" s="230">
        <v>5465100</v>
      </c>
      <c r="CC79" s="230">
        <v>5448600</v>
      </c>
      <c r="CD79" s="230">
        <v>16500</v>
      </c>
      <c r="CE79" s="229">
        <v>3.0000000000000001E-3</v>
      </c>
      <c r="CF79" s="230">
        <v>201000</v>
      </c>
      <c r="CG79" s="230">
        <v>162000</v>
      </c>
      <c r="CH79" s="230">
        <v>39000</v>
      </c>
      <c r="CI79" s="229">
        <v>0.2407</v>
      </c>
      <c r="CJ79" s="230">
        <v>61500</v>
      </c>
      <c r="CK79" s="230">
        <v>61200</v>
      </c>
      <c r="CL79" s="228">
        <v>300</v>
      </c>
      <c r="CM79" s="229">
        <v>4.8999999999999998E-3</v>
      </c>
      <c r="CN79" s="230">
        <v>2534400</v>
      </c>
      <c r="CO79" s="230">
        <v>2461800</v>
      </c>
      <c r="CP79" s="230">
        <v>72600</v>
      </c>
      <c r="CQ79" s="229">
        <v>2.9499999999999998E-2</v>
      </c>
      <c r="CR79" s="230">
        <v>2455500</v>
      </c>
      <c r="CS79" s="230">
        <v>1715400</v>
      </c>
      <c r="CT79" s="230">
        <v>740100</v>
      </c>
      <c r="CU79" s="229">
        <v>0.43140000000000001</v>
      </c>
      <c r="CV79" s="230">
        <v>10717500</v>
      </c>
      <c r="CW79" s="230">
        <v>9849000</v>
      </c>
      <c r="CX79" s="230">
        <v>868500</v>
      </c>
      <c r="CY79" s="229">
        <v>8.8200000000000001E-2</v>
      </c>
      <c r="CZ79" s="228">
        <v>33.130000000000003</v>
      </c>
      <c r="DA79" s="228">
        <v>36.47</v>
      </c>
      <c r="DB79" s="228">
        <v>-3.34</v>
      </c>
      <c r="DC79" s="228">
        <v>-3.34</v>
      </c>
      <c r="DD79" s="228">
        <v>39.42</v>
      </c>
      <c r="DE79" s="228">
        <v>38.979999999999997</v>
      </c>
      <c r="DF79" s="228">
        <v>-6.29</v>
      </c>
      <c r="DG79" s="228">
        <v>0.44</v>
      </c>
      <c r="DH79" s="228">
        <v>31.17</v>
      </c>
      <c r="DI79" s="228">
        <v>35.43</v>
      </c>
      <c r="DJ79" s="228">
        <v>-4.26</v>
      </c>
      <c r="DK79" s="228">
        <v>-4.26</v>
      </c>
      <c r="DL79" s="228">
        <v>37.58</v>
      </c>
      <c r="DM79" s="228">
        <v>38.020000000000003</v>
      </c>
      <c r="DN79" s="228">
        <v>-0.44</v>
      </c>
      <c r="DO79" s="228">
        <v>-0.44</v>
      </c>
      <c r="DP79" s="228">
        <v>0.97</v>
      </c>
      <c r="DQ79" s="228">
        <v>0.7</v>
      </c>
      <c r="DR79" s="228">
        <v>0.27</v>
      </c>
      <c r="DS79" s="229">
        <v>0.38569999999999999</v>
      </c>
      <c r="DT79" s="231">
        <v>3000</v>
      </c>
      <c r="DU79" s="231">
        <v>2700</v>
      </c>
      <c r="DV79" s="228">
        <v>0.44</v>
      </c>
      <c r="DW79" s="228">
        <v>0.67</v>
      </c>
      <c r="DX79" s="228">
        <v>-0.23</v>
      </c>
      <c r="DY79" s="229">
        <v>-0.34329999999999999</v>
      </c>
      <c r="DZ79" s="229">
        <v>4.58E-2</v>
      </c>
      <c r="EA79" s="230">
        <v>223200</v>
      </c>
      <c r="EB79" s="229">
        <v>4.1000000000000003E-3</v>
      </c>
      <c r="EC79" s="229">
        <v>4.58E-2</v>
      </c>
      <c r="ED79" s="228">
        <v>14.55</v>
      </c>
      <c r="EE79" s="229">
        <v>5.3E-3</v>
      </c>
      <c r="EF79" s="230">
        <v>1170540</v>
      </c>
      <c r="EG79" s="230">
        <v>1474337</v>
      </c>
      <c r="EH79" s="229">
        <v>-0.20610000000000001</v>
      </c>
      <c r="EI79" s="229">
        <v>0.49399999999999999</v>
      </c>
      <c r="EJ79" s="231">
        <v>589349.94999999995</v>
      </c>
      <c r="EK79" s="231">
        <v>243751.89</v>
      </c>
      <c r="EL79" s="231">
        <v>66711.08</v>
      </c>
      <c r="EM79" s="231">
        <v>7121</v>
      </c>
      <c r="EN79" s="231">
        <v>899812.92</v>
      </c>
      <c r="EO79" s="231">
        <v>810794.38</v>
      </c>
      <c r="EP79" s="231">
        <v>89018.54</v>
      </c>
      <c r="EQ79" s="229">
        <v>0.10979999999999999</v>
      </c>
      <c r="ER79" s="231">
        <v>70167</v>
      </c>
      <c r="ES79" s="231">
        <v>62808</v>
      </c>
      <c r="ET79" s="231">
        <v>159927</v>
      </c>
      <c r="EU79" s="231">
        <v>30592324</v>
      </c>
      <c r="EV79" s="231">
        <v>292902</v>
      </c>
      <c r="EW79" s="231">
        <v>260367</v>
      </c>
      <c r="EX79" s="231">
        <v>32535</v>
      </c>
      <c r="EY79" s="229">
        <v>0.125</v>
      </c>
      <c r="EZ79" s="229">
        <v>0.3503</v>
      </c>
      <c r="FA79" s="227" t="s">
        <v>555</v>
      </c>
      <c r="FB79" s="161">
        <f t="shared" si="1"/>
        <v>262500</v>
      </c>
    </row>
    <row r="80" spans="1:158" ht="17.25" thickBot="1" x14ac:dyDescent="0.3">
      <c r="A80" s="226">
        <v>46129</v>
      </c>
      <c r="B80" s="227" t="s">
        <v>172</v>
      </c>
      <c r="C80" s="227" t="s">
        <v>224</v>
      </c>
      <c r="D80" s="228">
        <v>550</v>
      </c>
      <c r="E80" s="228">
        <v>801.6</v>
      </c>
      <c r="F80" s="228">
        <v>795.85</v>
      </c>
      <c r="G80" s="228">
        <v>5.75</v>
      </c>
      <c r="H80" s="229">
        <v>7.1999999999999998E-3</v>
      </c>
      <c r="I80" s="228">
        <v>799.9</v>
      </c>
      <c r="J80" s="228">
        <v>795.45</v>
      </c>
      <c r="K80" s="228">
        <v>4.45</v>
      </c>
      <c r="L80" s="229">
        <v>5.5999999999999999E-3</v>
      </c>
      <c r="M80" s="228">
        <v>801.6</v>
      </c>
      <c r="N80" s="228">
        <v>795.85</v>
      </c>
      <c r="O80" s="228">
        <v>5.75</v>
      </c>
      <c r="P80" s="229">
        <v>7.1999999999999998E-3</v>
      </c>
      <c r="Q80" s="228">
        <v>803.2</v>
      </c>
      <c r="R80" s="228">
        <v>798.2</v>
      </c>
      <c r="S80" s="228">
        <v>5</v>
      </c>
      <c r="T80" s="229">
        <v>6.3E-3</v>
      </c>
      <c r="U80" s="228">
        <v>799.05</v>
      </c>
      <c r="V80" s="228">
        <v>793.4</v>
      </c>
      <c r="W80" s="228">
        <v>5.65</v>
      </c>
      <c r="X80" s="229">
        <v>7.1000000000000004E-3</v>
      </c>
      <c r="Y80" s="228">
        <v>1.7</v>
      </c>
      <c r="Z80" s="228">
        <v>0.4</v>
      </c>
      <c r="AA80" s="228">
        <v>1.3</v>
      </c>
      <c r="AB80" s="229">
        <v>2.0999999999999999E-3</v>
      </c>
      <c r="AC80" s="228">
        <v>1.7</v>
      </c>
      <c r="AD80" s="228">
        <v>0.4</v>
      </c>
      <c r="AE80" s="228">
        <v>1.3</v>
      </c>
      <c r="AF80" s="229">
        <v>2.0999999999999999E-3</v>
      </c>
      <c r="AG80" s="228">
        <v>3.3</v>
      </c>
      <c r="AH80" s="228">
        <v>2.75</v>
      </c>
      <c r="AI80" s="228">
        <v>0.55000000000000004</v>
      </c>
      <c r="AJ80" s="229">
        <v>4.1000000000000003E-3</v>
      </c>
      <c r="AK80" s="228">
        <v>-0.85</v>
      </c>
      <c r="AL80" s="228">
        <v>-2.0499999999999998</v>
      </c>
      <c r="AM80" s="228">
        <v>1.2</v>
      </c>
      <c r="AN80" s="229">
        <v>-1.1000000000000001E-3</v>
      </c>
      <c r="AO80" s="228">
        <v>800.21</v>
      </c>
      <c r="AP80" s="228">
        <v>802.07</v>
      </c>
      <c r="AQ80" s="228">
        <v>0</v>
      </c>
      <c r="AR80" s="230">
        <v>33108900</v>
      </c>
      <c r="AS80" s="230">
        <v>48368650</v>
      </c>
      <c r="AT80" s="230">
        <v>-15259750</v>
      </c>
      <c r="AU80" s="229">
        <v>-0.3155</v>
      </c>
      <c r="AV80" s="230">
        <v>26361500</v>
      </c>
      <c r="AW80" s="230">
        <v>39002700</v>
      </c>
      <c r="AX80" s="230">
        <v>-12641200</v>
      </c>
      <c r="AY80" s="229">
        <v>-0.3241</v>
      </c>
      <c r="AZ80" s="230">
        <v>5507150</v>
      </c>
      <c r="BA80" s="230">
        <v>7082350</v>
      </c>
      <c r="BB80" s="230">
        <v>-1575200</v>
      </c>
      <c r="BC80" s="229">
        <v>-0.22239999999999999</v>
      </c>
      <c r="BD80" s="230">
        <v>1240250</v>
      </c>
      <c r="BE80" s="230">
        <v>2283600</v>
      </c>
      <c r="BF80" s="230">
        <v>-1043350</v>
      </c>
      <c r="BG80" s="229">
        <v>-0.45689999999999997</v>
      </c>
      <c r="BH80" s="230">
        <v>105810650</v>
      </c>
      <c r="BI80" s="230">
        <v>75041450</v>
      </c>
      <c r="BJ80" s="230">
        <v>30769200</v>
      </c>
      <c r="BK80" s="229">
        <v>0.41</v>
      </c>
      <c r="BL80" s="230">
        <v>57940850</v>
      </c>
      <c r="BM80" s="230">
        <v>49418600</v>
      </c>
      <c r="BN80" s="230">
        <v>8522250</v>
      </c>
      <c r="BO80" s="229">
        <v>0.17249999999999999</v>
      </c>
      <c r="BP80" s="230">
        <v>196860400</v>
      </c>
      <c r="BQ80" s="230">
        <v>172828700</v>
      </c>
      <c r="BR80" s="230">
        <v>24031700</v>
      </c>
      <c r="BS80" s="229">
        <v>0.13900000000000001</v>
      </c>
      <c r="BT80" s="230">
        <v>38872616</v>
      </c>
      <c r="BU80" s="230">
        <v>68258590</v>
      </c>
      <c r="BV80" s="230">
        <v>-29385974</v>
      </c>
      <c r="BW80" s="229">
        <v>-0.43049999999999999</v>
      </c>
      <c r="BX80" s="230">
        <v>330540100</v>
      </c>
      <c r="BY80" s="230">
        <v>327433700</v>
      </c>
      <c r="BZ80" s="230">
        <v>3106400</v>
      </c>
      <c r="CA80" s="229">
        <v>9.4999999999999998E-3</v>
      </c>
      <c r="CB80" s="230">
        <v>288009150</v>
      </c>
      <c r="CC80" s="230">
        <v>289053050</v>
      </c>
      <c r="CD80" s="230">
        <v>-1043900</v>
      </c>
      <c r="CE80" s="229">
        <v>-3.5999999999999999E-3</v>
      </c>
      <c r="CF80" s="230">
        <v>24295700</v>
      </c>
      <c r="CG80" s="230">
        <v>20941250</v>
      </c>
      <c r="CH80" s="230">
        <v>3354450</v>
      </c>
      <c r="CI80" s="229">
        <v>0.16020000000000001</v>
      </c>
      <c r="CJ80" s="230">
        <v>18235250</v>
      </c>
      <c r="CK80" s="230">
        <v>17439400</v>
      </c>
      <c r="CL80" s="230">
        <v>795850</v>
      </c>
      <c r="CM80" s="229">
        <v>4.5600000000000002E-2</v>
      </c>
      <c r="CN80" s="230">
        <v>97987450</v>
      </c>
      <c r="CO80" s="230">
        <v>83305200</v>
      </c>
      <c r="CP80" s="230">
        <v>14682250</v>
      </c>
      <c r="CQ80" s="229">
        <v>0.1762</v>
      </c>
      <c r="CR80" s="230">
        <v>55635250</v>
      </c>
      <c r="CS80" s="230">
        <v>46867700</v>
      </c>
      <c r="CT80" s="230">
        <v>8767550</v>
      </c>
      <c r="CU80" s="229">
        <v>0.18709999999999999</v>
      </c>
      <c r="CV80" s="230">
        <v>484162800</v>
      </c>
      <c r="CW80" s="230">
        <v>457606600</v>
      </c>
      <c r="CX80" s="230">
        <v>26556200</v>
      </c>
      <c r="CY80" s="229">
        <v>5.8000000000000003E-2</v>
      </c>
      <c r="CZ80" s="228">
        <v>34.020000000000003</v>
      </c>
      <c r="DA80" s="228">
        <v>34.409999999999997</v>
      </c>
      <c r="DB80" s="228">
        <v>-0.39</v>
      </c>
      <c r="DC80" s="228">
        <v>-0.39</v>
      </c>
      <c r="DD80" s="228">
        <v>25.35</v>
      </c>
      <c r="DE80" s="228">
        <v>25.4</v>
      </c>
      <c r="DF80" s="228">
        <v>8.67</v>
      </c>
      <c r="DG80" s="228">
        <v>-0.05</v>
      </c>
      <c r="DH80" s="228">
        <v>34.22</v>
      </c>
      <c r="DI80" s="228">
        <v>34.56</v>
      </c>
      <c r="DJ80" s="228">
        <v>-0.34</v>
      </c>
      <c r="DK80" s="228">
        <v>-0.34</v>
      </c>
      <c r="DL80" s="228">
        <v>33.64</v>
      </c>
      <c r="DM80" s="228">
        <v>34.18</v>
      </c>
      <c r="DN80" s="228">
        <v>-0.54</v>
      </c>
      <c r="DO80" s="228">
        <v>-0.54</v>
      </c>
      <c r="DP80" s="228">
        <v>0.56999999999999995</v>
      </c>
      <c r="DQ80" s="228">
        <v>0.56000000000000005</v>
      </c>
      <c r="DR80" s="228">
        <v>0.01</v>
      </c>
      <c r="DS80" s="229">
        <v>1.7899999999999999E-2</v>
      </c>
      <c r="DT80" s="228">
        <v>800</v>
      </c>
      <c r="DU80" s="228">
        <v>800</v>
      </c>
      <c r="DV80" s="228">
        <v>0.55000000000000004</v>
      </c>
      <c r="DW80" s="228">
        <v>0.66</v>
      </c>
      <c r="DX80" s="228">
        <v>-0.11</v>
      </c>
      <c r="DY80" s="229">
        <v>-0.16669999999999999</v>
      </c>
      <c r="DZ80" s="229">
        <v>0.12870000000000001</v>
      </c>
      <c r="EA80" s="230">
        <v>38380650</v>
      </c>
      <c r="EB80" s="229">
        <v>2E-3</v>
      </c>
      <c r="EC80" s="229">
        <v>0.12870000000000001</v>
      </c>
      <c r="ED80" s="228">
        <v>1.86</v>
      </c>
      <c r="EE80" s="229">
        <v>2.3E-3</v>
      </c>
      <c r="EF80" s="230">
        <v>24425141</v>
      </c>
      <c r="EG80" s="230">
        <v>28038753</v>
      </c>
      <c r="EH80" s="229">
        <v>-0.12889999999999999</v>
      </c>
      <c r="EI80" s="229">
        <v>0.62829999999999997</v>
      </c>
      <c r="EJ80" s="231">
        <v>893494.45</v>
      </c>
      <c r="EK80" s="231">
        <v>452381.98</v>
      </c>
      <c r="EL80" s="231">
        <v>265007.59000000003</v>
      </c>
      <c r="EM80" s="231">
        <v>56416</v>
      </c>
      <c r="EN80" s="231">
        <v>1610884.02</v>
      </c>
      <c r="EO80" s="231">
        <v>1410480.58</v>
      </c>
      <c r="EP80" s="231">
        <v>200403.44</v>
      </c>
      <c r="EQ80" s="229">
        <v>0.1421</v>
      </c>
      <c r="ER80" s="231">
        <v>821111</v>
      </c>
      <c r="ES80" s="231">
        <v>430385</v>
      </c>
      <c r="ET80" s="231">
        <v>2649533</v>
      </c>
      <c r="EU80" s="231">
        <v>1496665645</v>
      </c>
      <c r="EV80" s="231">
        <v>3901030</v>
      </c>
      <c r="EW80" s="231">
        <v>3666451</v>
      </c>
      <c r="EX80" s="231">
        <v>234579</v>
      </c>
      <c r="EY80" s="229">
        <v>6.4000000000000001E-2</v>
      </c>
      <c r="EZ80" s="229">
        <v>0.32350000000000001</v>
      </c>
      <c r="FA80" s="227" t="s">
        <v>555</v>
      </c>
      <c r="FB80" s="161">
        <f t="shared" si="1"/>
        <v>42530950</v>
      </c>
    </row>
    <row r="81" spans="1:158" ht="17.25" thickBot="1" x14ac:dyDescent="0.3">
      <c r="A81" s="226">
        <v>46129</v>
      </c>
      <c r="B81" s="227" t="s">
        <v>175</v>
      </c>
      <c r="C81" s="227" t="s">
        <v>225</v>
      </c>
      <c r="D81" s="228">
        <v>1100</v>
      </c>
      <c r="E81" s="228">
        <v>616.29999999999995</v>
      </c>
      <c r="F81" s="228">
        <v>633.1</v>
      </c>
      <c r="G81" s="228">
        <v>-16.8</v>
      </c>
      <c r="H81" s="229">
        <v>-2.6499999999999999E-2</v>
      </c>
      <c r="I81" s="228">
        <v>616.45000000000005</v>
      </c>
      <c r="J81" s="228">
        <v>631.5</v>
      </c>
      <c r="K81" s="228">
        <v>-15.05</v>
      </c>
      <c r="L81" s="229">
        <v>-2.3800000000000002E-2</v>
      </c>
      <c r="M81" s="228">
        <v>616.29999999999995</v>
      </c>
      <c r="N81" s="228">
        <v>633.1</v>
      </c>
      <c r="O81" s="228">
        <v>-16.8</v>
      </c>
      <c r="P81" s="229">
        <v>-2.6499999999999999E-2</v>
      </c>
      <c r="Q81" s="228">
        <v>619.6</v>
      </c>
      <c r="R81" s="228">
        <v>636.6</v>
      </c>
      <c r="S81" s="228">
        <v>-17</v>
      </c>
      <c r="T81" s="229">
        <v>-2.6700000000000002E-2</v>
      </c>
      <c r="U81" s="228">
        <v>621.1</v>
      </c>
      <c r="V81" s="228">
        <v>638.4</v>
      </c>
      <c r="W81" s="228">
        <v>-17.3</v>
      </c>
      <c r="X81" s="229">
        <v>-2.7099999999999999E-2</v>
      </c>
      <c r="Y81" s="228">
        <v>-0.15</v>
      </c>
      <c r="Z81" s="228">
        <v>1.6</v>
      </c>
      <c r="AA81" s="228">
        <v>-1.75</v>
      </c>
      <c r="AB81" s="229">
        <v>-2.0000000000000001E-4</v>
      </c>
      <c r="AC81" s="228">
        <v>-0.15</v>
      </c>
      <c r="AD81" s="228">
        <v>1.6</v>
      </c>
      <c r="AE81" s="228">
        <v>-1.75</v>
      </c>
      <c r="AF81" s="229">
        <v>-2.0000000000000001E-4</v>
      </c>
      <c r="AG81" s="228">
        <v>3.15</v>
      </c>
      <c r="AH81" s="228">
        <v>5.0999999999999996</v>
      </c>
      <c r="AI81" s="228">
        <v>-1.95</v>
      </c>
      <c r="AJ81" s="229">
        <v>5.1000000000000004E-3</v>
      </c>
      <c r="AK81" s="228">
        <v>4.6500000000000004</v>
      </c>
      <c r="AL81" s="228">
        <v>6.9</v>
      </c>
      <c r="AM81" s="228">
        <v>-2.25</v>
      </c>
      <c r="AN81" s="229">
        <v>7.4999999999999997E-3</v>
      </c>
      <c r="AO81" s="228">
        <v>614.38</v>
      </c>
      <c r="AP81" s="228">
        <v>616.80999999999995</v>
      </c>
      <c r="AQ81" s="228">
        <v>0</v>
      </c>
      <c r="AR81" s="230">
        <v>11900900</v>
      </c>
      <c r="AS81" s="230">
        <v>6383300</v>
      </c>
      <c r="AT81" s="230">
        <v>5517600</v>
      </c>
      <c r="AU81" s="229">
        <v>0.86439999999999995</v>
      </c>
      <c r="AV81" s="230">
        <v>10356500</v>
      </c>
      <c r="AW81" s="230">
        <v>5833300</v>
      </c>
      <c r="AX81" s="230">
        <v>4523200</v>
      </c>
      <c r="AY81" s="229">
        <v>0.77539999999999998</v>
      </c>
      <c r="AZ81" s="230">
        <v>1337600</v>
      </c>
      <c r="BA81" s="230">
        <v>512600</v>
      </c>
      <c r="BB81" s="230">
        <v>825000</v>
      </c>
      <c r="BC81" s="229">
        <v>1.6093999999999999</v>
      </c>
      <c r="BD81" s="230">
        <v>206800</v>
      </c>
      <c r="BE81" s="230">
        <v>37400</v>
      </c>
      <c r="BF81" s="230">
        <v>169400</v>
      </c>
      <c r="BG81" s="229">
        <v>4.5293999999999999</v>
      </c>
      <c r="BH81" s="230">
        <v>59659600</v>
      </c>
      <c r="BI81" s="230">
        <v>30064100</v>
      </c>
      <c r="BJ81" s="230">
        <v>29595500</v>
      </c>
      <c r="BK81" s="229">
        <v>0.98440000000000005</v>
      </c>
      <c r="BL81" s="230">
        <v>41327000</v>
      </c>
      <c r="BM81" s="230">
        <v>20830700</v>
      </c>
      <c r="BN81" s="230">
        <v>20496300</v>
      </c>
      <c r="BO81" s="229">
        <v>0.9839</v>
      </c>
      <c r="BP81" s="230">
        <v>112887500</v>
      </c>
      <c r="BQ81" s="230">
        <v>57278100</v>
      </c>
      <c r="BR81" s="230">
        <v>55609400</v>
      </c>
      <c r="BS81" s="229">
        <v>0.97089999999999999</v>
      </c>
      <c r="BT81" s="230">
        <v>9166222</v>
      </c>
      <c r="BU81" s="230">
        <v>3164703</v>
      </c>
      <c r="BV81" s="230">
        <v>6001519</v>
      </c>
      <c r="BW81" s="229">
        <v>1.8964000000000001</v>
      </c>
      <c r="BX81" s="230">
        <v>43734900</v>
      </c>
      <c r="BY81" s="230">
        <v>41537100</v>
      </c>
      <c r="BZ81" s="230">
        <v>2197800</v>
      </c>
      <c r="CA81" s="229">
        <v>5.2900000000000003E-2</v>
      </c>
      <c r="CB81" s="230">
        <v>41059700</v>
      </c>
      <c r="CC81" s="230">
        <v>39581300</v>
      </c>
      <c r="CD81" s="230">
        <v>1478400</v>
      </c>
      <c r="CE81" s="229">
        <v>3.7400000000000003E-2</v>
      </c>
      <c r="CF81" s="230">
        <v>2384800</v>
      </c>
      <c r="CG81" s="230">
        <v>1776500</v>
      </c>
      <c r="CH81" s="230">
        <v>608300</v>
      </c>
      <c r="CI81" s="229">
        <v>0.34239999999999998</v>
      </c>
      <c r="CJ81" s="230">
        <v>290400</v>
      </c>
      <c r="CK81" s="230">
        <v>179300</v>
      </c>
      <c r="CL81" s="230">
        <v>111100</v>
      </c>
      <c r="CM81" s="229">
        <v>0.61960000000000004</v>
      </c>
      <c r="CN81" s="230">
        <v>19886900</v>
      </c>
      <c r="CO81" s="230">
        <v>15680500</v>
      </c>
      <c r="CP81" s="230">
        <v>4206400</v>
      </c>
      <c r="CQ81" s="229">
        <v>0.26829999999999998</v>
      </c>
      <c r="CR81" s="230">
        <v>13211000</v>
      </c>
      <c r="CS81" s="230">
        <v>11937200</v>
      </c>
      <c r="CT81" s="230">
        <v>1273800</v>
      </c>
      <c r="CU81" s="229">
        <v>0.1067</v>
      </c>
      <c r="CV81" s="230">
        <v>76832800</v>
      </c>
      <c r="CW81" s="230">
        <v>69154800</v>
      </c>
      <c r="CX81" s="230">
        <v>7678000</v>
      </c>
      <c r="CY81" s="229">
        <v>0.111</v>
      </c>
      <c r="CZ81" s="228">
        <v>27.44</v>
      </c>
      <c r="DA81" s="228">
        <v>31.86</v>
      </c>
      <c r="DB81" s="228">
        <v>-4.42</v>
      </c>
      <c r="DC81" s="228">
        <v>-4.42</v>
      </c>
      <c r="DD81" s="228">
        <v>27.78</v>
      </c>
      <c r="DE81" s="228">
        <v>27.66</v>
      </c>
      <c r="DF81" s="228">
        <v>-0.34</v>
      </c>
      <c r="DG81" s="228">
        <v>0.12</v>
      </c>
      <c r="DH81" s="228">
        <v>27.56</v>
      </c>
      <c r="DI81" s="228">
        <v>31.75</v>
      </c>
      <c r="DJ81" s="228">
        <v>-4.1900000000000004</v>
      </c>
      <c r="DK81" s="228">
        <v>-4.1900000000000004</v>
      </c>
      <c r="DL81" s="228">
        <v>27.27</v>
      </c>
      <c r="DM81" s="228">
        <v>32.01</v>
      </c>
      <c r="DN81" s="228">
        <v>-4.74</v>
      </c>
      <c r="DO81" s="228">
        <v>-4.74</v>
      </c>
      <c r="DP81" s="228">
        <v>0.66</v>
      </c>
      <c r="DQ81" s="228">
        <v>0.76</v>
      </c>
      <c r="DR81" s="228">
        <v>-0.1</v>
      </c>
      <c r="DS81" s="229">
        <v>-0.13159999999999999</v>
      </c>
      <c r="DT81" s="228">
        <v>600</v>
      </c>
      <c r="DU81" s="228">
        <v>600</v>
      </c>
      <c r="DV81" s="228">
        <v>0.69</v>
      </c>
      <c r="DW81" s="228">
        <v>0.69</v>
      </c>
      <c r="DX81" s="228">
        <v>0</v>
      </c>
      <c r="DY81" s="229">
        <v>0</v>
      </c>
      <c r="DZ81" s="229">
        <v>6.1199999999999997E-2</v>
      </c>
      <c r="EA81" s="230">
        <v>1955800</v>
      </c>
      <c r="EB81" s="229">
        <v>5.4000000000000003E-3</v>
      </c>
      <c r="EC81" s="229">
        <v>6.1199999999999997E-2</v>
      </c>
      <c r="ED81" s="228">
        <v>2.4300000000000002</v>
      </c>
      <c r="EE81" s="229">
        <v>4.0000000000000001E-3</v>
      </c>
      <c r="EF81" s="230">
        <v>4018782</v>
      </c>
      <c r="EG81" s="230">
        <v>1416524</v>
      </c>
      <c r="EH81" s="229">
        <v>1.8371</v>
      </c>
      <c r="EI81" s="229">
        <v>0.43840000000000001</v>
      </c>
      <c r="EJ81" s="231">
        <v>384257.1</v>
      </c>
      <c r="EK81" s="231">
        <v>253553.67</v>
      </c>
      <c r="EL81" s="231">
        <v>73159.509999999995</v>
      </c>
      <c r="EM81" s="231">
        <v>6166</v>
      </c>
      <c r="EN81" s="231">
        <v>710970.28</v>
      </c>
      <c r="EO81" s="231">
        <v>372866.52</v>
      </c>
      <c r="EP81" s="231">
        <v>338103.76</v>
      </c>
      <c r="EQ81" s="229">
        <v>0.90680000000000005</v>
      </c>
      <c r="ER81" s="231">
        <v>127600</v>
      </c>
      <c r="ES81" s="231">
        <v>78126</v>
      </c>
      <c r="ET81" s="231">
        <v>269631</v>
      </c>
      <c r="EU81" s="231">
        <v>156090005</v>
      </c>
      <c r="EV81" s="231">
        <v>475357</v>
      </c>
      <c r="EW81" s="231">
        <v>434868</v>
      </c>
      <c r="EX81" s="231">
        <v>40489</v>
      </c>
      <c r="EY81" s="229">
        <v>9.3100000000000002E-2</v>
      </c>
      <c r="EZ81" s="229">
        <v>0.49220000000000003</v>
      </c>
      <c r="FA81" s="227" t="s">
        <v>566</v>
      </c>
      <c r="FB81" s="161">
        <f t="shared" si="1"/>
        <v>2675200</v>
      </c>
    </row>
    <row r="82" spans="1:158" ht="17.25" thickBot="1" x14ac:dyDescent="0.3">
      <c r="A82" s="226">
        <v>46129</v>
      </c>
      <c r="B82" s="227" t="s">
        <v>162</v>
      </c>
      <c r="C82" s="227" t="s">
        <v>226</v>
      </c>
      <c r="D82" s="228">
        <v>150</v>
      </c>
      <c r="E82" s="231">
        <v>5244.5</v>
      </c>
      <c r="F82" s="231">
        <v>5162.5</v>
      </c>
      <c r="G82" s="228">
        <v>82</v>
      </c>
      <c r="H82" s="229">
        <v>1.5900000000000001E-2</v>
      </c>
      <c r="I82" s="231">
        <v>5230.5</v>
      </c>
      <c r="J82" s="231">
        <v>5159.5</v>
      </c>
      <c r="K82" s="228">
        <v>71</v>
      </c>
      <c r="L82" s="229">
        <v>1.38E-2</v>
      </c>
      <c r="M82" s="231">
        <v>5244.5</v>
      </c>
      <c r="N82" s="231">
        <v>5162.5</v>
      </c>
      <c r="O82" s="228">
        <v>82</v>
      </c>
      <c r="P82" s="229">
        <v>1.5900000000000001E-2</v>
      </c>
      <c r="Q82" s="231">
        <v>5269.5</v>
      </c>
      <c r="R82" s="231">
        <v>5189</v>
      </c>
      <c r="S82" s="228">
        <v>80.5</v>
      </c>
      <c r="T82" s="229">
        <v>1.55E-2</v>
      </c>
      <c r="U82" s="231">
        <v>5300.5</v>
      </c>
      <c r="V82" s="231">
        <v>5226</v>
      </c>
      <c r="W82" s="228">
        <v>74.5</v>
      </c>
      <c r="X82" s="229">
        <v>1.43E-2</v>
      </c>
      <c r="Y82" s="228">
        <v>14</v>
      </c>
      <c r="Z82" s="228">
        <v>3</v>
      </c>
      <c r="AA82" s="228">
        <v>11</v>
      </c>
      <c r="AB82" s="229">
        <v>2.7000000000000001E-3</v>
      </c>
      <c r="AC82" s="228">
        <v>14</v>
      </c>
      <c r="AD82" s="228">
        <v>3</v>
      </c>
      <c r="AE82" s="228">
        <v>11</v>
      </c>
      <c r="AF82" s="229">
        <v>2.7000000000000001E-3</v>
      </c>
      <c r="AG82" s="228">
        <v>39</v>
      </c>
      <c r="AH82" s="228">
        <v>29.5</v>
      </c>
      <c r="AI82" s="228">
        <v>9.5</v>
      </c>
      <c r="AJ82" s="229">
        <v>7.4999999999999997E-3</v>
      </c>
      <c r="AK82" s="228">
        <v>70</v>
      </c>
      <c r="AL82" s="228">
        <v>66.5</v>
      </c>
      <c r="AM82" s="228">
        <v>3.5</v>
      </c>
      <c r="AN82" s="229">
        <v>1.34E-2</v>
      </c>
      <c r="AO82" s="231">
        <v>5229.55</v>
      </c>
      <c r="AP82" s="231">
        <v>5255.22</v>
      </c>
      <c r="AQ82" s="228">
        <v>0</v>
      </c>
      <c r="AR82" s="230">
        <v>993450</v>
      </c>
      <c r="AS82" s="230">
        <v>900300</v>
      </c>
      <c r="AT82" s="230">
        <v>93150</v>
      </c>
      <c r="AU82" s="229">
        <v>0.10349999999999999</v>
      </c>
      <c r="AV82" s="230">
        <v>794400</v>
      </c>
      <c r="AW82" s="230">
        <v>780300</v>
      </c>
      <c r="AX82" s="230">
        <v>14100</v>
      </c>
      <c r="AY82" s="229">
        <v>1.8100000000000002E-2</v>
      </c>
      <c r="AZ82" s="230">
        <v>98550</v>
      </c>
      <c r="BA82" s="230">
        <v>108000</v>
      </c>
      <c r="BB82" s="230">
        <v>-9450</v>
      </c>
      <c r="BC82" s="229">
        <v>-8.7499999999999994E-2</v>
      </c>
      <c r="BD82" s="230">
        <v>100500</v>
      </c>
      <c r="BE82" s="230">
        <v>12000</v>
      </c>
      <c r="BF82" s="230">
        <v>88500</v>
      </c>
      <c r="BG82" s="229">
        <v>7.375</v>
      </c>
      <c r="BH82" s="230">
        <v>4682700</v>
      </c>
      <c r="BI82" s="230">
        <v>4847700</v>
      </c>
      <c r="BJ82" s="230">
        <v>-165000</v>
      </c>
      <c r="BK82" s="229">
        <v>-3.4000000000000002E-2</v>
      </c>
      <c r="BL82" s="230">
        <v>1809600</v>
      </c>
      <c r="BM82" s="230">
        <v>3632850</v>
      </c>
      <c r="BN82" s="230">
        <v>-1823250</v>
      </c>
      <c r="BO82" s="229">
        <v>-0.50190000000000001</v>
      </c>
      <c r="BP82" s="230">
        <v>7485750</v>
      </c>
      <c r="BQ82" s="230">
        <v>9380850</v>
      </c>
      <c r="BR82" s="230">
        <v>-1895100</v>
      </c>
      <c r="BS82" s="229">
        <v>-0.20200000000000001</v>
      </c>
      <c r="BT82" s="230">
        <v>584323</v>
      </c>
      <c r="BU82" s="230">
        <v>951290</v>
      </c>
      <c r="BV82" s="230">
        <v>-366967</v>
      </c>
      <c r="BW82" s="229">
        <v>-0.38579999999999998</v>
      </c>
      <c r="BX82" s="230">
        <v>4376550</v>
      </c>
      <c r="BY82" s="230">
        <v>4410300</v>
      </c>
      <c r="BZ82" s="230">
        <v>-33750</v>
      </c>
      <c r="CA82" s="229">
        <v>-7.7000000000000002E-3</v>
      </c>
      <c r="CB82" s="230">
        <v>4068300</v>
      </c>
      <c r="CC82" s="230">
        <v>4201950</v>
      </c>
      <c r="CD82" s="230">
        <v>-133650</v>
      </c>
      <c r="CE82" s="229">
        <v>-3.1800000000000002E-2</v>
      </c>
      <c r="CF82" s="230">
        <v>201300</v>
      </c>
      <c r="CG82" s="230">
        <v>189750</v>
      </c>
      <c r="CH82" s="230">
        <v>11550</v>
      </c>
      <c r="CI82" s="229">
        <v>6.0900000000000003E-2</v>
      </c>
      <c r="CJ82" s="230">
        <v>106950</v>
      </c>
      <c r="CK82" s="230">
        <v>18600</v>
      </c>
      <c r="CL82" s="230">
        <v>88350</v>
      </c>
      <c r="CM82" s="229">
        <v>4.75</v>
      </c>
      <c r="CN82" s="230">
        <v>2450250</v>
      </c>
      <c r="CO82" s="230">
        <v>2849850</v>
      </c>
      <c r="CP82" s="230">
        <v>-399600</v>
      </c>
      <c r="CQ82" s="229">
        <v>-0.14019999999999999</v>
      </c>
      <c r="CR82" s="230">
        <v>1464300</v>
      </c>
      <c r="CS82" s="230">
        <v>1426950</v>
      </c>
      <c r="CT82" s="230">
        <v>37350</v>
      </c>
      <c r="CU82" s="229">
        <v>2.6200000000000001E-2</v>
      </c>
      <c r="CV82" s="230">
        <v>8291100</v>
      </c>
      <c r="CW82" s="230">
        <v>8687100</v>
      </c>
      <c r="CX82" s="230">
        <v>-396000</v>
      </c>
      <c r="CY82" s="229">
        <v>-4.5600000000000002E-2</v>
      </c>
      <c r="CZ82" s="228">
        <v>31.96</v>
      </c>
      <c r="DA82" s="228">
        <v>35.89</v>
      </c>
      <c r="DB82" s="228">
        <v>-3.93</v>
      </c>
      <c r="DC82" s="228">
        <v>-3.93</v>
      </c>
      <c r="DD82" s="228">
        <v>33.6</v>
      </c>
      <c r="DE82" s="228">
        <v>33.619999999999997</v>
      </c>
      <c r="DF82" s="228">
        <v>-1.64</v>
      </c>
      <c r="DG82" s="228">
        <v>-0.02</v>
      </c>
      <c r="DH82" s="228">
        <v>31.35</v>
      </c>
      <c r="DI82" s="228">
        <v>35.67</v>
      </c>
      <c r="DJ82" s="228">
        <v>-4.32</v>
      </c>
      <c r="DK82" s="228">
        <v>-4.32</v>
      </c>
      <c r="DL82" s="228">
        <v>33.53</v>
      </c>
      <c r="DM82" s="228">
        <v>36.17</v>
      </c>
      <c r="DN82" s="228">
        <v>-2.64</v>
      </c>
      <c r="DO82" s="228">
        <v>-2.64</v>
      </c>
      <c r="DP82" s="228">
        <v>0.6</v>
      </c>
      <c r="DQ82" s="228">
        <v>0.5</v>
      </c>
      <c r="DR82" s="228">
        <v>0.1</v>
      </c>
      <c r="DS82" s="229">
        <v>0.2</v>
      </c>
      <c r="DT82" s="231">
        <v>5400</v>
      </c>
      <c r="DU82" s="231">
        <v>5200</v>
      </c>
      <c r="DV82" s="228">
        <v>0.39</v>
      </c>
      <c r="DW82" s="228">
        <v>0.75</v>
      </c>
      <c r="DX82" s="228">
        <v>-0.36</v>
      </c>
      <c r="DY82" s="229">
        <v>-0.48</v>
      </c>
      <c r="DZ82" s="229">
        <v>7.0400000000000004E-2</v>
      </c>
      <c r="EA82" s="230">
        <v>208350</v>
      </c>
      <c r="EB82" s="229">
        <v>4.7999999999999996E-3</v>
      </c>
      <c r="EC82" s="229">
        <v>7.0400000000000004E-2</v>
      </c>
      <c r="ED82" s="228">
        <v>25.67</v>
      </c>
      <c r="EE82" s="229">
        <v>4.8999999999999998E-3</v>
      </c>
      <c r="EF82" s="230">
        <v>282814</v>
      </c>
      <c r="EG82" s="230">
        <v>453467</v>
      </c>
      <c r="EH82" s="229">
        <v>-0.37630000000000002</v>
      </c>
      <c r="EI82" s="229">
        <v>0.48399999999999999</v>
      </c>
      <c r="EJ82" s="231">
        <v>256147.35</v>
      </c>
      <c r="EK82" s="231">
        <v>93543.76</v>
      </c>
      <c r="EL82" s="231">
        <v>52047.95</v>
      </c>
      <c r="EM82" s="231">
        <v>5472</v>
      </c>
      <c r="EN82" s="231">
        <v>401739.06</v>
      </c>
      <c r="EO82" s="231">
        <v>501163.93</v>
      </c>
      <c r="EP82" s="231">
        <v>-99424.87</v>
      </c>
      <c r="EQ82" s="229">
        <v>-0.19839999999999999</v>
      </c>
      <c r="ER82" s="231">
        <v>133998</v>
      </c>
      <c r="ES82" s="231">
        <v>74516</v>
      </c>
      <c r="ET82" s="231">
        <v>229638</v>
      </c>
      <c r="EU82" s="231">
        <v>19589014</v>
      </c>
      <c r="EV82" s="231">
        <v>438152</v>
      </c>
      <c r="EW82" s="231">
        <v>455581</v>
      </c>
      <c r="EX82" s="231">
        <v>-17429</v>
      </c>
      <c r="EY82" s="229">
        <v>-3.8300000000000001E-2</v>
      </c>
      <c r="EZ82" s="229">
        <v>0.42330000000000001</v>
      </c>
      <c r="FA82" s="227" t="s">
        <v>693</v>
      </c>
      <c r="FB82" s="161">
        <f t="shared" si="1"/>
        <v>308250</v>
      </c>
    </row>
    <row r="83" spans="1:158" ht="17.25" thickBot="1" x14ac:dyDescent="0.3">
      <c r="A83" s="226">
        <v>46129</v>
      </c>
      <c r="B83" s="227" t="s">
        <v>227</v>
      </c>
      <c r="C83" s="227" t="s">
        <v>228</v>
      </c>
      <c r="D83" s="228">
        <v>700</v>
      </c>
      <c r="E83" s="231">
        <v>1040.95</v>
      </c>
      <c r="F83" s="231">
        <v>1039.8</v>
      </c>
      <c r="G83" s="228">
        <v>1.1499999999999999</v>
      </c>
      <c r="H83" s="229">
        <v>1.1000000000000001E-3</v>
      </c>
      <c r="I83" s="231">
        <v>1039</v>
      </c>
      <c r="J83" s="231">
        <v>1039.9000000000001</v>
      </c>
      <c r="K83" s="228">
        <v>-0.9</v>
      </c>
      <c r="L83" s="229">
        <v>-8.9999999999999998E-4</v>
      </c>
      <c r="M83" s="231">
        <v>1040.95</v>
      </c>
      <c r="N83" s="231">
        <v>1039.8</v>
      </c>
      <c r="O83" s="228">
        <v>1.1499999999999999</v>
      </c>
      <c r="P83" s="229">
        <v>1.1000000000000001E-3</v>
      </c>
      <c r="Q83" s="231">
        <v>1046.95</v>
      </c>
      <c r="R83" s="231">
        <v>1046.05</v>
      </c>
      <c r="S83" s="228">
        <v>0.9</v>
      </c>
      <c r="T83" s="229">
        <v>8.9999999999999998E-4</v>
      </c>
      <c r="U83" s="231">
        <v>1052.7</v>
      </c>
      <c r="V83" s="231">
        <v>1053.3499999999999</v>
      </c>
      <c r="W83" s="228">
        <v>-0.65</v>
      </c>
      <c r="X83" s="229">
        <v>-5.9999999999999995E-4</v>
      </c>
      <c r="Y83" s="228">
        <v>1.95</v>
      </c>
      <c r="Z83" s="228">
        <v>-0.1</v>
      </c>
      <c r="AA83" s="228">
        <v>2.0499999999999998</v>
      </c>
      <c r="AB83" s="229">
        <v>1.9E-3</v>
      </c>
      <c r="AC83" s="228">
        <v>1.95</v>
      </c>
      <c r="AD83" s="228">
        <v>-0.1</v>
      </c>
      <c r="AE83" s="228">
        <v>2.0499999999999998</v>
      </c>
      <c r="AF83" s="229">
        <v>1.9E-3</v>
      </c>
      <c r="AG83" s="228">
        <v>7.95</v>
      </c>
      <c r="AH83" s="228">
        <v>6.15</v>
      </c>
      <c r="AI83" s="228">
        <v>1.8</v>
      </c>
      <c r="AJ83" s="229">
        <v>7.7000000000000002E-3</v>
      </c>
      <c r="AK83" s="228">
        <v>13.7</v>
      </c>
      <c r="AL83" s="228">
        <v>13.45</v>
      </c>
      <c r="AM83" s="228">
        <v>0.25</v>
      </c>
      <c r="AN83" s="229">
        <v>1.32E-2</v>
      </c>
      <c r="AO83" s="231">
        <v>1035.49</v>
      </c>
      <c r="AP83" s="231">
        <v>1040.2</v>
      </c>
      <c r="AQ83" s="228">
        <v>0</v>
      </c>
      <c r="AR83" s="230">
        <v>4491900</v>
      </c>
      <c r="AS83" s="230">
        <v>10817100</v>
      </c>
      <c r="AT83" s="230">
        <v>-6325200</v>
      </c>
      <c r="AU83" s="229">
        <v>-0.5847</v>
      </c>
      <c r="AV83" s="230">
        <v>3908100</v>
      </c>
      <c r="AW83" s="230">
        <v>9090200</v>
      </c>
      <c r="AX83" s="230">
        <v>-5182100</v>
      </c>
      <c r="AY83" s="229">
        <v>-0.57010000000000005</v>
      </c>
      <c r="AZ83" s="230">
        <v>542500</v>
      </c>
      <c r="BA83" s="230">
        <v>925400</v>
      </c>
      <c r="BB83" s="230">
        <v>-382900</v>
      </c>
      <c r="BC83" s="229">
        <v>-0.4138</v>
      </c>
      <c r="BD83" s="230">
        <v>41300</v>
      </c>
      <c r="BE83" s="230">
        <v>801500</v>
      </c>
      <c r="BF83" s="230">
        <v>-760200</v>
      </c>
      <c r="BG83" s="229">
        <v>-0.94850000000000001</v>
      </c>
      <c r="BH83" s="230">
        <v>20665400</v>
      </c>
      <c r="BI83" s="230">
        <v>54631500</v>
      </c>
      <c r="BJ83" s="230">
        <v>-33966100</v>
      </c>
      <c r="BK83" s="229">
        <v>-0.62170000000000003</v>
      </c>
      <c r="BL83" s="230">
        <v>16212000</v>
      </c>
      <c r="BM83" s="230">
        <v>28038500</v>
      </c>
      <c r="BN83" s="230">
        <v>-11826500</v>
      </c>
      <c r="BO83" s="229">
        <v>-0.42180000000000001</v>
      </c>
      <c r="BP83" s="230">
        <v>41369300</v>
      </c>
      <c r="BQ83" s="230">
        <v>93487100</v>
      </c>
      <c r="BR83" s="230">
        <v>-52117800</v>
      </c>
      <c r="BS83" s="229">
        <v>-0.5575</v>
      </c>
      <c r="BT83" s="230">
        <v>4421270</v>
      </c>
      <c r="BU83" s="230">
        <v>11313313</v>
      </c>
      <c r="BV83" s="230">
        <v>-6892043</v>
      </c>
      <c r="BW83" s="229">
        <v>-0.60919999999999996</v>
      </c>
      <c r="BX83" s="230">
        <v>36741600</v>
      </c>
      <c r="BY83" s="230">
        <v>36444800</v>
      </c>
      <c r="BZ83" s="230">
        <v>296800</v>
      </c>
      <c r="CA83" s="229">
        <v>8.0999999999999996E-3</v>
      </c>
      <c r="CB83" s="230">
        <v>32025000</v>
      </c>
      <c r="CC83" s="230">
        <v>31882900</v>
      </c>
      <c r="CD83" s="230">
        <v>142100</v>
      </c>
      <c r="CE83" s="229">
        <v>4.4999999999999997E-3</v>
      </c>
      <c r="CF83" s="230">
        <v>3024000</v>
      </c>
      <c r="CG83" s="230">
        <v>2872100</v>
      </c>
      <c r="CH83" s="230">
        <v>151900</v>
      </c>
      <c r="CI83" s="229">
        <v>5.2900000000000003E-2</v>
      </c>
      <c r="CJ83" s="230">
        <v>1692600</v>
      </c>
      <c r="CK83" s="230">
        <v>1689800</v>
      </c>
      <c r="CL83" s="230">
        <v>2800</v>
      </c>
      <c r="CM83" s="229">
        <v>1.6999999999999999E-3</v>
      </c>
      <c r="CN83" s="230">
        <v>15120000</v>
      </c>
      <c r="CO83" s="230">
        <v>15488200</v>
      </c>
      <c r="CP83" s="230">
        <v>-368200</v>
      </c>
      <c r="CQ83" s="229">
        <v>-2.3800000000000002E-2</v>
      </c>
      <c r="CR83" s="230">
        <v>11953900</v>
      </c>
      <c r="CS83" s="230">
        <v>13376300</v>
      </c>
      <c r="CT83" s="230">
        <v>-1422400</v>
      </c>
      <c r="CU83" s="229">
        <v>-0.10630000000000001</v>
      </c>
      <c r="CV83" s="230">
        <v>63815500</v>
      </c>
      <c r="CW83" s="230">
        <v>65309300</v>
      </c>
      <c r="CX83" s="230">
        <v>-1493800</v>
      </c>
      <c r="CY83" s="229">
        <v>-2.29E-2</v>
      </c>
      <c r="CZ83" s="228">
        <v>33.67</v>
      </c>
      <c r="DA83" s="228">
        <v>35.119999999999997</v>
      </c>
      <c r="DB83" s="228">
        <v>-1.45</v>
      </c>
      <c r="DC83" s="228">
        <v>-1.45</v>
      </c>
      <c r="DD83" s="228">
        <v>36.58</v>
      </c>
      <c r="DE83" s="228">
        <v>36.67</v>
      </c>
      <c r="DF83" s="228">
        <v>-2.91</v>
      </c>
      <c r="DG83" s="228">
        <v>-0.09</v>
      </c>
      <c r="DH83" s="228">
        <v>32.450000000000003</v>
      </c>
      <c r="DI83" s="228">
        <v>34.57</v>
      </c>
      <c r="DJ83" s="228">
        <v>-2.12</v>
      </c>
      <c r="DK83" s="228">
        <v>-2.12</v>
      </c>
      <c r="DL83" s="228">
        <v>35.229999999999997</v>
      </c>
      <c r="DM83" s="228">
        <v>36.200000000000003</v>
      </c>
      <c r="DN83" s="228">
        <v>-0.97</v>
      </c>
      <c r="DO83" s="228">
        <v>-0.97</v>
      </c>
      <c r="DP83" s="228">
        <v>0.79</v>
      </c>
      <c r="DQ83" s="228">
        <v>0.86</v>
      </c>
      <c r="DR83" s="228">
        <v>-7.0000000000000007E-2</v>
      </c>
      <c r="DS83" s="229">
        <v>-8.14E-2</v>
      </c>
      <c r="DT83" s="228">
        <v>900</v>
      </c>
      <c r="DU83" s="228">
        <v>900</v>
      </c>
      <c r="DV83" s="228">
        <v>0.78</v>
      </c>
      <c r="DW83" s="228">
        <v>0.51</v>
      </c>
      <c r="DX83" s="228">
        <v>0.27</v>
      </c>
      <c r="DY83" s="229">
        <v>0.52939999999999998</v>
      </c>
      <c r="DZ83" s="229">
        <v>0.12839999999999999</v>
      </c>
      <c r="EA83" s="230">
        <v>4561900</v>
      </c>
      <c r="EB83" s="229">
        <v>5.7999999999999996E-3</v>
      </c>
      <c r="EC83" s="229">
        <v>0.12839999999999999</v>
      </c>
      <c r="ED83" s="228">
        <v>4.71</v>
      </c>
      <c r="EE83" s="229">
        <v>4.4999999999999997E-3</v>
      </c>
      <c r="EF83" s="230">
        <v>2131443</v>
      </c>
      <c r="EG83" s="230">
        <v>6548758</v>
      </c>
      <c r="EH83" s="229">
        <v>-0.67449999999999999</v>
      </c>
      <c r="EI83" s="229">
        <v>0.48209999999999997</v>
      </c>
      <c r="EJ83" s="231">
        <v>222440.57</v>
      </c>
      <c r="EK83" s="231">
        <v>165044.59</v>
      </c>
      <c r="EL83" s="231">
        <v>46542.62</v>
      </c>
      <c r="EM83" s="231">
        <v>12746</v>
      </c>
      <c r="EN83" s="231">
        <v>434027.78</v>
      </c>
      <c r="EO83" s="231">
        <v>988780.32</v>
      </c>
      <c r="EP83" s="231">
        <v>-554752.54</v>
      </c>
      <c r="EQ83" s="229">
        <v>-0.56100000000000005</v>
      </c>
      <c r="ER83" s="231">
        <v>151501</v>
      </c>
      <c r="ES83" s="231">
        <v>112779</v>
      </c>
      <c r="ET83" s="231">
        <v>382842</v>
      </c>
      <c r="EU83" s="231">
        <v>218611634</v>
      </c>
      <c r="EV83" s="231">
        <v>647122</v>
      </c>
      <c r="EW83" s="231">
        <v>660971</v>
      </c>
      <c r="EX83" s="231">
        <v>-13849</v>
      </c>
      <c r="EY83" s="229">
        <v>-2.1000000000000001E-2</v>
      </c>
      <c r="EZ83" s="229">
        <v>0.29189999999999999</v>
      </c>
      <c r="FA83" s="227" t="s">
        <v>555</v>
      </c>
      <c r="FB83" s="161">
        <f t="shared" si="1"/>
        <v>4716600</v>
      </c>
    </row>
    <row r="84" spans="1:158" ht="17.25" thickBot="1" x14ac:dyDescent="0.3">
      <c r="A84" s="226">
        <v>46129</v>
      </c>
      <c r="B84" s="227" t="s">
        <v>193</v>
      </c>
      <c r="C84" s="227" t="s">
        <v>229</v>
      </c>
      <c r="D84" s="228">
        <v>2025</v>
      </c>
      <c r="E84" s="228">
        <v>372.35</v>
      </c>
      <c r="F84" s="228">
        <v>370.25</v>
      </c>
      <c r="G84" s="228">
        <v>2.1</v>
      </c>
      <c r="H84" s="229">
        <v>5.7000000000000002E-3</v>
      </c>
      <c r="I84" s="228">
        <v>370.85</v>
      </c>
      <c r="J84" s="228">
        <v>370.25</v>
      </c>
      <c r="K84" s="228">
        <v>0.6</v>
      </c>
      <c r="L84" s="229">
        <v>1.6000000000000001E-3</v>
      </c>
      <c r="M84" s="228">
        <v>372.35</v>
      </c>
      <c r="N84" s="228">
        <v>370.25</v>
      </c>
      <c r="O84" s="228">
        <v>2.1</v>
      </c>
      <c r="P84" s="229">
        <v>5.7000000000000002E-3</v>
      </c>
      <c r="Q84" s="228">
        <v>374.15</v>
      </c>
      <c r="R84" s="228">
        <v>372.2</v>
      </c>
      <c r="S84" s="228">
        <v>1.95</v>
      </c>
      <c r="T84" s="229">
        <v>5.1999999999999998E-3</v>
      </c>
      <c r="U84" s="228">
        <v>376.15</v>
      </c>
      <c r="V84" s="228">
        <v>373.95</v>
      </c>
      <c r="W84" s="228">
        <v>2.2000000000000002</v>
      </c>
      <c r="X84" s="229">
        <v>5.8999999999999999E-3</v>
      </c>
      <c r="Y84" s="228">
        <v>1.5</v>
      </c>
      <c r="Z84" s="228">
        <v>0</v>
      </c>
      <c r="AA84" s="228">
        <v>1.5</v>
      </c>
      <c r="AB84" s="229">
        <v>4.0000000000000001E-3</v>
      </c>
      <c r="AC84" s="228">
        <v>1.5</v>
      </c>
      <c r="AD84" s="228">
        <v>0</v>
      </c>
      <c r="AE84" s="228">
        <v>1.5</v>
      </c>
      <c r="AF84" s="229">
        <v>4.0000000000000001E-3</v>
      </c>
      <c r="AG84" s="228">
        <v>3.3</v>
      </c>
      <c r="AH84" s="228">
        <v>1.95</v>
      </c>
      <c r="AI84" s="228">
        <v>1.35</v>
      </c>
      <c r="AJ84" s="229">
        <v>8.8999999999999999E-3</v>
      </c>
      <c r="AK84" s="228">
        <v>5.3</v>
      </c>
      <c r="AL84" s="228">
        <v>3.7</v>
      </c>
      <c r="AM84" s="228">
        <v>1.6</v>
      </c>
      <c r="AN84" s="229">
        <v>1.43E-2</v>
      </c>
      <c r="AO84" s="228">
        <v>370.5</v>
      </c>
      <c r="AP84" s="228">
        <v>372.22</v>
      </c>
      <c r="AQ84" s="228">
        <v>0</v>
      </c>
      <c r="AR84" s="230">
        <v>7456050</v>
      </c>
      <c r="AS84" s="230">
        <v>6111450</v>
      </c>
      <c r="AT84" s="230">
        <v>1344600</v>
      </c>
      <c r="AU84" s="229">
        <v>0.22</v>
      </c>
      <c r="AV84" s="230">
        <v>6318000</v>
      </c>
      <c r="AW84" s="230">
        <v>5131350</v>
      </c>
      <c r="AX84" s="230">
        <v>1186650</v>
      </c>
      <c r="AY84" s="229">
        <v>0.23130000000000001</v>
      </c>
      <c r="AZ84" s="230">
        <v>1099575</v>
      </c>
      <c r="BA84" s="230">
        <v>919350</v>
      </c>
      <c r="BB84" s="230">
        <v>180225</v>
      </c>
      <c r="BC84" s="229">
        <v>0.19600000000000001</v>
      </c>
      <c r="BD84" s="230">
        <v>38475</v>
      </c>
      <c r="BE84" s="230">
        <v>60750</v>
      </c>
      <c r="BF84" s="230">
        <v>-22275</v>
      </c>
      <c r="BG84" s="229">
        <v>-0.36670000000000003</v>
      </c>
      <c r="BH84" s="230">
        <v>16971525</v>
      </c>
      <c r="BI84" s="230">
        <v>15610725</v>
      </c>
      <c r="BJ84" s="230">
        <v>1360800</v>
      </c>
      <c r="BK84" s="229">
        <v>8.72E-2</v>
      </c>
      <c r="BL84" s="230">
        <v>13381200</v>
      </c>
      <c r="BM84" s="230">
        <v>10094625</v>
      </c>
      <c r="BN84" s="230">
        <v>3286575</v>
      </c>
      <c r="BO84" s="229">
        <v>0.3256</v>
      </c>
      <c r="BP84" s="230">
        <v>37808775</v>
      </c>
      <c r="BQ84" s="230">
        <v>31816800</v>
      </c>
      <c r="BR84" s="230">
        <v>5991975</v>
      </c>
      <c r="BS84" s="229">
        <v>0.1883</v>
      </c>
      <c r="BT84" s="230">
        <v>6489310</v>
      </c>
      <c r="BU84" s="230">
        <v>6532518</v>
      </c>
      <c r="BV84" s="230">
        <v>-43208</v>
      </c>
      <c r="BW84" s="229">
        <v>-6.6E-3</v>
      </c>
      <c r="BX84" s="230">
        <v>41362650</v>
      </c>
      <c r="BY84" s="230">
        <v>41978250</v>
      </c>
      <c r="BZ84" s="230">
        <v>-615600</v>
      </c>
      <c r="CA84" s="229">
        <v>-1.47E-2</v>
      </c>
      <c r="CB84" s="230">
        <v>39120975</v>
      </c>
      <c r="CC84" s="230">
        <v>39993750</v>
      </c>
      <c r="CD84" s="230">
        <v>-872775</v>
      </c>
      <c r="CE84" s="229">
        <v>-2.18E-2</v>
      </c>
      <c r="CF84" s="230">
        <v>2053350</v>
      </c>
      <c r="CG84" s="230">
        <v>1816425</v>
      </c>
      <c r="CH84" s="230">
        <v>236925</v>
      </c>
      <c r="CI84" s="229">
        <v>0.13039999999999999</v>
      </c>
      <c r="CJ84" s="230">
        <v>188325</v>
      </c>
      <c r="CK84" s="230">
        <v>168075</v>
      </c>
      <c r="CL84" s="230">
        <v>20250</v>
      </c>
      <c r="CM84" s="229">
        <v>0.1205</v>
      </c>
      <c r="CN84" s="230">
        <v>19812600</v>
      </c>
      <c r="CO84" s="230">
        <v>18702900</v>
      </c>
      <c r="CP84" s="230">
        <v>1109700</v>
      </c>
      <c r="CQ84" s="229">
        <v>5.9299999999999999E-2</v>
      </c>
      <c r="CR84" s="230">
        <v>16724475</v>
      </c>
      <c r="CS84" s="230">
        <v>17129475</v>
      </c>
      <c r="CT84" s="230">
        <v>-405000</v>
      </c>
      <c r="CU84" s="229">
        <v>-2.3599999999999999E-2</v>
      </c>
      <c r="CV84" s="230">
        <v>77899725</v>
      </c>
      <c r="CW84" s="230">
        <v>77810625</v>
      </c>
      <c r="CX84" s="230">
        <v>89100</v>
      </c>
      <c r="CY84" s="229">
        <v>1.1000000000000001E-3</v>
      </c>
      <c r="CZ84" s="228">
        <v>42.16</v>
      </c>
      <c r="DA84" s="228">
        <v>43.14</v>
      </c>
      <c r="DB84" s="228">
        <v>-0.98</v>
      </c>
      <c r="DC84" s="228">
        <v>-0.98</v>
      </c>
      <c r="DD84" s="228">
        <v>44.29</v>
      </c>
      <c r="DE84" s="228">
        <v>44.4</v>
      </c>
      <c r="DF84" s="228">
        <v>-2.13</v>
      </c>
      <c r="DG84" s="228">
        <v>-0.11</v>
      </c>
      <c r="DH84" s="228">
        <v>39.82</v>
      </c>
      <c r="DI84" s="228">
        <v>42.32</v>
      </c>
      <c r="DJ84" s="228">
        <v>-2.5</v>
      </c>
      <c r="DK84" s="228">
        <v>-2.5</v>
      </c>
      <c r="DL84" s="228">
        <v>45.13</v>
      </c>
      <c r="DM84" s="228">
        <v>44.41</v>
      </c>
      <c r="DN84" s="228">
        <v>0.72</v>
      </c>
      <c r="DO84" s="228">
        <v>0.72</v>
      </c>
      <c r="DP84" s="228">
        <v>0.84</v>
      </c>
      <c r="DQ84" s="228">
        <v>0.92</v>
      </c>
      <c r="DR84" s="228">
        <v>-0.08</v>
      </c>
      <c r="DS84" s="229">
        <v>-8.6999999999999994E-2</v>
      </c>
      <c r="DT84" s="228">
        <v>400</v>
      </c>
      <c r="DU84" s="228">
        <v>350</v>
      </c>
      <c r="DV84" s="228">
        <v>0.79</v>
      </c>
      <c r="DW84" s="228">
        <v>0.65</v>
      </c>
      <c r="DX84" s="228">
        <v>0.14000000000000001</v>
      </c>
      <c r="DY84" s="229">
        <v>0.21540000000000001</v>
      </c>
      <c r="DZ84" s="229">
        <v>5.4199999999999998E-2</v>
      </c>
      <c r="EA84" s="230">
        <v>1984500</v>
      </c>
      <c r="EB84" s="229">
        <v>4.7999999999999996E-3</v>
      </c>
      <c r="EC84" s="229">
        <v>5.4199999999999998E-2</v>
      </c>
      <c r="ED84" s="228">
        <v>1.72</v>
      </c>
      <c r="EE84" s="229">
        <v>4.5999999999999999E-3</v>
      </c>
      <c r="EF84" s="230">
        <v>2850536</v>
      </c>
      <c r="EG84" s="230">
        <v>3472507</v>
      </c>
      <c r="EH84" s="229">
        <v>-0.17910000000000001</v>
      </c>
      <c r="EI84" s="229">
        <v>0.43930000000000002</v>
      </c>
      <c r="EJ84" s="231">
        <v>66248.67</v>
      </c>
      <c r="EK84" s="231">
        <v>47804.99</v>
      </c>
      <c r="EL84" s="231">
        <v>27645.15</v>
      </c>
      <c r="EM84" s="231">
        <v>4702</v>
      </c>
      <c r="EN84" s="231">
        <v>141698.81</v>
      </c>
      <c r="EO84" s="231">
        <v>120718.99</v>
      </c>
      <c r="EP84" s="231">
        <v>20979.82</v>
      </c>
      <c r="EQ84" s="229">
        <v>0.17380000000000001</v>
      </c>
      <c r="ER84" s="231">
        <v>74855</v>
      </c>
      <c r="ES84" s="231">
        <v>56964</v>
      </c>
      <c r="ET84" s="231">
        <v>154058</v>
      </c>
      <c r="EU84" s="231">
        <v>143933168</v>
      </c>
      <c r="EV84" s="231">
        <v>285878</v>
      </c>
      <c r="EW84" s="231">
        <v>284188</v>
      </c>
      <c r="EX84" s="231">
        <v>1690</v>
      </c>
      <c r="EY84" s="229">
        <v>5.8999999999999999E-3</v>
      </c>
      <c r="EZ84" s="229">
        <v>0.54120000000000001</v>
      </c>
      <c r="FA84" s="227" t="s">
        <v>693</v>
      </c>
      <c r="FB84" s="161">
        <f t="shared" si="1"/>
        <v>2241675</v>
      </c>
    </row>
    <row r="85" spans="1:158" ht="17.25" thickBot="1" x14ac:dyDescent="0.3">
      <c r="A85" s="226">
        <v>46129</v>
      </c>
      <c r="B85" s="227" t="s">
        <v>168</v>
      </c>
      <c r="C85" s="227" t="s">
        <v>230</v>
      </c>
      <c r="D85" s="228">
        <v>300</v>
      </c>
      <c r="E85" s="231">
        <v>2240.6999999999998</v>
      </c>
      <c r="F85" s="231">
        <v>2145.1999999999998</v>
      </c>
      <c r="G85" s="228">
        <v>95.5</v>
      </c>
      <c r="H85" s="229">
        <v>4.4499999999999998E-2</v>
      </c>
      <c r="I85" s="231">
        <v>2240.8000000000002</v>
      </c>
      <c r="J85" s="231">
        <v>2139.1</v>
      </c>
      <c r="K85" s="228">
        <v>101.7</v>
      </c>
      <c r="L85" s="229">
        <v>4.7500000000000001E-2</v>
      </c>
      <c r="M85" s="231">
        <v>2240.6999999999998</v>
      </c>
      <c r="N85" s="231">
        <v>2145.1999999999998</v>
      </c>
      <c r="O85" s="228">
        <v>95.5</v>
      </c>
      <c r="P85" s="229">
        <v>4.4499999999999998E-2</v>
      </c>
      <c r="Q85" s="231">
        <v>2251.4</v>
      </c>
      <c r="R85" s="231">
        <v>2155.5</v>
      </c>
      <c r="S85" s="228">
        <v>95.9</v>
      </c>
      <c r="T85" s="229">
        <v>4.4499999999999998E-2</v>
      </c>
      <c r="U85" s="231">
        <v>2237.8000000000002</v>
      </c>
      <c r="V85" s="231">
        <v>2149.6</v>
      </c>
      <c r="W85" s="228">
        <v>88.2</v>
      </c>
      <c r="X85" s="229">
        <v>4.1000000000000002E-2</v>
      </c>
      <c r="Y85" s="228">
        <v>-0.1</v>
      </c>
      <c r="Z85" s="228">
        <v>6.1</v>
      </c>
      <c r="AA85" s="228">
        <v>-6.2</v>
      </c>
      <c r="AB85" s="229">
        <v>0</v>
      </c>
      <c r="AC85" s="228">
        <v>-0.1</v>
      </c>
      <c r="AD85" s="228">
        <v>6.1</v>
      </c>
      <c r="AE85" s="228">
        <v>-6.2</v>
      </c>
      <c r="AF85" s="229">
        <v>0</v>
      </c>
      <c r="AG85" s="228">
        <v>10.6</v>
      </c>
      <c r="AH85" s="228">
        <v>16.399999999999999</v>
      </c>
      <c r="AI85" s="228">
        <v>-5.8</v>
      </c>
      <c r="AJ85" s="229">
        <v>4.7000000000000002E-3</v>
      </c>
      <c r="AK85" s="228">
        <v>-3</v>
      </c>
      <c r="AL85" s="228">
        <v>10.5</v>
      </c>
      <c r="AM85" s="228">
        <v>-13.5</v>
      </c>
      <c r="AN85" s="229">
        <v>-1.2999999999999999E-3</v>
      </c>
      <c r="AO85" s="231">
        <v>2223</v>
      </c>
      <c r="AP85" s="231">
        <v>2229.92</v>
      </c>
      <c r="AQ85" s="228">
        <v>0</v>
      </c>
      <c r="AR85" s="230">
        <v>4886400</v>
      </c>
      <c r="AS85" s="230">
        <v>1534500</v>
      </c>
      <c r="AT85" s="230">
        <v>3351900</v>
      </c>
      <c r="AU85" s="229">
        <v>2.1844000000000001</v>
      </c>
      <c r="AV85" s="230">
        <v>4339800</v>
      </c>
      <c r="AW85" s="230">
        <v>1342200</v>
      </c>
      <c r="AX85" s="230">
        <v>2997600</v>
      </c>
      <c r="AY85" s="229">
        <v>2.2332999999999998</v>
      </c>
      <c r="AZ85" s="230">
        <v>448800</v>
      </c>
      <c r="BA85" s="230">
        <v>131100</v>
      </c>
      <c r="BB85" s="230">
        <v>317700</v>
      </c>
      <c r="BC85" s="229">
        <v>2.4232999999999998</v>
      </c>
      <c r="BD85" s="230">
        <v>97800</v>
      </c>
      <c r="BE85" s="230">
        <v>61200</v>
      </c>
      <c r="BF85" s="230">
        <v>36600</v>
      </c>
      <c r="BG85" s="229">
        <v>0.59799999999999998</v>
      </c>
      <c r="BH85" s="230">
        <v>38680800</v>
      </c>
      <c r="BI85" s="230">
        <v>4950600</v>
      </c>
      <c r="BJ85" s="230">
        <v>33730200</v>
      </c>
      <c r="BK85" s="229">
        <v>6.8133999999999997</v>
      </c>
      <c r="BL85" s="230">
        <v>16328400</v>
      </c>
      <c r="BM85" s="230">
        <v>2573400</v>
      </c>
      <c r="BN85" s="230">
        <v>13755000</v>
      </c>
      <c r="BO85" s="229">
        <v>5.3451000000000004</v>
      </c>
      <c r="BP85" s="230">
        <v>59895600</v>
      </c>
      <c r="BQ85" s="230">
        <v>9058500</v>
      </c>
      <c r="BR85" s="230">
        <v>50837100</v>
      </c>
      <c r="BS85" s="229">
        <v>5.6120999999999999</v>
      </c>
      <c r="BT85" s="230">
        <v>5144290</v>
      </c>
      <c r="BU85" s="230">
        <v>1985305</v>
      </c>
      <c r="BV85" s="230">
        <v>3158985</v>
      </c>
      <c r="BW85" s="229">
        <v>1.5911999999999999</v>
      </c>
      <c r="BX85" s="230">
        <v>17974800</v>
      </c>
      <c r="BY85" s="230">
        <v>18265800</v>
      </c>
      <c r="BZ85" s="230">
        <v>-291000</v>
      </c>
      <c r="CA85" s="229">
        <v>-1.5900000000000001E-2</v>
      </c>
      <c r="CB85" s="230">
        <v>16951500</v>
      </c>
      <c r="CC85" s="230">
        <v>17284500</v>
      </c>
      <c r="CD85" s="230">
        <v>-333000</v>
      </c>
      <c r="CE85" s="229">
        <v>-1.9300000000000001E-2</v>
      </c>
      <c r="CF85" s="230">
        <v>843000</v>
      </c>
      <c r="CG85" s="230">
        <v>785400</v>
      </c>
      <c r="CH85" s="230">
        <v>57600</v>
      </c>
      <c r="CI85" s="229">
        <v>7.3300000000000004E-2</v>
      </c>
      <c r="CJ85" s="230">
        <v>180300</v>
      </c>
      <c r="CK85" s="230">
        <v>195900</v>
      </c>
      <c r="CL85" s="230">
        <v>-15600</v>
      </c>
      <c r="CM85" s="229">
        <v>-7.9600000000000004E-2</v>
      </c>
      <c r="CN85" s="230">
        <v>7044000</v>
      </c>
      <c r="CO85" s="230">
        <v>5085600</v>
      </c>
      <c r="CP85" s="230">
        <v>1958400</v>
      </c>
      <c r="CQ85" s="229">
        <v>0.3851</v>
      </c>
      <c r="CR85" s="230">
        <v>4959000</v>
      </c>
      <c r="CS85" s="230">
        <v>3791400</v>
      </c>
      <c r="CT85" s="230">
        <v>1167600</v>
      </c>
      <c r="CU85" s="229">
        <v>0.308</v>
      </c>
      <c r="CV85" s="230">
        <v>29977800</v>
      </c>
      <c r="CW85" s="230">
        <v>27142800</v>
      </c>
      <c r="CX85" s="230">
        <v>2835000</v>
      </c>
      <c r="CY85" s="229">
        <v>0.10440000000000001</v>
      </c>
      <c r="CZ85" s="228">
        <v>23.32</v>
      </c>
      <c r="DA85" s="228">
        <v>23.35</v>
      </c>
      <c r="DB85" s="228">
        <v>-0.03</v>
      </c>
      <c r="DC85" s="228">
        <v>-0.03</v>
      </c>
      <c r="DD85" s="228">
        <v>23.93</v>
      </c>
      <c r="DE85" s="228">
        <v>23.15</v>
      </c>
      <c r="DF85" s="228">
        <v>-0.61</v>
      </c>
      <c r="DG85" s="228">
        <v>0.78</v>
      </c>
      <c r="DH85" s="228">
        <v>22.79</v>
      </c>
      <c r="DI85" s="228">
        <v>23.23</v>
      </c>
      <c r="DJ85" s="228">
        <v>-0.44</v>
      </c>
      <c r="DK85" s="228">
        <v>-0.44</v>
      </c>
      <c r="DL85" s="228">
        <v>24.59</v>
      </c>
      <c r="DM85" s="228">
        <v>23.56</v>
      </c>
      <c r="DN85" s="228">
        <v>1.03</v>
      </c>
      <c r="DO85" s="228">
        <v>1.03</v>
      </c>
      <c r="DP85" s="228">
        <v>0.7</v>
      </c>
      <c r="DQ85" s="228">
        <v>0.75</v>
      </c>
      <c r="DR85" s="228">
        <v>-0.05</v>
      </c>
      <c r="DS85" s="229">
        <v>-6.6699999999999995E-2</v>
      </c>
      <c r="DT85" s="231">
        <v>2260</v>
      </c>
      <c r="DU85" s="231">
        <v>1900</v>
      </c>
      <c r="DV85" s="228">
        <v>0.42</v>
      </c>
      <c r="DW85" s="228">
        <v>0.52</v>
      </c>
      <c r="DX85" s="228">
        <v>-0.1</v>
      </c>
      <c r="DY85" s="229">
        <v>-0.1923</v>
      </c>
      <c r="DZ85" s="229">
        <v>5.6899999999999999E-2</v>
      </c>
      <c r="EA85" s="230">
        <v>981300</v>
      </c>
      <c r="EB85" s="229">
        <v>4.7999999999999996E-3</v>
      </c>
      <c r="EC85" s="229">
        <v>5.6899999999999999E-2</v>
      </c>
      <c r="ED85" s="228">
        <v>6.92</v>
      </c>
      <c r="EE85" s="229">
        <v>3.0999999999999999E-3</v>
      </c>
      <c r="EF85" s="230">
        <v>2985003</v>
      </c>
      <c r="EG85" s="230">
        <v>1083756</v>
      </c>
      <c r="EH85" s="229">
        <v>1.7543</v>
      </c>
      <c r="EI85" s="229">
        <v>0.58030000000000004</v>
      </c>
      <c r="EJ85" s="231">
        <v>886426.7</v>
      </c>
      <c r="EK85" s="231">
        <v>358518.29</v>
      </c>
      <c r="EL85" s="231">
        <v>108642.16</v>
      </c>
      <c r="EM85" s="231">
        <v>6710</v>
      </c>
      <c r="EN85" s="231">
        <v>1353587.15</v>
      </c>
      <c r="EO85" s="231">
        <v>197819.82</v>
      </c>
      <c r="EP85" s="231">
        <v>1155767.33</v>
      </c>
      <c r="EQ85" s="229">
        <v>5.8425000000000002</v>
      </c>
      <c r="ER85" s="231">
        <v>158027</v>
      </c>
      <c r="ES85" s="231">
        <v>104367</v>
      </c>
      <c r="ET85" s="231">
        <v>402846</v>
      </c>
      <c r="EU85" s="231">
        <v>89517840</v>
      </c>
      <c r="EV85" s="231">
        <v>665240</v>
      </c>
      <c r="EW85" s="231">
        <v>583101</v>
      </c>
      <c r="EX85" s="231">
        <v>82139</v>
      </c>
      <c r="EY85" s="229">
        <v>0.1409</v>
      </c>
      <c r="EZ85" s="229">
        <v>0.33489999999999998</v>
      </c>
      <c r="FA85" s="227" t="s">
        <v>693</v>
      </c>
      <c r="FB85" s="161">
        <f t="shared" si="1"/>
        <v>1023300</v>
      </c>
    </row>
    <row r="86" spans="1:158" ht="17.25" thickBot="1" x14ac:dyDescent="0.3">
      <c r="A86" s="226">
        <v>46129</v>
      </c>
      <c r="B86" s="227" t="s">
        <v>227</v>
      </c>
      <c r="C86" s="227" t="s">
        <v>666</v>
      </c>
      <c r="D86" s="228">
        <v>1225</v>
      </c>
      <c r="E86" s="228">
        <v>593.20000000000005</v>
      </c>
      <c r="F86" s="228">
        <v>594.29999999999995</v>
      </c>
      <c r="G86" s="228">
        <v>-1.1000000000000001</v>
      </c>
      <c r="H86" s="229">
        <v>-1.9E-3</v>
      </c>
      <c r="I86" s="228">
        <v>592.29999999999995</v>
      </c>
      <c r="J86" s="228">
        <v>592.5</v>
      </c>
      <c r="K86" s="228">
        <v>-0.2</v>
      </c>
      <c r="L86" s="229">
        <v>-2.9999999999999997E-4</v>
      </c>
      <c r="M86" s="228">
        <v>593.20000000000005</v>
      </c>
      <c r="N86" s="228">
        <v>594.29999999999995</v>
      </c>
      <c r="O86" s="228">
        <v>-1.1000000000000001</v>
      </c>
      <c r="P86" s="229">
        <v>-1.9E-3</v>
      </c>
      <c r="Q86" s="228">
        <v>596.95000000000005</v>
      </c>
      <c r="R86" s="228">
        <v>597.65</v>
      </c>
      <c r="S86" s="228">
        <v>-0.7</v>
      </c>
      <c r="T86" s="229">
        <v>-1.1999999999999999E-3</v>
      </c>
      <c r="U86" s="228">
        <v>598.65</v>
      </c>
      <c r="V86" s="228">
        <v>600.35</v>
      </c>
      <c r="W86" s="228">
        <v>-1.7</v>
      </c>
      <c r="X86" s="229">
        <v>-2.8E-3</v>
      </c>
      <c r="Y86" s="228">
        <v>0.9</v>
      </c>
      <c r="Z86" s="228">
        <v>1.8</v>
      </c>
      <c r="AA86" s="228">
        <v>-0.9</v>
      </c>
      <c r="AB86" s="229">
        <v>1.5E-3</v>
      </c>
      <c r="AC86" s="228">
        <v>0.9</v>
      </c>
      <c r="AD86" s="228">
        <v>1.8</v>
      </c>
      <c r="AE86" s="228">
        <v>-0.9</v>
      </c>
      <c r="AF86" s="229">
        <v>1.5E-3</v>
      </c>
      <c r="AG86" s="228">
        <v>4.6500000000000004</v>
      </c>
      <c r="AH86" s="228">
        <v>5.15</v>
      </c>
      <c r="AI86" s="228">
        <v>-0.5</v>
      </c>
      <c r="AJ86" s="229">
        <v>7.9000000000000008E-3</v>
      </c>
      <c r="AK86" s="228">
        <v>6.35</v>
      </c>
      <c r="AL86" s="228">
        <v>7.85</v>
      </c>
      <c r="AM86" s="228">
        <v>-1.5</v>
      </c>
      <c r="AN86" s="229">
        <v>1.0699999999999999E-2</v>
      </c>
      <c r="AO86" s="228">
        <v>589.55999999999995</v>
      </c>
      <c r="AP86" s="228">
        <v>593.17999999999995</v>
      </c>
      <c r="AQ86" s="228">
        <v>0</v>
      </c>
      <c r="AR86" s="230">
        <v>5538225</v>
      </c>
      <c r="AS86" s="230">
        <v>7547225</v>
      </c>
      <c r="AT86" s="230">
        <v>-2009000</v>
      </c>
      <c r="AU86" s="229">
        <v>-0.26619999999999999</v>
      </c>
      <c r="AV86" s="230">
        <v>4265450</v>
      </c>
      <c r="AW86" s="230">
        <v>5630100</v>
      </c>
      <c r="AX86" s="230">
        <v>-1364650</v>
      </c>
      <c r="AY86" s="229">
        <v>-0.2424</v>
      </c>
      <c r="AZ86" s="230">
        <v>1205400</v>
      </c>
      <c r="BA86" s="230">
        <v>1724800</v>
      </c>
      <c r="BB86" s="230">
        <v>-519400</v>
      </c>
      <c r="BC86" s="229">
        <v>-0.30109999999999998</v>
      </c>
      <c r="BD86" s="230">
        <v>67375</v>
      </c>
      <c r="BE86" s="230">
        <v>192325</v>
      </c>
      <c r="BF86" s="230">
        <v>-124950</v>
      </c>
      <c r="BG86" s="229">
        <v>-0.64970000000000006</v>
      </c>
      <c r="BH86" s="230">
        <v>16158975</v>
      </c>
      <c r="BI86" s="230">
        <v>51372825</v>
      </c>
      <c r="BJ86" s="230">
        <v>-35213850</v>
      </c>
      <c r="BK86" s="229">
        <v>-0.6855</v>
      </c>
      <c r="BL86" s="230">
        <v>9641975</v>
      </c>
      <c r="BM86" s="230">
        <v>22724975</v>
      </c>
      <c r="BN86" s="230">
        <v>-13083000</v>
      </c>
      <c r="BO86" s="229">
        <v>-0.57569999999999999</v>
      </c>
      <c r="BP86" s="230">
        <v>31339175</v>
      </c>
      <c r="BQ86" s="230">
        <v>81645025</v>
      </c>
      <c r="BR86" s="230">
        <v>-50305850</v>
      </c>
      <c r="BS86" s="229">
        <v>-0.61619999999999997</v>
      </c>
      <c r="BT86" s="230">
        <v>3168321</v>
      </c>
      <c r="BU86" s="230">
        <v>8213648</v>
      </c>
      <c r="BV86" s="230">
        <v>-5045327</v>
      </c>
      <c r="BW86" s="229">
        <v>-0.61429999999999996</v>
      </c>
      <c r="BX86" s="230">
        <v>36605450</v>
      </c>
      <c r="BY86" s="230">
        <v>36470700</v>
      </c>
      <c r="BZ86" s="230">
        <v>134750</v>
      </c>
      <c r="CA86" s="229">
        <v>3.7000000000000002E-3</v>
      </c>
      <c r="CB86" s="230">
        <v>32559275</v>
      </c>
      <c r="CC86" s="230">
        <v>32924325</v>
      </c>
      <c r="CD86" s="230">
        <v>-365050</v>
      </c>
      <c r="CE86" s="229">
        <v>-1.11E-2</v>
      </c>
      <c r="CF86" s="230">
        <v>3573325</v>
      </c>
      <c r="CG86" s="230">
        <v>3109050</v>
      </c>
      <c r="CH86" s="230">
        <v>464275</v>
      </c>
      <c r="CI86" s="229">
        <v>0.14929999999999999</v>
      </c>
      <c r="CJ86" s="230">
        <v>472850</v>
      </c>
      <c r="CK86" s="230">
        <v>437325</v>
      </c>
      <c r="CL86" s="230">
        <v>35525</v>
      </c>
      <c r="CM86" s="229">
        <v>8.1199999999999994E-2</v>
      </c>
      <c r="CN86" s="230">
        <v>20903400</v>
      </c>
      <c r="CO86" s="230">
        <v>19688200</v>
      </c>
      <c r="CP86" s="230">
        <v>1215200</v>
      </c>
      <c r="CQ86" s="229">
        <v>6.1699999999999998E-2</v>
      </c>
      <c r="CR86" s="230">
        <v>16691850</v>
      </c>
      <c r="CS86" s="230">
        <v>16351300</v>
      </c>
      <c r="CT86" s="230">
        <v>340550</v>
      </c>
      <c r="CU86" s="229">
        <v>2.0799999999999999E-2</v>
      </c>
      <c r="CV86" s="230">
        <v>74200700</v>
      </c>
      <c r="CW86" s="230">
        <v>72510200</v>
      </c>
      <c r="CX86" s="230">
        <v>1690500</v>
      </c>
      <c r="CY86" s="229">
        <v>2.3300000000000001E-2</v>
      </c>
      <c r="CZ86" s="228">
        <v>43.38</v>
      </c>
      <c r="DA86" s="228">
        <v>45.69</v>
      </c>
      <c r="DB86" s="228">
        <v>-2.31</v>
      </c>
      <c r="DC86" s="228">
        <v>-2.31</v>
      </c>
      <c r="DD86" s="228">
        <v>50.55</v>
      </c>
      <c r="DE86" s="228">
        <v>50.68</v>
      </c>
      <c r="DF86" s="228">
        <v>-7.17</v>
      </c>
      <c r="DG86" s="228">
        <v>-0.13</v>
      </c>
      <c r="DH86" s="228">
        <v>42.34</v>
      </c>
      <c r="DI86" s="228">
        <v>44.73</v>
      </c>
      <c r="DJ86" s="228">
        <v>-2.39</v>
      </c>
      <c r="DK86" s="228">
        <v>-2.39</v>
      </c>
      <c r="DL86" s="228">
        <v>45.13</v>
      </c>
      <c r="DM86" s="228">
        <v>47.87</v>
      </c>
      <c r="DN86" s="228">
        <v>-2.74</v>
      </c>
      <c r="DO86" s="228">
        <v>-2.74</v>
      </c>
      <c r="DP86" s="228">
        <v>0.8</v>
      </c>
      <c r="DQ86" s="228">
        <v>0.83</v>
      </c>
      <c r="DR86" s="228">
        <v>-0.03</v>
      </c>
      <c r="DS86" s="229">
        <v>-3.61E-2</v>
      </c>
      <c r="DT86" s="228">
        <v>600</v>
      </c>
      <c r="DU86" s="228">
        <v>600</v>
      </c>
      <c r="DV86" s="228">
        <v>0.6</v>
      </c>
      <c r="DW86" s="228">
        <v>0.44</v>
      </c>
      <c r="DX86" s="228">
        <v>0.16</v>
      </c>
      <c r="DY86" s="229">
        <v>0.36359999999999998</v>
      </c>
      <c r="DZ86" s="229">
        <v>0.1105</v>
      </c>
      <c r="EA86" s="230">
        <v>3546375</v>
      </c>
      <c r="EB86" s="229">
        <v>6.3E-3</v>
      </c>
      <c r="EC86" s="229">
        <v>0.1105</v>
      </c>
      <c r="ED86" s="228">
        <v>3.62</v>
      </c>
      <c r="EE86" s="229">
        <v>6.1000000000000004E-3</v>
      </c>
      <c r="EF86" s="230">
        <v>944338</v>
      </c>
      <c r="EG86" s="230">
        <v>3041458</v>
      </c>
      <c r="EH86" s="229">
        <v>-0.6895</v>
      </c>
      <c r="EI86" s="229">
        <v>0.29809999999999998</v>
      </c>
      <c r="EJ86" s="231">
        <v>100681.88</v>
      </c>
      <c r="EK86" s="231">
        <v>55514.05</v>
      </c>
      <c r="EL86" s="231">
        <v>32698.99</v>
      </c>
      <c r="EM86" s="231">
        <v>4654</v>
      </c>
      <c r="EN86" s="231">
        <v>188894.92</v>
      </c>
      <c r="EO86" s="231">
        <v>497143.3</v>
      </c>
      <c r="EP86" s="231">
        <v>-308248.38</v>
      </c>
      <c r="EQ86" s="229">
        <v>-0.62</v>
      </c>
      <c r="ER86" s="231">
        <v>123352</v>
      </c>
      <c r="ES86" s="231">
        <v>90874</v>
      </c>
      <c r="ET86" s="231">
        <v>217303</v>
      </c>
      <c r="EU86" s="231">
        <v>241870587</v>
      </c>
      <c r="EV86" s="231">
        <v>431530</v>
      </c>
      <c r="EW86" s="231">
        <v>421114</v>
      </c>
      <c r="EX86" s="231">
        <v>10416</v>
      </c>
      <c r="EY86" s="229">
        <v>2.47E-2</v>
      </c>
      <c r="EZ86" s="229">
        <v>0.30680000000000002</v>
      </c>
      <c r="FA86" s="227" t="s">
        <v>566</v>
      </c>
      <c r="FB86" s="161">
        <f t="shared" si="1"/>
        <v>4046175</v>
      </c>
    </row>
    <row r="87" spans="1:158" ht="17.25" thickBot="1" x14ac:dyDescent="0.3">
      <c r="A87" s="226">
        <v>46129</v>
      </c>
      <c r="B87" s="227" t="s">
        <v>206</v>
      </c>
      <c r="C87" s="227" t="s">
        <v>607</v>
      </c>
      <c r="D87" s="228">
        <v>2775</v>
      </c>
      <c r="E87" s="228">
        <v>197.6</v>
      </c>
      <c r="F87" s="228">
        <v>194.54</v>
      </c>
      <c r="G87" s="228">
        <v>3.06</v>
      </c>
      <c r="H87" s="229">
        <v>1.5699999999999999E-2</v>
      </c>
      <c r="I87" s="228">
        <v>196.91</v>
      </c>
      <c r="J87" s="228">
        <v>193.67</v>
      </c>
      <c r="K87" s="228">
        <v>3.24</v>
      </c>
      <c r="L87" s="229">
        <v>1.67E-2</v>
      </c>
      <c r="M87" s="228">
        <v>197.6</v>
      </c>
      <c r="N87" s="228">
        <v>194.54</v>
      </c>
      <c r="O87" s="228">
        <v>3.06</v>
      </c>
      <c r="P87" s="229">
        <v>1.5699999999999999E-2</v>
      </c>
      <c r="Q87" s="228">
        <v>0</v>
      </c>
      <c r="R87" s="228">
        <v>0</v>
      </c>
      <c r="S87" s="228">
        <v>0</v>
      </c>
      <c r="T87" s="229">
        <v>0</v>
      </c>
      <c r="U87" s="228">
        <v>0</v>
      </c>
      <c r="V87" s="228">
        <v>0</v>
      </c>
      <c r="W87" s="228">
        <v>0</v>
      </c>
      <c r="X87" s="229">
        <v>0</v>
      </c>
      <c r="Y87" s="228">
        <v>0.69</v>
      </c>
      <c r="Z87" s="228">
        <v>0.87</v>
      </c>
      <c r="AA87" s="228">
        <v>-0.18</v>
      </c>
      <c r="AB87" s="229">
        <v>3.5000000000000001E-3</v>
      </c>
      <c r="AC87" s="228">
        <v>0.69</v>
      </c>
      <c r="AD87" s="228">
        <v>0.87</v>
      </c>
      <c r="AE87" s="228">
        <v>-0.18</v>
      </c>
      <c r="AF87" s="229">
        <v>3.5000000000000001E-3</v>
      </c>
      <c r="AG87" s="228">
        <v>0</v>
      </c>
      <c r="AH87" s="228">
        <v>0</v>
      </c>
      <c r="AI87" s="228">
        <v>0</v>
      </c>
      <c r="AJ87" s="229">
        <v>0</v>
      </c>
      <c r="AK87" s="228">
        <v>0</v>
      </c>
      <c r="AL87" s="228">
        <v>0</v>
      </c>
      <c r="AM87" s="228">
        <v>0</v>
      </c>
      <c r="AN87" s="229">
        <v>0</v>
      </c>
      <c r="AO87" s="228">
        <v>195.68</v>
      </c>
      <c r="AP87" s="228">
        <v>0</v>
      </c>
      <c r="AQ87" s="228">
        <v>0</v>
      </c>
      <c r="AR87" s="230">
        <v>7728375</v>
      </c>
      <c r="AS87" s="230">
        <v>6651675</v>
      </c>
      <c r="AT87" s="230">
        <v>1076700</v>
      </c>
      <c r="AU87" s="229">
        <v>0.16189999999999999</v>
      </c>
      <c r="AV87" s="230">
        <v>7728375</v>
      </c>
      <c r="AW87" s="230">
        <v>6651675</v>
      </c>
      <c r="AX87" s="230">
        <v>1076700</v>
      </c>
      <c r="AY87" s="229">
        <v>0.16189999999999999</v>
      </c>
      <c r="AZ87" s="228">
        <v>0</v>
      </c>
      <c r="BA87" s="228">
        <v>0</v>
      </c>
      <c r="BB87" s="228">
        <v>0</v>
      </c>
      <c r="BC87" s="229">
        <v>0</v>
      </c>
      <c r="BD87" s="228">
        <v>0</v>
      </c>
      <c r="BE87" s="228">
        <v>0</v>
      </c>
      <c r="BF87" s="228">
        <v>0</v>
      </c>
      <c r="BG87" s="229">
        <v>0</v>
      </c>
      <c r="BH87" s="230">
        <v>24120300</v>
      </c>
      <c r="BI87" s="230">
        <v>26426325</v>
      </c>
      <c r="BJ87" s="230">
        <v>-2306025</v>
      </c>
      <c r="BK87" s="229">
        <v>-8.7300000000000003E-2</v>
      </c>
      <c r="BL87" s="230">
        <v>13736250</v>
      </c>
      <c r="BM87" s="230">
        <v>10619925</v>
      </c>
      <c r="BN87" s="230">
        <v>3116325</v>
      </c>
      <c r="BO87" s="229">
        <v>0.29339999999999999</v>
      </c>
      <c r="BP87" s="230">
        <v>45584925</v>
      </c>
      <c r="BQ87" s="230">
        <v>43697925</v>
      </c>
      <c r="BR87" s="230">
        <v>1887000</v>
      </c>
      <c r="BS87" s="229">
        <v>4.3200000000000002E-2</v>
      </c>
      <c r="BT87" s="230">
        <v>6783178</v>
      </c>
      <c r="BU87" s="230">
        <v>6136712</v>
      </c>
      <c r="BV87" s="230">
        <v>646466</v>
      </c>
      <c r="BW87" s="229">
        <v>0.1053</v>
      </c>
      <c r="BX87" s="230">
        <v>27705600</v>
      </c>
      <c r="BY87" s="230">
        <v>27955350</v>
      </c>
      <c r="BZ87" s="230">
        <v>-249750</v>
      </c>
      <c r="CA87" s="229">
        <v>-8.8999999999999999E-3</v>
      </c>
      <c r="CB87" s="230">
        <v>27705600</v>
      </c>
      <c r="CC87" s="230">
        <v>27955350</v>
      </c>
      <c r="CD87" s="230">
        <v>-249750</v>
      </c>
      <c r="CE87" s="229">
        <v>-8.8999999999999999E-3</v>
      </c>
      <c r="CF87" s="228">
        <v>0</v>
      </c>
      <c r="CG87" s="228">
        <v>0</v>
      </c>
      <c r="CH87" s="228">
        <v>0</v>
      </c>
      <c r="CI87" s="229">
        <v>0</v>
      </c>
      <c r="CJ87" s="228">
        <v>0</v>
      </c>
      <c r="CK87" s="228">
        <v>0</v>
      </c>
      <c r="CL87" s="228">
        <v>0</v>
      </c>
      <c r="CM87" s="229">
        <v>0</v>
      </c>
      <c r="CN87" s="230">
        <v>11161050</v>
      </c>
      <c r="CO87" s="230">
        <v>12062925</v>
      </c>
      <c r="CP87" s="230">
        <v>-901875</v>
      </c>
      <c r="CQ87" s="229">
        <v>-7.4800000000000005E-2</v>
      </c>
      <c r="CR87" s="230">
        <v>9879000</v>
      </c>
      <c r="CS87" s="230">
        <v>9626475</v>
      </c>
      <c r="CT87" s="230">
        <v>252525</v>
      </c>
      <c r="CU87" s="229">
        <v>2.6200000000000001E-2</v>
      </c>
      <c r="CV87" s="230">
        <v>48745650</v>
      </c>
      <c r="CW87" s="230">
        <v>49644750</v>
      </c>
      <c r="CX87" s="230">
        <v>-899100</v>
      </c>
      <c r="CY87" s="229">
        <v>-1.8100000000000002E-2</v>
      </c>
      <c r="CZ87" s="228">
        <v>36.89</v>
      </c>
      <c r="DA87" s="228">
        <v>39.770000000000003</v>
      </c>
      <c r="DB87" s="228">
        <v>-2.88</v>
      </c>
      <c r="DC87" s="228">
        <v>-2.88</v>
      </c>
      <c r="DD87" s="228">
        <v>50.34</v>
      </c>
      <c r="DE87" s="228">
        <v>50.43</v>
      </c>
      <c r="DF87" s="228">
        <v>-13.45</v>
      </c>
      <c r="DG87" s="228">
        <v>-0.09</v>
      </c>
      <c r="DH87" s="228">
        <v>35.39</v>
      </c>
      <c r="DI87" s="228">
        <v>38.47</v>
      </c>
      <c r="DJ87" s="228">
        <v>-3.08</v>
      </c>
      <c r="DK87" s="228">
        <v>-3.08</v>
      </c>
      <c r="DL87" s="228">
        <v>39.520000000000003</v>
      </c>
      <c r="DM87" s="228">
        <v>42.98</v>
      </c>
      <c r="DN87" s="228">
        <v>-3.46</v>
      </c>
      <c r="DO87" s="228">
        <v>-3.46</v>
      </c>
      <c r="DP87" s="228">
        <v>0.89</v>
      </c>
      <c r="DQ87" s="228">
        <v>0.8</v>
      </c>
      <c r="DR87" s="228">
        <v>0.09</v>
      </c>
      <c r="DS87" s="229">
        <v>0.1125</v>
      </c>
      <c r="DT87" s="228">
        <v>205</v>
      </c>
      <c r="DU87" s="228">
        <v>180</v>
      </c>
      <c r="DV87" s="228">
        <v>0.56999999999999995</v>
      </c>
      <c r="DW87" s="228">
        <v>0.4</v>
      </c>
      <c r="DX87" s="228">
        <v>0.17</v>
      </c>
      <c r="DY87" s="229">
        <v>0.42499999999999999</v>
      </c>
      <c r="DZ87" s="229">
        <v>0</v>
      </c>
      <c r="EA87" s="228">
        <v>0</v>
      </c>
      <c r="EB87" s="229">
        <v>0</v>
      </c>
      <c r="EC87" s="229">
        <v>0</v>
      </c>
      <c r="ED87" s="228">
        <v>0</v>
      </c>
      <c r="EE87" s="229">
        <v>0</v>
      </c>
      <c r="EF87" s="230">
        <v>1325856</v>
      </c>
      <c r="EG87" s="230">
        <v>1445347</v>
      </c>
      <c r="EH87" s="229">
        <v>-8.2699999999999996E-2</v>
      </c>
      <c r="EI87" s="229">
        <v>0.19550000000000001</v>
      </c>
      <c r="EJ87" s="231">
        <v>48829</v>
      </c>
      <c r="EK87" s="231">
        <v>26466.41</v>
      </c>
      <c r="EL87" s="231">
        <v>15122.73</v>
      </c>
      <c r="EM87" s="231">
        <v>1769</v>
      </c>
      <c r="EN87" s="231">
        <v>90418.14</v>
      </c>
      <c r="EO87" s="231">
        <v>86545.94</v>
      </c>
      <c r="EP87" s="231">
        <v>3872.2</v>
      </c>
      <c r="EQ87" s="229">
        <v>4.4699999999999997E-2</v>
      </c>
      <c r="ER87" s="231">
        <v>21456</v>
      </c>
      <c r="ES87" s="231">
        <v>17625</v>
      </c>
      <c r="ET87" s="231">
        <v>54746</v>
      </c>
      <c r="EU87" s="231">
        <v>75071250</v>
      </c>
      <c r="EV87" s="231">
        <v>93827</v>
      </c>
      <c r="EW87" s="231">
        <v>94611</v>
      </c>
      <c r="EX87" s="228">
        <v>-784</v>
      </c>
      <c r="EY87" s="229">
        <v>-8.3000000000000001E-3</v>
      </c>
      <c r="EZ87" s="229">
        <v>0.64929999999999999</v>
      </c>
      <c r="FA87" s="227" t="s">
        <v>693</v>
      </c>
      <c r="FB87" s="161">
        <f t="shared" si="1"/>
        <v>0</v>
      </c>
    </row>
    <row r="88" spans="1:158" ht="17.25" thickBot="1" x14ac:dyDescent="0.3">
      <c r="A88" s="226">
        <v>46129</v>
      </c>
      <c r="B88" s="227" t="s">
        <v>162</v>
      </c>
      <c r="C88" s="227" t="s">
        <v>694</v>
      </c>
      <c r="D88" s="228">
        <v>275</v>
      </c>
      <c r="E88" s="231">
        <v>1869.4</v>
      </c>
      <c r="F88" s="231">
        <v>1854.5</v>
      </c>
      <c r="G88" s="228">
        <v>14.9</v>
      </c>
      <c r="H88" s="229">
        <v>8.0000000000000002E-3</v>
      </c>
      <c r="I88" s="231">
        <v>1902.8</v>
      </c>
      <c r="J88" s="231">
        <v>1852.5</v>
      </c>
      <c r="K88" s="228">
        <v>50.3</v>
      </c>
      <c r="L88" s="229">
        <v>2.7199999999999998E-2</v>
      </c>
      <c r="M88" s="231">
        <v>1869.4</v>
      </c>
      <c r="N88" s="231">
        <v>1854.5</v>
      </c>
      <c r="O88" s="228">
        <v>14.9</v>
      </c>
      <c r="P88" s="229">
        <v>8.0000000000000002E-3</v>
      </c>
      <c r="Q88" s="231">
        <v>1838</v>
      </c>
      <c r="R88" s="231">
        <v>1825.6</v>
      </c>
      <c r="S88" s="228">
        <v>12.4</v>
      </c>
      <c r="T88" s="229">
        <v>6.7999999999999996E-3</v>
      </c>
      <c r="U88" s="231">
        <v>1816.5</v>
      </c>
      <c r="V88" s="231">
        <v>1807.4</v>
      </c>
      <c r="W88" s="228">
        <v>9.1</v>
      </c>
      <c r="X88" s="229">
        <v>5.0000000000000001E-3</v>
      </c>
      <c r="Y88" s="228">
        <v>-33.4</v>
      </c>
      <c r="Z88" s="228">
        <v>2</v>
      </c>
      <c r="AA88" s="228">
        <v>-35.4</v>
      </c>
      <c r="AB88" s="229">
        <v>-1.7600000000000001E-2</v>
      </c>
      <c r="AC88" s="228">
        <v>-33.4</v>
      </c>
      <c r="AD88" s="228">
        <v>2</v>
      </c>
      <c r="AE88" s="228">
        <v>-35.4</v>
      </c>
      <c r="AF88" s="229">
        <v>-1.7600000000000001E-2</v>
      </c>
      <c r="AG88" s="228">
        <v>-64.8</v>
      </c>
      <c r="AH88" s="228">
        <v>-26.9</v>
      </c>
      <c r="AI88" s="228">
        <v>-37.9</v>
      </c>
      <c r="AJ88" s="229">
        <v>-3.4099999999999998E-2</v>
      </c>
      <c r="AK88" s="228">
        <v>-86.3</v>
      </c>
      <c r="AL88" s="228">
        <v>-45.1</v>
      </c>
      <c r="AM88" s="228">
        <v>-41.2</v>
      </c>
      <c r="AN88" s="229">
        <v>-4.5400000000000003E-2</v>
      </c>
      <c r="AO88" s="231">
        <v>1882.82</v>
      </c>
      <c r="AP88" s="231">
        <v>1850.16</v>
      </c>
      <c r="AQ88" s="228">
        <v>0</v>
      </c>
      <c r="AR88" s="230">
        <v>2300650</v>
      </c>
      <c r="AS88" s="230">
        <v>2094675</v>
      </c>
      <c r="AT88" s="230">
        <v>205975</v>
      </c>
      <c r="AU88" s="229">
        <v>9.8299999999999998E-2</v>
      </c>
      <c r="AV88" s="230">
        <v>1692625</v>
      </c>
      <c r="AW88" s="230">
        <v>1695375</v>
      </c>
      <c r="AX88" s="230">
        <v>-2750</v>
      </c>
      <c r="AY88" s="229">
        <v>-1.6000000000000001E-3</v>
      </c>
      <c r="AZ88" s="230">
        <v>563200</v>
      </c>
      <c r="BA88" s="230">
        <v>370700</v>
      </c>
      <c r="BB88" s="230">
        <v>192500</v>
      </c>
      <c r="BC88" s="229">
        <v>0.51929999999999998</v>
      </c>
      <c r="BD88" s="230">
        <v>44825</v>
      </c>
      <c r="BE88" s="230">
        <v>28600</v>
      </c>
      <c r="BF88" s="230">
        <v>16225</v>
      </c>
      <c r="BG88" s="229">
        <v>0.56730000000000003</v>
      </c>
      <c r="BH88" s="230">
        <v>3902250</v>
      </c>
      <c r="BI88" s="230">
        <v>5773625</v>
      </c>
      <c r="BJ88" s="230">
        <v>-1871375</v>
      </c>
      <c r="BK88" s="229">
        <v>-0.3241</v>
      </c>
      <c r="BL88" s="230">
        <v>955900</v>
      </c>
      <c r="BM88" s="230">
        <v>1261700</v>
      </c>
      <c r="BN88" s="230">
        <v>-305800</v>
      </c>
      <c r="BO88" s="229">
        <v>-0.2424</v>
      </c>
      <c r="BP88" s="230">
        <v>7158800</v>
      </c>
      <c r="BQ88" s="230">
        <v>9130000</v>
      </c>
      <c r="BR88" s="230">
        <v>-1971200</v>
      </c>
      <c r="BS88" s="229">
        <v>-0.21590000000000001</v>
      </c>
      <c r="BT88" s="230">
        <v>1667502</v>
      </c>
      <c r="BU88" s="230">
        <v>1528435</v>
      </c>
      <c r="BV88" s="230">
        <v>139067</v>
      </c>
      <c r="BW88" s="229">
        <v>9.0999999999999998E-2</v>
      </c>
      <c r="BX88" s="230">
        <v>8169150</v>
      </c>
      <c r="BY88" s="230">
        <v>7721450</v>
      </c>
      <c r="BZ88" s="230">
        <v>447700</v>
      </c>
      <c r="CA88" s="229">
        <v>5.8000000000000003E-2</v>
      </c>
      <c r="CB88" s="230">
        <v>6307400</v>
      </c>
      <c r="CC88" s="230">
        <v>6178700</v>
      </c>
      <c r="CD88" s="230">
        <v>128700</v>
      </c>
      <c r="CE88" s="229">
        <v>2.0799999999999999E-2</v>
      </c>
      <c r="CF88" s="230">
        <v>1805375</v>
      </c>
      <c r="CG88" s="230">
        <v>1500400</v>
      </c>
      <c r="CH88" s="230">
        <v>304975</v>
      </c>
      <c r="CI88" s="229">
        <v>0.20330000000000001</v>
      </c>
      <c r="CJ88" s="230">
        <v>56375</v>
      </c>
      <c r="CK88" s="230">
        <v>42350</v>
      </c>
      <c r="CL88" s="230">
        <v>14025</v>
      </c>
      <c r="CM88" s="229">
        <v>0.33119999999999999</v>
      </c>
      <c r="CN88" s="230">
        <v>1046925</v>
      </c>
      <c r="CO88" s="230">
        <v>1355475</v>
      </c>
      <c r="CP88" s="230">
        <v>-308550</v>
      </c>
      <c r="CQ88" s="229">
        <v>-0.2276</v>
      </c>
      <c r="CR88" s="230">
        <v>689425</v>
      </c>
      <c r="CS88" s="230">
        <v>689700</v>
      </c>
      <c r="CT88" s="228">
        <v>-275</v>
      </c>
      <c r="CU88" s="229">
        <v>-4.0000000000000002E-4</v>
      </c>
      <c r="CV88" s="230">
        <v>9905500</v>
      </c>
      <c r="CW88" s="230">
        <v>9766625</v>
      </c>
      <c r="CX88" s="230">
        <v>138875</v>
      </c>
      <c r="CY88" s="229">
        <v>1.4200000000000001E-2</v>
      </c>
      <c r="CZ88" s="228">
        <v>40.36</v>
      </c>
      <c r="DA88" s="228">
        <v>43.17</v>
      </c>
      <c r="DB88" s="228">
        <v>-2.81</v>
      </c>
      <c r="DC88" s="228">
        <v>-2.81</v>
      </c>
      <c r="DD88" s="228">
        <v>33.67</v>
      </c>
      <c r="DE88" s="228">
        <v>33.729999999999997</v>
      </c>
      <c r="DF88" s="228">
        <v>6.69</v>
      </c>
      <c r="DG88" s="228">
        <v>-0.06</v>
      </c>
      <c r="DH88" s="228">
        <v>40.340000000000003</v>
      </c>
      <c r="DI88" s="228">
        <v>43.03</v>
      </c>
      <c r="DJ88" s="228">
        <v>-2.69</v>
      </c>
      <c r="DK88" s="228">
        <v>-2.69</v>
      </c>
      <c r="DL88" s="228">
        <v>40.479999999999997</v>
      </c>
      <c r="DM88" s="228">
        <v>43.79</v>
      </c>
      <c r="DN88" s="228">
        <v>-3.31</v>
      </c>
      <c r="DO88" s="228">
        <v>-3.31</v>
      </c>
      <c r="DP88" s="228">
        <v>0.66</v>
      </c>
      <c r="DQ88" s="228">
        <v>0.51</v>
      </c>
      <c r="DR88" s="228">
        <v>0.15</v>
      </c>
      <c r="DS88" s="229">
        <v>0.29409999999999997</v>
      </c>
      <c r="DT88" s="231">
        <v>1900</v>
      </c>
      <c r="DU88" s="231">
        <v>1800</v>
      </c>
      <c r="DV88" s="228">
        <v>0.24</v>
      </c>
      <c r="DW88" s="228">
        <v>0.22</v>
      </c>
      <c r="DX88" s="228">
        <v>0.02</v>
      </c>
      <c r="DY88" s="229">
        <v>9.0899999999999995E-2</v>
      </c>
      <c r="DZ88" s="229">
        <v>0.22789999999999999</v>
      </c>
      <c r="EA88" s="230">
        <v>1542750</v>
      </c>
      <c r="EB88" s="229">
        <v>-1.6799999999999999E-2</v>
      </c>
      <c r="EC88" s="229">
        <v>0.22789999999999999</v>
      </c>
      <c r="ED88" s="228">
        <v>-32.659999999999997</v>
      </c>
      <c r="EE88" s="229">
        <v>-1.7299999999999999E-2</v>
      </c>
      <c r="EF88" s="230">
        <v>810116</v>
      </c>
      <c r="EG88" s="230">
        <v>538471</v>
      </c>
      <c r="EH88" s="229">
        <v>0.50449999999999995</v>
      </c>
      <c r="EI88" s="229">
        <v>0.48580000000000001</v>
      </c>
      <c r="EJ88" s="231">
        <v>76731.570000000007</v>
      </c>
      <c r="EK88" s="231">
        <v>17344.43</v>
      </c>
      <c r="EL88" s="231">
        <v>43110.3</v>
      </c>
      <c r="EM88" s="231">
        <v>6753</v>
      </c>
      <c r="EN88" s="231">
        <v>137186.29999999999</v>
      </c>
      <c r="EO88" s="231">
        <v>172196.18</v>
      </c>
      <c r="EP88" s="231">
        <v>-35009.879999999997</v>
      </c>
      <c r="EQ88" s="229">
        <v>-0.20330000000000001</v>
      </c>
      <c r="ER88" s="231">
        <v>19728</v>
      </c>
      <c r="ES88" s="231">
        <v>12089</v>
      </c>
      <c r="ET88" s="231">
        <v>152117</v>
      </c>
      <c r="EU88" s="231">
        <v>21329205</v>
      </c>
      <c r="EV88" s="231">
        <v>183934</v>
      </c>
      <c r="EW88" s="231">
        <v>180218</v>
      </c>
      <c r="EX88" s="231">
        <v>3716</v>
      </c>
      <c r="EY88" s="229">
        <v>2.06E-2</v>
      </c>
      <c r="EZ88" s="229">
        <v>0.46439999999999998</v>
      </c>
      <c r="FA88" s="227" t="s">
        <v>555</v>
      </c>
      <c r="FB88" s="161">
        <f t="shared" si="1"/>
        <v>1861750</v>
      </c>
    </row>
    <row r="89" spans="1:158" ht="17.25" thickBot="1" x14ac:dyDescent="0.3">
      <c r="A89" s="226">
        <v>46129</v>
      </c>
      <c r="B89" s="227" t="s">
        <v>172</v>
      </c>
      <c r="C89" s="227" t="s">
        <v>232</v>
      </c>
      <c r="D89" s="228">
        <v>700</v>
      </c>
      <c r="E89" s="231">
        <v>1351.6</v>
      </c>
      <c r="F89" s="231">
        <v>1348.1</v>
      </c>
      <c r="G89" s="228">
        <v>3.5</v>
      </c>
      <c r="H89" s="229">
        <v>2.5999999999999999E-3</v>
      </c>
      <c r="I89" s="231">
        <v>1346.8</v>
      </c>
      <c r="J89" s="231">
        <v>1345.5</v>
      </c>
      <c r="K89" s="228">
        <v>1.3</v>
      </c>
      <c r="L89" s="229">
        <v>1E-3</v>
      </c>
      <c r="M89" s="231">
        <v>1351.6</v>
      </c>
      <c r="N89" s="231">
        <v>1348.1</v>
      </c>
      <c r="O89" s="228">
        <v>3.5</v>
      </c>
      <c r="P89" s="229">
        <v>2.5999999999999999E-3</v>
      </c>
      <c r="Q89" s="231">
        <v>1358.6</v>
      </c>
      <c r="R89" s="231">
        <v>1355.4</v>
      </c>
      <c r="S89" s="228">
        <v>3.2</v>
      </c>
      <c r="T89" s="229">
        <v>2.3999999999999998E-3</v>
      </c>
      <c r="U89" s="231">
        <v>1367.1</v>
      </c>
      <c r="V89" s="231">
        <v>1363.1</v>
      </c>
      <c r="W89" s="228">
        <v>4</v>
      </c>
      <c r="X89" s="229">
        <v>2.8999999999999998E-3</v>
      </c>
      <c r="Y89" s="228">
        <v>4.8</v>
      </c>
      <c r="Z89" s="228">
        <v>2.6</v>
      </c>
      <c r="AA89" s="228">
        <v>2.2000000000000002</v>
      </c>
      <c r="AB89" s="229">
        <v>3.5999999999999999E-3</v>
      </c>
      <c r="AC89" s="228">
        <v>4.8</v>
      </c>
      <c r="AD89" s="228">
        <v>2.6</v>
      </c>
      <c r="AE89" s="228">
        <v>2.2000000000000002</v>
      </c>
      <c r="AF89" s="229">
        <v>3.5999999999999999E-3</v>
      </c>
      <c r="AG89" s="228">
        <v>11.8</v>
      </c>
      <c r="AH89" s="228">
        <v>9.9</v>
      </c>
      <c r="AI89" s="228">
        <v>1.9</v>
      </c>
      <c r="AJ89" s="229">
        <v>8.8000000000000005E-3</v>
      </c>
      <c r="AK89" s="228">
        <v>20.3</v>
      </c>
      <c r="AL89" s="228">
        <v>17.600000000000001</v>
      </c>
      <c r="AM89" s="228">
        <v>2.7</v>
      </c>
      <c r="AN89" s="229">
        <v>1.5100000000000001E-2</v>
      </c>
      <c r="AO89" s="231">
        <v>1345.81</v>
      </c>
      <c r="AP89" s="231">
        <v>1351.69</v>
      </c>
      <c r="AQ89" s="228">
        <v>0</v>
      </c>
      <c r="AR89" s="230">
        <v>18178300</v>
      </c>
      <c r="AS89" s="230">
        <v>18017300</v>
      </c>
      <c r="AT89" s="230">
        <v>161000</v>
      </c>
      <c r="AU89" s="229">
        <v>8.8999999999999999E-3</v>
      </c>
      <c r="AV89" s="230">
        <v>15512700</v>
      </c>
      <c r="AW89" s="230">
        <v>15395800</v>
      </c>
      <c r="AX89" s="230">
        <v>116900</v>
      </c>
      <c r="AY89" s="229">
        <v>7.6E-3</v>
      </c>
      <c r="AZ89" s="230">
        <v>2506700</v>
      </c>
      <c r="BA89" s="230">
        <v>1564500</v>
      </c>
      <c r="BB89" s="230">
        <v>942200</v>
      </c>
      <c r="BC89" s="229">
        <v>0.60219999999999996</v>
      </c>
      <c r="BD89" s="230">
        <v>158900</v>
      </c>
      <c r="BE89" s="230">
        <v>1057000</v>
      </c>
      <c r="BF89" s="230">
        <v>-898100</v>
      </c>
      <c r="BG89" s="229">
        <v>-0.84970000000000001</v>
      </c>
      <c r="BH89" s="230">
        <v>58716700</v>
      </c>
      <c r="BI89" s="230">
        <v>45350900</v>
      </c>
      <c r="BJ89" s="230">
        <v>13365800</v>
      </c>
      <c r="BK89" s="229">
        <v>0.29470000000000002</v>
      </c>
      <c r="BL89" s="230">
        <v>39828600</v>
      </c>
      <c r="BM89" s="230">
        <v>27444200</v>
      </c>
      <c r="BN89" s="230">
        <v>12384400</v>
      </c>
      <c r="BO89" s="229">
        <v>0.45129999999999998</v>
      </c>
      <c r="BP89" s="230">
        <v>116723600</v>
      </c>
      <c r="BQ89" s="230">
        <v>90812400</v>
      </c>
      <c r="BR89" s="230">
        <v>25911200</v>
      </c>
      <c r="BS89" s="229">
        <v>0.2853</v>
      </c>
      <c r="BT89" s="230">
        <v>18309513</v>
      </c>
      <c r="BU89" s="230">
        <v>27946514</v>
      </c>
      <c r="BV89" s="230">
        <v>-9637001</v>
      </c>
      <c r="BW89" s="229">
        <v>-0.3448</v>
      </c>
      <c r="BX89" s="230">
        <v>115859800</v>
      </c>
      <c r="BY89" s="230">
        <v>112387800</v>
      </c>
      <c r="BZ89" s="230">
        <v>3472000</v>
      </c>
      <c r="CA89" s="229">
        <v>3.09E-2</v>
      </c>
      <c r="CB89" s="230">
        <v>85801100</v>
      </c>
      <c r="CC89" s="230">
        <v>84044100</v>
      </c>
      <c r="CD89" s="230">
        <v>1757000</v>
      </c>
      <c r="CE89" s="229">
        <v>2.0899999999999998E-2</v>
      </c>
      <c r="CF89" s="230">
        <v>25859400</v>
      </c>
      <c r="CG89" s="230">
        <v>24229800</v>
      </c>
      <c r="CH89" s="230">
        <v>1629600</v>
      </c>
      <c r="CI89" s="229">
        <v>6.7299999999999999E-2</v>
      </c>
      <c r="CJ89" s="230">
        <v>4199300</v>
      </c>
      <c r="CK89" s="230">
        <v>4113900</v>
      </c>
      <c r="CL89" s="230">
        <v>85400</v>
      </c>
      <c r="CM89" s="229">
        <v>2.0799999999999999E-2</v>
      </c>
      <c r="CN89" s="230">
        <v>30629200</v>
      </c>
      <c r="CO89" s="230">
        <v>25916100</v>
      </c>
      <c r="CP89" s="230">
        <v>4713100</v>
      </c>
      <c r="CQ89" s="229">
        <v>0.18190000000000001</v>
      </c>
      <c r="CR89" s="230">
        <v>25355400</v>
      </c>
      <c r="CS89" s="230">
        <v>21008400</v>
      </c>
      <c r="CT89" s="230">
        <v>4347000</v>
      </c>
      <c r="CU89" s="229">
        <v>0.2069</v>
      </c>
      <c r="CV89" s="230">
        <v>171844400</v>
      </c>
      <c r="CW89" s="230">
        <v>159312300</v>
      </c>
      <c r="CX89" s="230">
        <v>12532100</v>
      </c>
      <c r="CY89" s="229">
        <v>7.8700000000000006E-2</v>
      </c>
      <c r="CZ89" s="228">
        <v>28.99</v>
      </c>
      <c r="DA89" s="228">
        <v>29.72</v>
      </c>
      <c r="DB89" s="228">
        <v>-0.73</v>
      </c>
      <c r="DC89" s="228">
        <v>-0.73</v>
      </c>
      <c r="DD89" s="228">
        <v>23.88</v>
      </c>
      <c r="DE89" s="228">
        <v>23.94</v>
      </c>
      <c r="DF89" s="228">
        <v>5.1100000000000003</v>
      </c>
      <c r="DG89" s="228">
        <v>-0.06</v>
      </c>
      <c r="DH89" s="228">
        <v>28.26</v>
      </c>
      <c r="DI89" s="228">
        <v>29.3</v>
      </c>
      <c r="DJ89" s="228">
        <v>-1.04</v>
      </c>
      <c r="DK89" s="228">
        <v>-1.04</v>
      </c>
      <c r="DL89" s="228">
        <v>30.06</v>
      </c>
      <c r="DM89" s="228">
        <v>30.39</v>
      </c>
      <c r="DN89" s="228">
        <v>-0.33</v>
      </c>
      <c r="DO89" s="228">
        <v>-0.33</v>
      </c>
      <c r="DP89" s="228">
        <v>0.83</v>
      </c>
      <c r="DQ89" s="228">
        <v>0.81</v>
      </c>
      <c r="DR89" s="228">
        <v>0.02</v>
      </c>
      <c r="DS89" s="229">
        <v>2.47E-2</v>
      </c>
      <c r="DT89" s="231">
        <v>1400</v>
      </c>
      <c r="DU89" s="231">
        <v>1300</v>
      </c>
      <c r="DV89" s="228">
        <v>0.68</v>
      </c>
      <c r="DW89" s="228">
        <v>0.61</v>
      </c>
      <c r="DX89" s="228">
        <v>7.0000000000000007E-2</v>
      </c>
      <c r="DY89" s="229">
        <v>0.1148</v>
      </c>
      <c r="DZ89" s="229">
        <v>0.25940000000000002</v>
      </c>
      <c r="EA89" s="230">
        <v>28343700</v>
      </c>
      <c r="EB89" s="229">
        <v>5.1999999999999998E-3</v>
      </c>
      <c r="EC89" s="229">
        <v>0.25940000000000002</v>
      </c>
      <c r="ED89" s="228">
        <v>5.88</v>
      </c>
      <c r="EE89" s="229">
        <v>4.4000000000000003E-3</v>
      </c>
      <c r="EF89" s="230">
        <v>10779112</v>
      </c>
      <c r="EG89" s="230">
        <v>8617015</v>
      </c>
      <c r="EH89" s="229">
        <v>0.25090000000000001</v>
      </c>
      <c r="EI89" s="229">
        <v>0.5887</v>
      </c>
      <c r="EJ89" s="231">
        <v>822075.94</v>
      </c>
      <c r="EK89" s="231">
        <v>527110.81000000006</v>
      </c>
      <c r="EL89" s="231">
        <v>244817.74</v>
      </c>
      <c r="EM89" s="231">
        <v>29843</v>
      </c>
      <c r="EN89" s="231">
        <v>1594004.49</v>
      </c>
      <c r="EO89" s="231">
        <v>1250028.83</v>
      </c>
      <c r="EP89" s="231">
        <v>343975.66</v>
      </c>
      <c r="EQ89" s="229">
        <v>0.2752</v>
      </c>
      <c r="ER89" s="231">
        <v>414075</v>
      </c>
      <c r="ES89" s="231">
        <v>324396</v>
      </c>
      <c r="ET89" s="231">
        <v>1568422</v>
      </c>
      <c r="EU89" s="231">
        <v>668616020</v>
      </c>
      <c r="EV89" s="231">
        <v>2306893</v>
      </c>
      <c r="EW89" s="231">
        <v>2134081</v>
      </c>
      <c r="EX89" s="231">
        <v>172812</v>
      </c>
      <c r="EY89" s="229">
        <v>8.1000000000000003E-2</v>
      </c>
      <c r="EZ89" s="229">
        <v>0.25700000000000001</v>
      </c>
      <c r="FA89" s="227" t="s">
        <v>555</v>
      </c>
      <c r="FB89" s="161">
        <f t="shared" si="1"/>
        <v>30058700</v>
      </c>
    </row>
    <row r="90" spans="1:158" ht="17.25" thickBot="1" x14ac:dyDescent="0.3">
      <c r="A90" s="226">
        <v>46129</v>
      </c>
      <c r="B90" s="227" t="s">
        <v>175</v>
      </c>
      <c r="C90" s="227" t="s">
        <v>472</v>
      </c>
      <c r="D90" s="228">
        <v>325</v>
      </c>
      <c r="E90" s="231">
        <v>1890.9</v>
      </c>
      <c r="F90" s="231">
        <v>1886.2</v>
      </c>
      <c r="G90" s="228">
        <v>4.7</v>
      </c>
      <c r="H90" s="229">
        <v>2.5000000000000001E-3</v>
      </c>
      <c r="I90" s="231">
        <v>1891.6</v>
      </c>
      <c r="J90" s="231">
        <v>1886.7</v>
      </c>
      <c r="K90" s="228">
        <v>4.9000000000000004</v>
      </c>
      <c r="L90" s="229">
        <v>2.5999999999999999E-3</v>
      </c>
      <c r="M90" s="231">
        <v>1890.9</v>
      </c>
      <c r="N90" s="231">
        <v>1886.2</v>
      </c>
      <c r="O90" s="228">
        <v>4.7</v>
      </c>
      <c r="P90" s="229">
        <v>2.5000000000000001E-3</v>
      </c>
      <c r="Q90" s="231">
        <v>1900.3</v>
      </c>
      <c r="R90" s="231">
        <v>1894</v>
      </c>
      <c r="S90" s="228">
        <v>6.3</v>
      </c>
      <c r="T90" s="229">
        <v>3.3E-3</v>
      </c>
      <c r="U90" s="231">
        <v>1883.8</v>
      </c>
      <c r="V90" s="231">
        <v>1913.8</v>
      </c>
      <c r="W90" s="228">
        <v>-30</v>
      </c>
      <c r="X90" s="229">
        <v>-1.5699999999999999E-2</v>
      </c>
      <c r="Y90" s="228">
        <v>-0.7</v>
      </c>
      <c r="Z90" s="228">
        <v>-0.5</v>
      </c>
      <c r="AA90" s="228">
        <v>-0.2</v>
      </c>
      <c r="AB90" s="229">
        <v>-4.0000000000000002E-4</v>
      </c>
      <c r="AC90" s="228">
        <v>-0.7</v>
      </c>
      <c r="AD90" s="228">
        <v>-0.5</v>
      </c>
      <c r="AE90" s="228">
        <v>-0.2</v>
      </c>
      <c r="AF90" s="229">
        <v>-4.0000000000000002E-4</v>
      </c>
      <c r="AG90" s="228">
        <v>8.6999999999999993</v>
      </c>
      <c r="AH90" s="228">
        <v>7.3</v>
      </c>
      <c r="AI90" s="228">
        <v>1.4</v>
      </c>
      <c r="AJ90" s="229">
        <v>4.5999999999999999E-3</v>
      </c>
      <c r="AK90" s="228">
        <v>-7.8</v>
      </c>
      <c r="AL90" s="228">
        <v>27.1</v>
      </c>
      <c r="AM90" s="228">
        <v>-34.9</v>
      </c>
      <c r="AN90" s="229">
        <v>-4.1000000000000003E-3</v>
      </c>
      <c r="AO90" s="231">
        <v>1881.77</v>
      </c>
      <c r="AP90" s="231">
        <v>1891.89</v>
      </c>
      <c r="AQ90" s="228">
        <v>0</v>
      </c>
      <c r="AR90" s="230">
        <v>746850</v>
      </c>
      <c r="AS90" s="230">
        <v>1613625</v>
      </c>
      <c r="AT90" s="230">
        <v>-866775</v>
      </c>
      <c r="AU90" s="229">
        <v>-0.53720000000000001</v>
      </c>
      <c r="AV90" s="230">
        <v>713050</v>
      </c>
      <c r="AW90" s="230">
        <v>1544075</v>
      </c>
      <c r="AX90" s="230">
        <v>-831025</v>
      </c>
      <c r="AY90" s="229">
        <v>-0.53820000000000001</v>
      </c>
      <c r="AZ90" s="230">
        <v>30875</v>
      </c>
      <c r="BA90" s="230">
        <v>65000</v>
      </c>
      <c r="BB90" s="230">
        <v>-34125</v>
      </c>
      <c r="BC90" s="229">
        <v>-0.52500000000000002</v>
      </c>
      <c r="BD90" s="230">
        <v>2925</v>
      </c>
      <c r="BE90" s="230">
        <v>4550</v>
      </c>
      <c r="BF90" s="230">
        <v>-1625</v>
      </c>
      <c r="BG90" s="229">
        <v>-0.35709999999999997</v>
      </c>
      <c r="BH90" s="230">
        <v>2501525</v>
      </c>
      <c r="BI90" s="230">
        <v>14287000</v>
      </c>
      <c r="BJ90" s="230">
        <v>-11785475</v>
      </c>
      <c r="BK90" s="229">
        <v>-0.82489999999999997</v>
      </c>
      <c r="BL90" s="230">
        <v>1637350</v>
      </c>
      <c r="BM90" s="230">
        <v>7688525</v>
      </c>
      <c r="BN90" s="230">
        <v>-6051175</v>
      </c>
      <c r="BO90" s="229">
        <v>-0.78700000000000003</v>
      </c>
      <c r="BP90" s="230">
        <v>4885725</v>
      </c>
      <c r="BQ90" s="230">
        <v>23589150</v>
      </c>
      <c r="BR90" s="230">
        <v>-18703425</v>
      </c>
      <c r="BS90" s="229">
        <v>-0.79290000000000005</v>
      </c>
      <c r="BT90" s="230">
        <v>436337</v>
      </c>
      <c r="BU90" s="230">
        <v>1260616</v>
      </c>
      <c r="BV90" s="230">
        <v>-824279</v>
      </c>
      <c r="BW90" s="229">
        <v>-0.65390000000000004</v>
      </c>
      <c r="BX90" s="230">
        <v>5574075</v>
      </c>
      <c r="BY90" s="230">
        <v>5587725</v>
      </c>
      <c r="BZ90" s="230">
        <v>-13650</v>
      </c>
      <c r="CA90" s="229">
        <v>-2.3999999999999998E-3</v>
      </c>
      <c r="CB90" s="230">
        <v>5493800</v>
      </c>
      <c r="CC90" s="230">
        <v>5510375</v>
      </c>
      <c r="CD90" s="230">
        <v>-16575</v>
      </c>
      <c r="CE90" s="229">
        <v>-3.0000000000000001E-3</v>
      </c>
      <c r="CF90" s="230">
        <v>75075</v>
      </c>
      <c r="CG90" s="230">
        <v>71825</v>
      </c>
      <c r="CH90" s="230">
        <v>3250</v>
      </c>
      <c r="CI90" s="229">
        <v>4.5199999999999997E-2</v>
      </c>
      <c r="CJ90" s="230">
        <v>5200</v>
      </c>
      <c r="CK90" s="230">
        <v>5525</v>
      </c>
      <c r="CL90" s="228">
        <v>-325</v>
      </c>
      <c r="CM90" s="229">
        <v>-5.8799999999999998E-2</v>
      </c>
      <c r="CN90" s="230">
        <v>1501175</v>
      </c>
      <c r="CO90" s="230">
        <v>1702675</v>
      </c>
      <c r="CP90" s="230">
        <v>-201500</v>
      </c>
      <c r="CQ90" s="229">
        <v>-0.1183</v>
      </c>
      <c r="CR90" s="230">
        <v>1327950</v>
      </c>
      <c r="CS90" s="230">
        <v>1559350</v>
      </c>
      <c r="CT90" s="230">
        <v>-231400</v>
      </c>
      <c r="CU90" s="229">
        <v>-0.1484</v>
      </c>
      <c r="CV90" s="230">
        <v>8403200</v>
      </c>
      <c r="CW90" s="230">
        <v>8849750</v>
      </c>
      <c r="CX90" s="230">
        <v>-446550</v>
      </c>
      <c r="CY90" s="229">
        <v>-5.0500000000000003E-2</v>
      </c>
      <c r="CZ90" s="228">
        <v>24.67</v>
      </c>
      <c r="DA90" s="228">
        <v>25.68</v>
      </c>
      <c r="DB90" s="228">
        <v>-1.01</v>
      </c>
      <c r="DC90" s="228">
        <v>-1.01</v>
      </c>
      <c r="DD90" s="228">
        <v>27.17</v>
      </c>
      <c r="DE90" s="228">
        <v>27.24</v>
      </c>
      <c r="DF90" s="228">
        <v>-2.5</v>
      </c>
      <c r="DG90" s="228">
        <v>-7.0000000000000007E-2</v>
      </c>
      <c r="DH90" s="228">
        <v>24.16</v>
      </c>
      <c r="DI90" s="228">
        <v>25.03</v>
      </c>
      <c r="DJ90" s="228">
        <v>-0.87</v>
      </c>
      <c r="DK90" s="228">
        <v>-0.87</v>
      </c>
      <c r="DL90" s="228">
        <v>25.44</v>
      </c>
      <c r="DM90" s="228">
        <v>26.89</v>
      </c>
      <c r="DN90" s="228">
        <v>-1.45</v>
      </c>
      <c r="DO90" s="228">
        <v>-1.45</v>
      </c>
      <c r="DP90" s="228">
        <v>0.88</v>
      </c>
      <c r="DQ90" s="228">
        <v>0.92</v>
      </c>
      <c r="DR90" s="228">
        <v>-0.04</v>
      </c>
      <c r="DS90" s="229">
        <v>-4.3499999999999997E-2</v>
      </c>
      <c r="DT90" s="231">
        <v>2000</v>
      </c>
      <c r="DU90" s="231">
        <v>1800</v>
      </c>
      <c r="DV90" s="228">
        <v>0.65</v>
      </c>
      <c r="DW90" s="228">
        <v>0.54</v>
      </c>
      <c r="DX90" s="228">
        <v>0.11</v>
      </c>
      <c r="DY90" s="229">
        <v>0.20369999999999999</v>
      </c>
      <c r="DZ90" s="229">
        <v>1.44E-2</v>
      </c>
      <c r="EA90" s="230">
        <v>77350</v>
      </c>
      <c r="EB90" s="229">
        <v>5.0000000000000001E-3</v>
      </c>
      <c r="EC90" s="229">
        <v>1.44E-2</v>
      </c>
      <c r="ED90" s="228">
        <v>10.119999999999999</v>
      </c>
      <c r="EE90" s="229">
        <v>5.4000000000000003E-3</v>
      </c>
      <c r="EF90" s="230">
        <v>180589</v>
      </c>
      <c r="EG90" s="230">
        <v>333336</v>
      </c>
      <c r="EH90" s="229">
        <v>-0.4582</v>
      </c>
      <c r="EI90" s="229">
        <v>0.41389999999999999</v>
      </c>
      <c r="EJ90" s="231">
        <v>48752.09</v>
      </c>
      <c r="EK90" s="231">
        <v>30306.01</v>
      </c>
      <c r="EL90" s="231">
        <v>14057.33</v>
      </c>
      <c r="EM90" s="231">
        <v>3115</v>
      </c>
      <c r="EN90" s="231">
        <v>93115.43</v>
      </c>
      <c r="EO90" s="231">
        <v>448804.61</v>
      </c>
      <c r="EP90" s="231">
        <v>-355689.18</v>
      </c>
      <c r="EQ90" s="229">
        <v>-0.79249999999999998</v>
      </c>
      <c r="ER90" s="231">
        <v>28621</v>
      </c>
      <c r="ES90" s="231">
        <v>23578</v>
      </c>
      <c r="ET90" s="231">
        <v>105407</v>
      </c>
      <c r="EU90" s="231">
        <v>27086521</v>
      </c>
      <c r="EV90" s="231">
        <v>157606</v>
      </c>
      <c r="EW90" s="231">
        <v>165635</v>
      </c>
      <c r="EX90" s="231">
        <v>-8029</v>
      </c>
      <c r="EY90" s="229">
        <v>-4.8500000000000001E-2</v>
      </c>
      <c r="EZ90" s="229">
        <v>0.31019999999999998</v>
      </c>
      <c r="FA90" s="227" t="s">
        <v>693</v>
      </c>
      <c r="FB90" s="161">
        <f t="shared" si="1"/>
        <v>80275</v>
      </c>
    </row>
    <row r="91" spans="1:158" ht="17.25" thickBot="1" x14ac:dyDescent="0.3">
      <c r="A91" s="226">
        <v>46129</v>
      </c>
      <c r="B91" s="227" t="s">
        <v>175</v>
      </c>
      <c r="C91" s="227" t="s">
        <v>233</v>
      </c>
      <c r="D91" s="228">
        <v>925</v>
      </c>
      <c r="E91" s="228">
        <v>562.75</v>
      </c>
      <c r="F91" s="228">
        <v>560</v>
      </c>
      <c r="G91" s="228">
        <v>2.75</v>
      </c>
      <c r="H91" s="229">
        <v>4.8999999999999998E-3</v>
      </c>
      <c r="I91" s="228">
        <v>562</v>
      </c>
      <c r="J91" s="228">
        <v>557.95000000000005</v>
      </c>
      <c r="K91" s="228">
        <v>4.05</v>
      </c>
      <c r="L91" s="229">
        <v>7.3000000000000001E-3</v>
      </c>
      <c r="M91" s="228">
        <v>562.75</v>
      </c>
      <c r="N91" s="228">
        <v>560</v>
      </c>
      <c r="O91" s="228">
        <v>2.75</v>
      </c>
      <c r="P91" s="229">
        <v>4.8999999999999998E-3</v>
      </c>
      <c r="Q91" s="228">
        <v>565.45000000000005</v>
      </c>
      <c r="R91" s="228">
        <v>562.70000000000005</v>
      </c>
      <c r="S91" s="228">
        <v>2.75</v>
      </c>
      <c r="T91" s="229">
        <v>4.8999999999999998E-3</v>
      </c>
      <c r="U91" s="228">
        <v>567.54999999999995</v>
      </c>
      <c r="V91" s="228">
        <v>564.95000000000005</v>
      </c>
      <c r="W91" s="228">
        <v>2.6</v>
      </c>
      <c r="X91" s="229">
        <v>4.5999999999999999E-3</v>
      </c>
      <c r="Y91" s="228">
        <v>0.75</v>
      </c>
      <c r="Z91" s="228">
        <v>2.0499999999999998</v>
      </c>
      <c r="AA91" s="228">
        <v>-1.3</v>
      </c>
      <c r="AB91" s="229">
        <v>1.2999999999999999E-3</v>
      </c>
      <c r="AC91" s="228">
        <v>0.75</v>
      </c>
      <c r="AD91" s="228">
        <v>2.0499999999999998</v>
      </c>
      <c r="AE91" s="228">
        <v>-1.3</v>
      </c>
      <c r="AF91" s="229">
        <v>1.2999999999999999E-3</v>
      </c>
      <c r="AG91" s="228">
        <v>3.45</v>
      </c>
      <c r="AH91" s="228">
        <v>4.75</v>
      </c>
      <c r="AI91" s="228">
        <v>-1.3</v>
      </c>
      <c r="AJ91" s="229">
        <v>6.1000000000000004E-3</v>
      </c>
      <c r="AK91" s="228">
        <v>5.55</v>
      </c>
      <c r="AL91" s="228">
        <v>7</v>
      </c>
      <c r="AM91" s="228">
        <v>-1.45</v>
      </c>
      <c r="AN91" s="229">
        <v>9.9000000000000008E-3</v>
      </c>
      <c r="AO91" s="228">
        <v>558.15</v>
      </c>
      <c r="AP91" s="228">
        <v>560.51</v>
      </c>
      <c r="AQ91" s="228">
        <v>0</v>
      </c>
      <c r="AR91" s="230">
        <v>3208825</v>
      </c>
      <c r="AS91" s="230">
        <v>2784250</v>
      </c>
      <c r="AT91" s="230">
        <v>424575</v>
      </c>
      <c r="AU91" s="229">
        <v>0.1525</v>
      </c>
      <c r="AV91" s="230">
        <v>2846225</v>
      </c>
      <c r="AW91" s="230">
        <v>2466050</v>
      </c>
      <c r="AX91" s="230">
        <v>380175</v>
      </c>
      <c r="AY91" s="229">
        <v>0.1542</v>
      </c>
      <c r="AZ91" s="230">
        <v>349650</v>
      </c>
      <c r="BA91" s="230">
        <v>292300</v>
      </c>
      <c r="BB91" s="230">
        <v>57350</v>
      </c>
      <c r="BC91" s="229">
        <v>0.19620000000000001</v>
      </c>
      <c r="BD91" s="230">
        <v>12950</v>
      </c>
      <c r="BE91" s="230">
        <v>25900</v>
      </c>
      <c r="BF91" s="230">
        <v>-12950</v>
      </c>
      <c r="BG91" s="229">
        <v>-0.5</v>
      </c>
      <c r="BH91" s="230">
        <v>9655150</v>
      </c>
      <c r="BI91" s="230">
        <v>10610675</v>
      </c>
      <c r="BJ91" s="230">
        <v>-955525</v>
      </c>
      <c r="BK91" s="229">
        <v>-9.01E-2</v>
      </c>
      <c r="BL91" s="230">
        <v>5344650</v>
      </c>
      <c r="BM91" s="230">
        <v>4061675</v>
      </c>
      <c r="BN91" s="230">
        <v>1282975</v>
      </c>
      <c r="BO91" s="229">
        <v>0.31590000000000001</v>
      </c>
      <c r="BP91" s="230">
        <v>18208625</v>
      </c>
      <c r="BQ91" s="230">
        <v>17456600</v>
      </c>
      <c r="BR91" s="230">
        <v>752025</v>
      </c>
      <c r="BS91" s="229">
        <v>4.3099999999999999E-2</v>
      </c>
      <c r="BT91" s="230">
        <v>4646397</v>
      </c>
      <c r="BU91" s="230">
        <v>3104868</v>
      </c>
      <c r="BV91" s="230">
        <v>1541529</v>
      </c>
      <c r="BW91" s="229">
        <v>0.4965</v>
      </c>
      <c r="BX91" s="230">
        <v>20245475</v>
      </c>
      <c r="BY91" s="230">
        <v>19496225</v>
      </c>
      <c r="BZ91" s="230">
        <v>749250</v>
      </c>
      <c r="CA91" s="229">
        <v>3.8399999999999997E-2</v>
      </c>
      <c r="CB91" s="230">
        <v>19761700</v>
      </c>
      <c r="CC91" s="230">
        <v>19087375</v>
      </c>
      <c r="CD91" s="230">
        <v>674325</v>
      </c>
      <c r="CE91" s="229">
        <v>3.5299999999999998E-2</v>
      </c>
      <c r="CF91" s="230">
        <v>444925</v>
      </c>
      <c r="CG91" s="230">
        <v>377400</v>
      </c>
      <c r="CH91" s="230">
        <v>67525</v>
      </c>
      <c r="CI91" s="229">
        <v>0.1789</v>
      </c>
      <c r="CJ91" s="230">
        <v>38850</v>
      </c>
      <c r="CK91" s="230">
        <v>31450</v>
      </c>
      <c r="CL91" s="230">
        <v>7400</v>
      </c>
      <c r="CM91" s="229">
        <v>0.23530000000000001</v>
      </c>
      <c r="CN91" s="230">
        <v>7217775</v>
      </c>
      <c r="CO91" s="230">
        <v>7216850</v>
      </c>
      <c r="CP91" s="228">
        <v>925</v>
      </c>
      <c r="CQ91" s="229">
        <v>1E-4</v>
      </c>
      <c r="CR91" s="230">
        <v>5129125</v>
      </c>
      <c r="CS91" s="230">
        <v>4755425</v>
      </c>
      <c r="CT91" s="230">
        <v>373700</v>
      </c>
      <c r="CU91" s="229">
        <v>7.8600000000000003E-2</v>
      </c>
      <c r="CV91" s="230">
        <v>32592375</v>
      </c>
      <c r="CW91" s="230">
        <v>31468500</v>
      </c>
      <c r="CX91" s="230">
        <v>1123875</v>
      </c>
      <c r="CY91" s="229">
        <v>3.5700000000000003E-2</v>
      </c>
      <c r="CZ91" s="228">
        <v>30.07</v>
      </c>
      <c r="DA91" s="228">
        <v>31.98</v>
      </c>
      <c r="DB91" s="228">
        <v>-1.91</v>
      </c>
      <c r="DC91" s="228">
        <v>-1.91</v>
      </c>
      <c r="DD91" s="228">
        <v>28.9</v>
      </c>
      <c r="DE91" s="228">
        <v>28.96</v>
      </c>
      <c r="DF91" s="228">
        <v>1.17</v>
      </c>
      <c r="DG91" s="228">
        <v>-0.06</v>
      </c>
      <c r="DH91" s="228">
        <v>30.33</v>
      </c>
      <c r="DI91" s="228">
        <v>31.82</v>
      </c>
      <c r="DJ91" s="228">
        <v>-1.49</v>
      </c>
      <c r="DK91" s="228">
        <v>-1.49</v>
      </c>
      <c r="DL91" s="228">
        <v>29.62</v>
      </c>
      <c r="DM91" s="228">
        <v>32.39</v>
      </c>
      <c r="DN91" s="228">
        <v>-2.77</v>
      </c>
      <c r="DO91" s="228">
        <v>-2.77</v>
      </c>
      <c r="DP91" s="228">
        <v>0.71</v>
      </c>
      <c r="DQ91" s="228">
        <v>0.66</v>
      </c>
      <c r="DR91" s="228">
        <v>0.05</v>
      </c>
      <c r="DS91" s="229">
        <v>7.5800000000000006E-2</v>
      </c>
      <c r="DT91" s="228">
        <v>600</v>
      </c>
      <c r="DU91" s="228">
        <v>550</v>
      </c>
      <c r="DV91" s="228">
        <v>0.55000000000000004</v>
      </c>
      <c r="DW91" s="228">
        <v>0.38</v>
      </c>
      <c r="DX91" s="228">
        <v>0.17</v>
      </c>
      <c r="DY91" s="229">
        <v>0.44740000000000002</v>
      </c>
      <c r="DZ91" s="229">
        <v>2.3900000000000001E-2</v>
      </c>
      <c r="EA91" s="230">
        <v>408850</v>
      </c>
      <c r="EB91" s="229">
        <v>4.7999999999999996E-3</v>
      </c>
      <c r="EC91" s="229">
        <v>2.3900000000000001E-2</v>
      </c>
      <c r="ED91" s="228">
        <v>2.36</v>
      </c>
      <c r="EE91" s="229">
        <v>4.1999999999999997E-3</v>
      </c>
      <c r="EF91" s="230">
        <v>3389336</v>
      </c>
      <c r="EG91" s="230">
        <v>2250987</v>
      </c>
      <c r="EH91" s="229">
        <v>0.50570000000000004</v>
      </c>
      <c r="EI91" s="229">
        <v>0.72950000000000004</v>
      </c>
      <c r="EJ91" s="231">
        <v>56334.51</v>
      </c>
      <c r="EK91" s="231">
        <v>29663.42</v>
      </c>
      <c r="EL91" s="231">
        <v>17918.54</v>
      </c>
      <c r="EM91" s="231">
        <v>4724</v>
      </c>
      <c r="EN91" s="231">
        <v>103916.47</v>
      </c>
      <c r="EO91" s="231">
        <v>100820.2</v>
      </c>
      <c r="EP91" s="231">
        <v>3096.27</v>
      </c>
      <c r="EQ91" s="229">
        <v>3.0700000000000002E-2</v>
      </c>
      <c r="ER91" s="231">
        <v>42106</v>
      </c>
      <c r="ES91" s="231">
        <v>27479</v>
      </c>
      <c r="ET91" s="231">
        <v>113945</v>
      </c>
      <c r="EU91" s="231">
        <v>58892926</v>
      </c>
      <c r="EV91" s="231">
        <v>183530</v>
      </c>
      <c r="EW91" s="231">
        <v>176891</v>
      </c>
      <c r="EX91" s="231">
        <v>6639</v>
      </c>
      <c r="EY91" s="229">
        <v>3.7499999999999999E-2</v>
      </c>
      <c r="EZ91" s="229">
        <v>0.5534</v>
      </c>
      <c r="FA91" s="227" t="s">
        <v>555</v>
      </c>
      <c r="FB91" s="161">
        <f t="shared" si="1"/>
        <v>483775</v>
      </c>
    </row>
    <row r="92" spans="1:158" ht="17.25" thickBot="1" x14ac:dyDescent="0.3">
      <c r="A92" s="226">
        <v>46129</v>
      </c>
      <c r="B92" s="227" t="s">
        <v>188</v>
      </c>
      <c r="C92" s="227" t="s">
        <v>234</v>
      </c>
      <c r="D92" s="228">
        <v>71475</v>
      </c>
      <c r="E92" s="228">
        <v>9.61</v>
      </c>
      <c r="F92" s="228">
        <v>9.5299999999999994</v>
      </c>
      <c r="G92" s="228">
        <v>0.08</v>
      </c>
      <c r="H92" s="229">
        <v>8.3999999999999995E-3</v>
      </c>
      <c r="I92" s="228">
        <v>9.61</v>
      </c>
      <c r="J92" s="228">
        <v>9.5299999999999994</v>
      </c>
      <c r="K92" s="228">
        <v>0.08</v>
      </c>
      <c r="L92" s="229">
        <v>8.3999999999999995E-3</v>
      </c>
      <c r="M92" s="228">
        <v>9.61</v>
      </c>
      <c r="N92" s="228">
        <v>9.5299999999999994</v>
      </c>
      <c r="O92" s="228">
        <v>0.08</v>
      </c>
      <c r="P92" s="229">
        <v>8.3999999999999995E-3</v>
      </c>
      <c r="Q92" s="228">
        <v>9.67</v>
      </c>
      <c r="R92" s="228">
        <v>9.6</v>
      </c>
      <c r="S92" s="228">
        <v>7.0000000000000007E-2</v>
      </c>
      <c r="T92" s="229">
        <v>7.3000000000000001E-3</v>
      </c>
      <c r="U92" s="228">
        <v>9.74</v>
      </c>
      <c r="V92" s="228">
        <v>9.66</v>
      </c>
      <c r="W92" s="228">
        <v>0.08</v>
      </c>
      <c r="X92" s="229">
        <v>8.3000000000000001E-3</v>
      </c>
      <c r="Y92" s="228">
        <v>0</v>
      </c>
      <c r="Z92" s="228">
        <v>0</v>
      </c>
      <c r="AA92" s="228">
        <v>0</v>
      </c>
      <c r="AB92" s="229">
        <v>0</v>
      </c>
      <c r="AC92" s="228">
        <v>0</v>
      </c>
      <c r="AD92" s="228">
        <v>0</v>
      </c>
      <c r="AE92" s="228">
        <v>0</v>
      </c>
      <c r="AF92" s="229">
        <v>0</v>
      </c>
      <c r="AG92" s="228">
        <v>0.06</v>
      </c>
      <c r="AH92" s="228">
        <v>7.0000000000000007E-2</v>
      </c>
      <c r="AI92" s="228">
        <v>-0.01</v>
      </c>
      <c r="AJ92" s="229">
        <v>6.1999999999999998E-3</v>
      </c>
      <c r="AK92" s="228">
        <v>0.13</v>
      </c>
      <c r="AL92" s="228">
        <v>0.13</v>
      </c>
      <c r="AM92" s="228">
        <v>0</v>
      </c>
      <c r="AN92" s="229">
        <v>1.35E-2</v>
      </c>
      <c r="AO92" s="228">
        <v>9.61</v>
      </c>
      <c r="AP92" s="228">
        <v>9.68</v>
      </c>
      <c r="AQ92" s="228">
        <v>0</v>
      </c>
      <c r="AR92" s="230">
        <v>786296475</v>
      </c>
      <c r="AS92" s="230">
        <v>463515375</v>
      </c>
      <c r="AT92" s="230">
        <v>322781100</v>
      </c>
      <c r="AU92" s="229">
        <v>0.69640000000000002</v>
      </c>
      <c r="AV92" s="230">
        <v>521981925</v>
      </c>
      <c r="AW92" s="230">
        <v>358804500</v>
      </c>
      <c r="AX92" s="230">
        <v>163177425</v>
      </c>
      <c r="AY92" s="229">
        <v>0.45479999999999998</v>
      </c>
      <c r="AZ92" s="230">
        <v>253378875</v>
      </c>
      <c r="BA92" s="230">
        <v>94275525</v>
      </c>
      <c r="BB92" s="230">
        <v>159103350</v>
      </c>
      <c r="BC92" s="229">
        <v>1.6876</v>
      </c>
      <c r="BD92" s="230">
        <v>10935675</v>
      </c>
      <c r="BE92" s="230">
        <v>10435350</v>
      </c>
      <c r="BF92" s="230">
        <v>500325</v>
      </c>
      <c r="BG92" s="229">
        <v>4.7899999999999998E-2</v>
      </c>
      <c r="BH92" s="230">
        <v>858128850</v>
      </c>
      <c r="BI92" s="230">
        <v>958551225</v>
      </c>
      <c r="BJ92" s="230">
        <v>-100422375</v>
      </c>
      <c r="BK92" s="229">
        <v>-0.1048</v>
      </c>
      <c r="BL92" s="230">
        <v>328642050</v>
      </c>
      <c r="BM92" s="230">
        <v>348226200</v>
      </c>
      <c r="BN92" s="230">
        <v>-19584150</v>
      </c>
      <c r="BO92" s="229">
        <v>-5.62E-2</v>
      </c>
      <c r="BP92" s="230">
        <v>1973067375</v>
      </c>
      <c r="BQ92" s="230">
        <v>1770292800</v>
      </c>
      <c r="BR92" s="230">
        <v>202774575</v>
      </c>
      <c r="BS92" s="229">
        <v>0.1145</v>
      </c>
      <c r="BT92" s="230">
        <v>402607670</v>
      </c>
      <c r="BU92" s="230">
        <v>484530371</v>
      </c>
      <c r="BV92" s="230">
        <v>-81922701</v>
      </c>
      <c r="BW92" s="229">
        <v>-0.1691</v>
      </c>
      <c r="BX92" s="230">
        <v>6575557050</v>
      </c>
      <c r="BY92" s="230">
        <v>6585563550</v>
      </c>
      <c r="BZ92" s="230">
        <v>-10006500</v>
      </c>
      <c r="CA92" s="229">
        <v>-1.5E-3</v>
      </c>
      <c r="CB92" s="230">
        <v>5935498425</v>
      </c>
      <c r="CC92" s="230">
        <v>6126908475</v>
      </c>
      <c r="CD92" s="230">
        <v>-191410050</v>
      </c>
      <c r="CE92" s="229">
        <v>-3.1199999999999999E-2</v>
      </c>
      <c r="CF92" s="230">
        <v>593599875</v>
      </c>
      <c r="CG92" s="230">
        <v>417485475</v>
      </c>
      <c r="CH92" s="230">
        <v>176114400</v>
      </c>
      <c r="CI92" s="229">
        <v>0.42180000000000001</v>
      </c>
      <c r="CJ92" s="230">
        <v>46458750</v>
      </c>
      <c r="CK92" s="230">
        <v>41169600</v>
      </c>
      <c r="CL92" s="230">
        <v>5289150</v>
      </c>
      <c r="CM92" s="229">
        <v>0.1285</v>
      </c>
      <c r="CN92" s="230">
        <v>1430071800</v>
      </c>
      <c r="CO92" s="230">
        <v>1413989925</v>
      </c>
      <c r="CP92" s="230">
        <v>16081875</v>
      </c>
      <c r="CQ92" s="229">
        <v>1.14E-2</v>
      </c>
      <c r="CR92" s="230">
        <v>750416025</v>
      </c>
      <c r="CS92" s="230">
        <v>755419275</v>
      </c>
      <c r="CT92" s="230">
        <v>-5003250</v>
      </c>
      <c r="CU92" s="229">
        <v>-6.6E-3</v>
      </c>
      <c r="CV92" s="230">
        <v>8756044875</v>
      </c>
      <c r="CW92" s="230">
        <v>8754972750</v>
      </c>
      <c r="CX92" s="230">
        <v>1072125</v>
      </c>
      <c r="CY92" s="229">
        <v>1E-4</v>
      </c>
      <c r="CZ92" s="228">
        <v>51.61</v>
      </c>
      <c r="DA92" s="228">
        <v>52.69</v>
      </c>
      <c r="DB92" s="228">
        <v>-1.08</v>
      </c>
      <c r="DC92" s="228">
        <v>-1.08</v>
      </c>
      <c r="DD92" s="228">
        <v>64.650000000000006</v>
      </c>
      <c r="DE92" s="228">
        <v>64.8</v>
      </c>
      <c r="DF92" s="228">
        <v>-13.04</v>
      </c>
      <c r="DG92" s="228">
        <v>-0.15</v>
      </c>
      <c r="DH92" s="228">
        <v>53.08</v>
      </c>
      <c r="DI92" s="228">
        <v>54.09</v>
      </c>
      <c r="DJ92" s="228">
        <v>-1.01</v>
      </c>
      <c r="DK92" s="228">
        <v>-1.01</v>
      </c>
      <c r="DL92" s="228">
        <v>47.79</v>
      </c>
      <c r="DM92" s="228">
        <v>48.81</v>
      </c>
      <c r="DN92" s="228">
        <v>-1.02</v>
      </c>
      <c r="DO92" s="228">
        <v>-1.02</v>
      </c>
      <c r="DP92" s="228">
        <v>0.52</v>
      </c>
      <c r="DQ92" s="228">
        <v>0.53</v>
      </c>
      <c r="DR92" s="228">
        <v>-0.01</v>
      </c>
      <c r="DS92" s="229">
        <v>-1.89E-2</v>
      </c>
      <c r="DT92" s="228">
        <v>10</v>
      </c>
      <c r="DU92" s="228">
        <v>9</v>
      </c>
      <c r="DV92" s="228">
        <v>0.38</v>
      </c>
      <c r="DW92" s="228">
        <v>0.36</v>
      </c>
      <c r="DX92" s="228">
        <v>0.02</v>
      </c>
      <c r="DY92" s="229">
        <v>5.5599999999999997E-2</v>
      </c>
      <c r="DZ92" s="229">
        <v>9.7299999999999998E-2</v>
      </c>
      <c r="EA92" s="230">
        <v>458655075</v>
      </c>
      <c r="EB92" s="229">
        <v>6.1999999999999998E-3</v>
      </c>
      <c r="EC92" s="229">
        <v>9.7299999999999998E-2</v>
      </c>
      <c r="ED92" s="228">
        <v>7.0000000000000007E-2</v>
      </c>
      <c r="EE92" s="229">
        <v>7.3000000000000001E-3</v>
      </c>
      <c r="EF92" s="230">
        <v>122343752</v>
      </c>
      <c r="EG92" s="230">
        <v>124367408</v>
      </c>
      <c r="EH92" s="229">
        <v>-1.6299999999999999E-2</v>
      </c>
      <c r="EI92" s="229">
        <v>0.3039</v>
      </c>
      <c r="EJ92" s="231">
        <v>90670.99</v>
      </c>
      <c r="EK92" s="231">
        <v>31653.57</v>
      </c>
      <c r="EL92" s="231">
        <v>75774.539999999994</v>
      </c>
      <c r="EM92" s="231">
        <v>5978</v>
      </c>
      <c r="EN92" s="231">
        <v>198099.1</v>
      </c>
      <c r="EO92" s="231">
        <v>178197.33</v>
      </c>
      <c r="EP92" s="231">
        <v>19901.77</v>
      </c>
      <c r="EQ92" s="229">
        <v>0.11169999999999999</v>
      </c>
      <c r="ER92" s="231">
        <v>153755</v>
      </c>
      <c r="ES92" s="231">
        <v>68874</v>
      </c>
      <c r="ET92" s="231">
        <v>632328</v>
      </c>
      <c r="EU92" s="231">
        <v>12096038468</v>
      </c>
      <c r="EV92" s="231">
        <v>854956</v>
      </c>
      <c r="EW92" s="231">
        <v>848327</v>
      </c>
      <c r="EX92" s="231">
        <v>6629</v>
      </c>
      <c r="EY92" s="229">
        <v>7.7999999999999996E-3</v>
      </c>
      <c r="EZ92" s="229">
        <v>0.72389999999999999</v>
      </c>
      <c r="FA92" s="227" t="s">
        <v>693</v>
      </c>
      <c r="FB92" s="161">
        <f t="shared" si="1"/>
        <v>640058625</v>
      </c>
    </row>
    <row r="93" spans="1:158" ht="17.25" thickBot="1" x14ac:dyDescent="0.3">
      <c r="A93" s="226">
        <v>46129</v>
      </c>
      <c r="B93" s="227" t="s">
        <v>172</v>
      </c>
      <c r="C93" s="227" t="s">
        <v>235</v>
      </c>
      <c r="D93" s="228">
        <v>9275</v>
      </c>
      <c r="E93" s="228">
        <v>68.55</v>
      </c>
      <c r="F93" s="228">
        <v>67.89</v>
      </c>
      <c r="G93" s="228">
        <v>0.66</v>
      </c>
      <c r="H93" s="229">
        <v>9.7000000000000003E-3</v>
      </c>
      <c r="I93" s="228">
        <v>68.53</v>
      </c>
      <c r="J93" s="228">
        <v>67.819999999999993</v>
      </c>
      <c r="K93" s="228">
        <v>0.71</v>
      </c>
      <c r="L93" s="229">
        <v>1.0500000000000001E-2</v>
      </c>
      <c r="M93" s="228">
        <v>68.55</v>
      </c>
      <c r="N93" s="228">
        <v>67.89</v>
      </c>
      <c r="O93" s="228">
        <v>0.66</v>
      </c>
      <c r="P93" s="229">
        <v>9.7000000000000003E-3</v>
      </c>
      <c r="Q93" s="228">
        <v>68.94</v>
      </c>
      <c r="R93" s="228">
        <v>68.260000000000005</v>
      </c>
      <c r="S93" s="228">
        <v>0.68</v>
      </c>
      <c r="T93" s="229">
        <v>0.01</v>
      </c>
      <c r="U93" s="228">
        <v>69.34</v>
      </c>
      <c r="V93" s="228">
        <v>68.72</v>
      </c>
      <c r="W93" s="228">
        <v>0.62</v>
      </c>
      <c r="X93" s="229">
        <v>8.9999999999999993E-3</v>
      </c>
      <c r="Y93" s="228">
        <v>0.02</v>
      </c>
      <c r="Z93" s="228">
        <v>7.0000000000000007E-2</v>
      </c>
      <c r="AA93" s="228">
        <v>-0.05</v>
      </c>
      <c r="AB93" s="229">
        <v>2.9999999999999997E-4</v>
      </c>
      <c r="AC93" s="228">
        <v>0.02</v>
      </c>
      <c r="AD93" s="228">
        <v>7.0000000000000007E-2</v>
      </c>
      <c r="AE93" s="228">
        <v>-0.05</v>
      </c>
      <c r="AF93" s="229">
        <v>2.9999999999999997E-4</v>
      </c>
      <c r="AG93" s="228">
        <v>0.41</v>
      </c>
      <c r="AH93" s="228">
        <v>0.44</v>
      </c>
      <c r="AI93" s="228">
        <v>-0.03</v>
      </c>
      <c r="AJ93" s="229">
        <v>6.0000000000000001E-3</v>
      </c>
      <c r="AK93" s="228">
        <v>0.81</v>
      </c>
      <c r="AL93" s="228">
        <v>0.9</v>
      </c>
      <c r="AM93" s="228">
        <v>-0.09</v>
      </c>
      <c r="AN93" s="229">
        <v>1.18E-2</v>
      </c>
      <c r="AO93" s="228">
        <v>68.52</v>
      </c>
      <c r="AP93" s="228">
        <v>68.88</v>
      </c>
      <c r="AQ93" s="228">
        <v>0</v>
      </c>
      <c r="AR93" s="230">
        <v>70221025</v>
      </c>
      <c r="AS93" s="230">
        <v>78485050</v>
      </c>
      <c r="AT93" s="230">
        <v>-8264025</v>
      </c>
      <c r="AU93" s="229">
        <v>-0.1053</v>
      </c>
      <c r="AV93" s="230">
        <v>47246850</v>
      </c>
      <c r="AW93" s="230">
        <v>58284100</v>
      </c>
      <c r="AX93" s="230">
        <v>-11037250</v>
      </c>
      <c r="AY93" s="229">
        <v>-0.18940000000000001</v>
      </c>
      <c r="AZ93" s="230">
        <v>9200800</v>
      </c>
      <c r="BA93" s="230">
        <v>9896425</v>
      </c>
      <c r="BB93" s="230">
        <v>-695625</v>
      </c>
      <c r="BC93" s="229">
        <v>-7.0300000000000001E-2</v>
      </c>
      <c r="BD93" s="230">
        <v>13773375</v>
      </c>
      <c r="BE93" s="230">
        <v>10304525</v>
      </c>
      <c r="BF93" s="230">
        <v>3468850</v>
      </c>
      <c r="BG93" s="229">
        <v>0.33660000000000001</v>
      </c>
      <c r="BH93" s="230">
        <v>77372050</v>
      </c>
      <c r="BI93" s="230">
        <v>119953575</v>
      </c>
      <c r="BJ93" s="230">
        <v>-42581525</v>
      </c>
      <c r="BK93" s="229">
        <v>-0.35499999999999998</v>
      </c>
      <c r="BL93" s="230">
        <v>68041400</v>
      </c>
      <c r="BM93" s="230">
        <v>97146350</v>
      </c>
      <c r="BN93" s="230">
        <v>-29104950</v>
      </c>
      <c r="BO93" s="229">
        <v>-0.29959999999999998</v>
      </c>
      <c r="BP93" s="230">
        <v>215634475</v>
      </c>
      <c r="BQ93" s="230">
        <v>295584975</v>
      </c>
      <c r="BR93" s="230">
        <v>-79950500</v>
      </c>
      <c r="BS93" s="229">
        <v>-0.27050000000000002</v>
      </c>
      <c r="BT93" s="230">
        <v>17556404</v>
      </c>
      <c r="BU93" s="230">
        <v>37155788</v>
      </c>
      <c r="BV93" s="230">
        <v>-19599384</v>
      </c>
      <c r="BW93" s="229">
        <v>-0.52749999999999997</v>
      </c>
      <c r="BX93" s="230">
        <v>407478575</v>
      </c>
      <c r="BY93" s="230">
        <v>407691900</v>
      </c>
      <c r="BZ93" s="230">
        <v>-213325</v>
      </c>
      <c r="CA93" s="229">
        <v>-5.0000000000000001E-4</v>
      </c>
      <c r="CB93" s="230">
        <v>335894125</v>
      </c>
      <c r="CC93" s="230">
        <v>354212250</v>
      </c>
      <c r="CD93" s="230">
        <v>-18318125</v>
      </c>
      <c r="CE93" s="229">
        <v>-5.1700000000000003E-2</v>
      </c>
      <c r="CF93" s="230">
        <v>45484600</v>
      </c>
      <c r="CG93" s="230">
        <v>40513200</v>
      </c>
      <c r="CH93" s="230">
        <v>4971400</v>
      </c>
      <c r="CI93" s="229">
        <v>0.1227</v>
      </c>
      <c r="CJ93" s="230">
        <v>26099850</v>
      </c>
      <c r="CK93" s="230">
        <v>12966450</v>
      </c>
      <c r="CL93" s="230">
        <v>13133400</v>
      </c>
      <c r="CM93" s="229">
        <v>1.0128999999999999</v>
      </c>
      <c r="CN93" s="230">
        <v>126075075</v>
      </c>
      <c r="CO93" s="230">
        <v>125954500</v>
      </c>
      <c r="CP93" s="230">
        <v>120575</v>
      </c>
      <c r="CQ93" s="229">
        <v>1E-3</v>
      </c>
      <c r="CR93" s="230">
        <v>117449325</v>
      </c>
      <c r="CS93" s="230">
        <v>117569900</v>
      </c>
      <c r="CT93" s="230">
        <v>-120575</v>
      </c>
      <c r="CU93" s="229">
        <v>-1E-3</v>
      </c>
      <c r="CV93" s="230">
        <v>651002975</v>
      </c>
      <c r="CW93" s="230">
        <v>651216300</v>
      </c>
      <c r="CX93" s="230">
        <v>-213325</v>
      </c>
      <c r="CY93" s="229">
        <v>-2.9999999999999997E-4</v>
      </c>
      <c r="CZ93" s="228">
        <v>42.45</v>
      </c>
      <c r="DA93" s="228">
        <v>43.46</v>
      </c>
      <c r="DB93" s="228">
        <v>-1.01</v>
      </c>
      <c r="DC93" s="228">
        <v>-1.01</v>
      </c>
      <c r="DD93" s="228">
        <v>41.58</v>
      </c>
      <c r="DE93" s="228">
        <v>41.66</v>
      </c>
      <c r="DF93" s="228">
        <v>0.87</v>
      </c>
      <c r="DG93" s="228">
        <v>-0.08</v>
      </c>
      <c r="DH93" s="228">
        <v>39.07</v>
      </c>
      <c r="DI93" s="228">
        <v>39.229999999999997</v>
      </c>
      <c r="DJ93" s="228">
        <v>-0.16</v>
      </c>
      <c r="DK93" s="228">
        <v>-0.16</v>
      </c>
      <c r="DL93" s="228">
        <v>46.29</v>
      </c>
      <c r="DM93" s="228">
        <v>48.69</v>
      </c>
      <c r="DN93" s="228">
        <v>-2.4</v>
      </c>
      <c r="DO93" s="228">
        <v>-2.4</v>
      </c>
      <c r="DP93" s="228">
        <v>0.93</v>
      </c>
      <c r="DQ93" s="228">
        <v>0.93</v>
      </c>
      <c r="DR93" s="228">
        <v>0</v>
      </c>
      <c r="DS93" s="229">
        <v>0</v>
      </c>
      <c r="DT93" s="228">
        <v>65</v>
      </c>
      <c r="DU93" s="228">
        <v>65</v>
      </c>
      <c r="DV93" s="228">
        <v>0.88</v>
      </c>
      <c r="DW93" s="228">
        <v>0.81</v>
      </c>
      <c r="DX93" s="228">
        <v>7.0000000000000007E-2</v>
      </c>
      <c r="DY93" s="229">
        <v>8.6400000000000005E-2</v>
      </c>
      <c r="DZ93" s="229">
        <v>0.1757</v>
      </c>
      <c r="EA93" s="230">
        <v>53479650</v>
      </c>
      <c r="EB93" s="229">
        <v>5.7000000000000002E-3</v>
      </c>
      <c r="EC93" s="229">
        <v>0.1757</v>
      </c>
      <c r="ED93" s="228">
        <v>0.36</v>
      </c>
      <c r="EE93" s="229">
        <v>5.3E-3</v>
      </c>
      <c r="EF93" s="230">
        <v>6983103</v>
      </c>
      <c r="EG93" s="230">
        <v>17813037</v>
      </c>
      <c r="EH93" s="229">
        <v>-0.60799999999999998</v>
      </c>
      <c r="EI93" s="229">
        <v>0.39779999999999999</v>
      </c>
      <c r="EJ93" s="231">
        <v>55766.04</v>
      </c>
      <c r="EK93" s="231">
        <v>44344.43</v>
      </c>
      <c r="EL93" s="231">
        <v>48280.94</v>
      </c>
      <c r="EM93" s="231">
        <v>5793</v>
      </c>
      <c r="EN93" s="231">
        <v>148391.41</v>
      </c>
      <c r="EO93" s="231">
        <v>201406.57</v>
      </c>
      <c r="EP93" s="231">
        <v>-53015.16</v>
      </c>
      <c r="EQ93" s="229">
        <v>-0.26319999999999999</v>
      </c>
      <c r="ER93" s="231">
        <v>86510</v>
      </c>
      <c r="ES93" s="231">
        <v>74975</v>
      </c>
      <c r="ET93" s="231">
        <v>279710</v>
      </c>
      <c r="EU93" s="231">
        <v>1101871266</v>
      </c>
      <c r="EV93" s="231">
        <v>441195</v>
      </c>
      <c r="EW93" s="231">
        <v>437847</v>
      </c>
      <c r="EX93" s="231">
        <v>3348</v>
      </c>
      <c r="EY93" s="229">
        <v>7.6E-3</v>
      </c>
      <c r="EZ93" s="229">
        <v>0.59079999999999999</v>
      </c>
      <c r="FA93" s="227" t="s">
        <v>693</v>
      </c>
      <c r="FB93" s="161">
        <f t="shared" si="1"/>
        <v>71584450</v>
      </c>
    </row>
    <row r="94" spans="1:158" ht="17.25" thickBot="1" x14ac:dyDescent="0.3">
      <c r="A94" s="226">
        <v>46129</v>
      </c>
      <c r="B94" s="227" t="s">
        <v>161</v>
      </c>
      <c r="C94" s="227" t="s">
        <v>514</v>
      </c>
      <c r="D94" s="228">
        <v>3750</v>
      </c>
      <c r="E94" s="228">
        <v>135.82</v>
      </c>
      <c r="F94" s="228">
        <v>134.9</v>
      </c>
      <c r="G94" s="228">
        <v>0.92</v>
      </c>
      <c r="H94" s="229">
        <v>6.7999999999999996E-3</v>
      </c>
      <c r="I94" s="228">
        <v>135.81</v>
      </c>
      <c r="J94" s="228">
        <v>134.41</v>
      </c>
      <c r="K94" s="228">
        <v>1.4</v>
      </c>
      <c r="L94" s="229">
        <v>1.04E-2</v>
      </c>
      <c r="M94" s="228">
        <v>135.82</v>
      </c>
      <c r="N94" s="228">
        <v>134.9</v>
      </c>
      <c r="O94" s="228">
        <v>0.92</v>
      </c>
      <c r="P94" s="229">
        <v>6.7999999999999996E-3</v>
      </c>
      <c r="Q94" s="228">
        <v>135.72</v>
      </c>
      <c r="R94" s="228">
        <v>134.83000000000001</v>
      </c>
      <c r="S94" s="228">
        <v>0.89</v>
      </c>
      <c r="T94" s="229">
        <v>6.6E-3</v>
      </c>
      <c r="U94" s="228">
        <v>135.87</v>
      </c>
      <c r="V94" s="228">
        <v>134.62</v>
      </c>
      <c r="W94" s="228">
        <v>1.25</v>
      </c>
      <c r="X94" s="229">
        <v>9.2999999999999992E-3</v>
      </c>
      <c r="Y94" s="228">
        <v>0.01</v>
      </c>
      <c r="Z94" s="228">
        <v>0.49</v>
      </c>
      <c r="AA94" s="228">
        <v>-0.48</v>
      </c>
      <c r="AB94" s="229">
        <v>1E-4</v>
      </c>
      <c r="AC94" s="228">
        <v>0.01</v>
      </c>
      <c r="AD94" s="228">
        <v>0.49</v>
      </c>
      <c r="AE94" s="228">
        <v>-0.48</v>
      </c>
      <c r="AF94" s="229">
        <v>1E-4</v>
      </c>
      <c r="AG94" s="228">
        <v>-0.09</v>
      </c>
      <c r="AH94" s="228">
        <v>0.42</v>
      </c>
      <c r="AI94" s="228">
        <v>-0.51</v>
      </c>
      <c r="AJ94" s="229">
        <v>-6.9999999999999999E-4</v>
      </c>
      <c r="AK94" s="228">
        <v>0.06</v>
      </c>
      <c r="AL94" s="228">
        <v>0.21</v>
      </c>
      <c r="AM94" s="228">
        <v>-0.15</v>
      </c>
      <c r="AN94" s="229">
        <v>4.0000000000000002E-4</v>
      </c>
      <c r="AO94" s="228">
        <v>136.19999999999999</v>
      </c>
      <c r="AP94" s="228">
        <v>136.18</v>
      </c>
      <c r="AQ94" s="228">
        <v>0</v>
      </c>
      <c r="AR94" s="230">
        <v>8610000</v>
      </c>
      <c r="AS94" s="230">
        <v>7927500</v>
      </c>
      <c r="AT94" s="230">
        <v>682500</v>
      </c>
      <c r="AU94" s="229">
        <v>8.6099999999999996E-2</v>
      </c>
      <c r="AV94" s="230">
        <v>6390000</v>
      </c>
      <c r="AW94" s="230">
        <v>6236250</v>
      </c>
      <c r="AX94" s="230">
        <v>153750</v>
      </c>
      <c r="AY94" s="229">
        <v>2.47E-2</v>
      </c>
      <c r="AZ94" s="230">
        <v>1852500</v>
      </c>
      <c r="BA94" s="230">
        <v>1383750</v>
      </c>
      <c r="BB94" s="230">
        <v>468750</v>
      </c>
      <c r="BC94" s="229">
        <v>0.33879999999999999</v>
      </c>
      <c r="BD94" s="230">
        <v>367500</v>
      </c>
      <c r="BE94" s="230">
        <v>307500</v>
      </c>
      <c r="BF94" s="230">
        <v>60000</v>
      </c>
      <c r="BG94" s="229">
        <v>0.1951</v>
      </c>
      <c r="BH94" s="230">
        <v>39652500</v>
      </c>
      <c r="BI94" s="230">
        <v>25781250</v>
      </c>
      <c r="BJ94" s="230">
        <v>13871250</v>
      </c>
      <c r="BK94" s="229">
        <v>0.53800000000000003</v>
      </c>
      <c r="BL94" s="230">
        <v>17415000</v>
      </c>
      <c r="BM94" s="230">
        <v>14955000</v>
      </c>
      <c r="BN94" s="230">
        <v>2460000</v>
      </c>
      <c r="BO94" s="229">
        <v>0.16450000000000001</v>
      </c>
      <c r="BP94" s="230">
        <v>65677500</v>
      </c>
      <c r="BQ94" s="230">
        <v>48663750</v>
      </c>
      <c r="BR94" s="230">
        <v>17013750</v>
      </c>
      <c r="BS94" s="229">
        <v>0.34960000000000002</v>
      </c>
      <c r="BT94" s="230">
        <v>5458012</v>
      </c>
      <c r="BU94" s="230">
        <v>6468419</v>
      </c>
      <c r="BV94" s="230">
        <v>-1010407</v>
      </c>
      <c r="BW94" s="229">
        <v>-0.15620000000000001</v>
      </c>
      <c r="BX94" s="230">
        <v>70672500</v>
      </c>
      <c r="BY94" s="230">
        <v>70668750</v>
      </c>
      <c r="BZ94" s="230">
        <v>3750</v>
      </c>
      <c r="CA94" s="229">
        <v>1E-4</v>
      </c>
      <c r="CB94" s="230">
        <v>61901250</v>
      </c>
      <c r="CC94" s="230">
        <v>62568750</v>
      </c>
      <c r="CD94" s="230">
        <v>-667500</v>
      </c>
      <c r="CE94" s="229">
        <v>-1.0699999999999999E-2</v>
      </c>
      <c r="CF94" s="230">
        <v>7770000</v>
      </c>
      <c r="CG94" s="230">
        <v>7128750</v>
      </c>
      <c r="CH94" s="230">
        <v>641250</v>
      </c>
      <c r="CI94" s="229">
        <v>0.09</v>
      </c>
      <c r="CJ94" s="230">
        <v>1001250</v>
      </c>
      <c r="CK94" s="230">
        <v>971250</v>
      </c>
      <c r="CL94" s="230">
        <v>30000</v>
      </c>
      <c r="CM94" s="229">
        <v>3.09E-2</v>
      </c>
      <c r="CN94" s="230">
        <v>35103750</v>
      </c>
      <c r="CO94" s="230">
        <v>39243750</v>
      </c>
      <c r="CP94" s="230">
        <v>-4140000</v>
      </c>
      <c r="CQ94" s="229">
        <v>-0.1055</v>
      </c>
      <c r="CR94" s="230">
        <v>32677500</v>
      </c>
      <c r="CS94" s="230">
        <v>32505000</v>
      </c>
      <c r="CT94" s="230">
        <v>172500</v>
      </c>
      <c r="CU94" s="229">
        <v>5.3E-3</v>
      </c>
      <c r="CV94" s="230">
        <v>138453750</v>
      </c>
      <c r="CW94" s="230">
        <v>142417500</v>
      </c>
      <c r="CX94" s="230">
        <v>-3963750</v>
      </c>
      <c r="CY94" s="229">
        <v>-2.7799999999999998E-2</v>
      </c>
      <c r="CZ94" s="228">
        <v>34.590000000000003</v>
      </c>
      <c r="DA94" s="228">
        <v>36.14</v>
      </c>
      <c r="DB94" s="228">
        <v>-1.55</v>
      </c>
      <c r="DC94" s="228">
        <v>-1.55</v>
      </c>
      <c r="DD94" s="228">
        <v>51.64</v>
      </c>
      <c r="DE94" s="228">
        <v>51.76</v>
      </c>
      <c r="DF94" s="228">
        <v>-17.05</v>
      </c>
      <c r="DG94" s="228">
        <v>-0.12</v>
      </c>
      <c r="DH94" s="228">
        <v>33.21</v>
      </c>
      <c r="DI94" s="228">
        <v>34.299999999999997</v>
      </c>
      <c r="DJ94" s="228">
        <v>-1.0900000000000001</v>
      </c>
      <c r="DK94" s="228">
        <v>-1.0900000000000001</v>
      </c>
      <c r="DL94" s="228">
        <v>37.75</v>
      </c>
      <c r="DM94" s="228">
        <v>39.31</v>
      </c>
      <c r="DN94" s="228">
        <v>-1.56</v>
      </c>
      <c r="DO94" s="228">
        <v>-1.56</v>
      </c>
      <c r="DP94" s="228">
        <v>0.93</v>
      </c>
      <c r="DQ94" s="228">
        <v>0.83</v>
      </c>
      <c r="DR94" s="228">
        <v>0.1</v>
      </c>
      <c r="DS94" s="229">
        <v>0.1205</v>
      </c>
      <c r="DT94" s="228">
        <v>140</v>
      </c>
      <c r="DU94" s="228">
        <v>120</v>
      </c>
      <c r="DV94" s="228">
        <v>0.44</v>
      </c>
      <c r="DW94" s="228">
        <v>0.57999999999999996</v>
      </c>
      <c r="DX94" s="228">
        <v>-0.14000000000000001</v>
      </c>
      <c r="DY94" s="229">
        <v>-0.2414</v>
      </c>
      <c r="DZ94" s="229">
        <v>0.1241</v>
      </c>
      <c r="EA94" s="230">
        <v>8100000</v>
      </c>
      <c r="EB94" s="229">
        <v>-6.9999999999999999E-4</v>
      </c>
      <c r="EC94" s="229">
        <v>0.1241</v>
      </c>
      <c r="ED94" s="228">
        <v>-0.02</v>
      </c>
      <c r="EE94" s="229">
        <v>-1E-4</v>
      </c>
      <c r="EF94" s="230">
        <v>2505152</v>
      </c>
      <c r="EG94" s="230">
        <v>2721520</v>
      </c>
      <c r="EH94" s="229">
        <v>-7.9500000000000001E-2</v>
      </c>
      <c r="EI94" s="229">
        <v>0.45900000000000002</v>
      </c>
      <c r="EJ94" s="231">
        <v>56154.92</v>
      </c>
      <c r="EK94" s="231">
        <v>22862.69</v>
      </c>
      <c r="EL94" s="231">
        <v>11726.94</v>
      </c>
      <c r="EM94" s="231">
        <v>1918</v>
      </c>
      <c r="EN94" s="231">
        <v>90744.55</v>
      </c>
      <c r="EO94" s="231">
        <v>66271.28</v>
      </c>
      <c r="EP94" s="231">
        <v>24473.27</v>
      </c>
      <c r="EQ94" s="229">
        <v>0.36930000000000002</v>
      </c>
      <c r="ER94" s="231">
        <v>46388</v>
      </c>
      <c r="ES94" s="231">
        <v>41342</v>
      </c>
      <c r="ET94" s="231">
        <v>95980</v>
      </c>
      <c r="EU94" s="231">
        <v>133395043</v>
      </c>
      <c r="EV94" s="231">
        <v>183710</v>
      </c>
      <c r="EW94" s="231">
        <v>188004</v>
      </c>
      <c r="EX94" s="231">
        <v>-4294</v>
      </c>
      <c r="EY94" s="229">
        <v>-2.2800000000000001E-2</v>
      </c>
      <c r="EZ94" s="229">
        <v>1.0379</v>
      </c>
      <c r="FA94" s="227" t="s">
        <v>555</v>
      </c>
      <c r="FB94" s="161">
        <f t="shared" si="1"/>
        <v>8771250</v>
      </c>
    </row>
    <row r="95" spans="1:158" ht="17.25" thickBot="1" x14ac:dyDescent="0.3">
      <c r="A95" s="226">
        <v>46129</v>
      </c>
      <c r="B95" s="227" t="s">
        <v>206</v>
      </c>
      <c r="C95" s="227" t="s">
        <v>501</v>
      </c>
      <c r="D95" s="228">
        <v>1000</v>
      </c>
      <c r="E95" s="228">
        <v>659.55</v>
      </c>
      <c r="F95" s="228">
        <v>653.04999999999995</v>
      </c>
      <c r="G95" s="228">
        <v>6.5</v>
      </c>
      <c r="H95" s="229">
        <v>0.01</v>
      </c>
      <c r="I95" s="228">
        <v>659.3</v>
      </c>
      <c r="J95" s="228">
        <v>652.75</v>
      </c>
      <c r="K95" s="228">
        <v>6.55</v>
      </c>
      <c r="L95" s="229">
        <v>0.01</v>
      </c>
      <c r="M95" s="228">
        <v>659.55</v>
      </c>
      <c r="N95" s="228">
        <v>653.04999999999995</v>
      </c>
      <c r="O95" s="228">
        <v>6.5</v>
      </c>
      <c r="P95" s="229">
        <v>0.01</v>
      </c>
      <c r="Q95" s="228">
        <v>663.05</v>
      </c>
      <c r="R95" s="228">
        <v>656.75</v>
      </c>
      <c r="S95" s="228">
        <v>6.3</v>
      </c>
      <c r="T95" s="229">
        <v>9.5999999999999992E-3</v>
      </c>
      <c r="U95" s="228">
        <v>667.3</v>
      </c>
      <c r="V95" s="228">
        <v>659.15</v>
      </c>
      <c r="W95" s="228">
        <v>8.15</v>
      </c>
      <c r="X95" s="229">
        <v>1.24E-2</v>
      </c>
      <c r="Y95" s="228">
        <v>0.25</v>
      </c>
      <c r="Z95" s="228">
        <v>0.3</v>
      </c>
      <c r="AA95" s="228">
        <v>-0.05</v>
      </c>
      <c r="AB95" s="229">
        <v>4.0000000000000002E-4</v>
      </c>
      <c r="AC95" s="228">
        <v>0.25</v>
      </c>
      <c r="AD95" s="228">
        <v>0.3</v>
      </c>
      <c r="AE95" s="228">
        <v>-0.05</v>
      </c>
      <c r="AF95" s="229">
        <v>4.0000000000000002E-4</v>
      </c>
      <c r="AG95" s="228">
        <v>3.75</v>
      </c>
      <c r="AH95" s="228">
        <v>4</v>
      </c>
      <c r="AI95" s="228">
        <v>-0.25</v>
      </c>
      <c r="AJ95" s="229">
        <v>5.7000000000000002E-3</v>
      </c>
      <c r="AK95" s="228">
        <v>8</v>
      </c>
      <c r="AL95" s="228">
        <v>6.4</v>
      </c>
      <c r="AM95" s="228">
        <v>1.6</v>
      </c>
      <c r="AN95" s="229">
        <v>1.21E-2</v>
      </c>
      <c r="AO95" s="228">
        <v>657.89</v>
      </c>
      <c r="AP95" s="228">
        <v>660.69</v>
      </c>
      <c r="AQ95" s="228">
        <v>0</v>
      </c>
      <c r="AR95" s="230">
        <v>6223000</v>
      </c>
      <c r="AS95" s="230">
        <v>3985000</v>
      </c>
      <c r="AT95" s="230">
        <v>2238000</v>
      </c>
      <c r="AU95" s="229">
        <v>0.56159999999999999</v>
      </c>
      <c r="AV95" s="230">
        <v>4505000</v>
      </c>
      <c r="AW95" s="230">
        <v>3585000</v>
      </c>
      <c r="AX95" s="230">
        <v>920000</v>
      </c>
      <c r="AY95" s="229">
        <v>0.25659999999999999</v>
      </c>
      <c r="AZ95" s="230">
        <v>291000</v>
      </c>
      <c r="BA95" s="230">
        <v>364000</v>
      </c>
      <c r="BB95" s="230">
        <v>-73000</v>
      </c>
      <c r="BC95" s="229">
        <v>-0.20050000000000001</v>
      </c>
      <c r="BD95" s="230">
        <v>1427000</v>
      </c>
      <c r="BE95" s="230">
        <v>36000</v>
      </c>
      <c r="BF95" s="230">
        <v>1391000</v>
      </c>
      <c r="BG95" s="229">
        <v>38.6389</v>
      </c>
      <c r="BH95" s="230">
        <v>5300000</v>
      </c>
      <c r="BI95" s="230">
        <v>9266000</v>
      </c>
      <c r="BJ95" s="230">
        <v>-3966000</v>
      </c>
      <c r="BK95" s="229">
        <v>-0.42799999999999999</v>
      </c>
      <c r="BL95" s="230">
        <v>3603000</v>
      </c>
      <c r="BM95" s="230">
        <v>4072000</v>
      </c>
      <c r="BN95" s="230">
        <v>-469000</v>
      </c>
      <c r="BO95" s="229">
        <v>-0.1152</v>
      </c>
      <c r="BP95" s="230">
        <v>15126000</v>
      </c>
      <c r="BQ95" s="230">
        <v>17323000</v>
      </c>
      <c r="BR95" s="230">
        <v>-2197000</v>
      </c>
      <c r="BS95" s="229">
        <v>-0.1268</v>
      </c>
      <c r="BT95" s="230">
        <v>2783985</v>
      </c>
      <c r="BU95" s="230">
        <v>3269981</v>
      </c>
      <c r="BV95" s="230">
        <v>-485996</v>
      </c>
      <c r="BW95" s="229">
        <v>-0.14860000000000001</v>
      </c>
      <c r="BX95" s="230">
        <v>22153000</v>
      </c>
      <c r="BY95" s="230">
        <v>21929000</v>
      </c>
      <c r="BZ95" s="230">
        <v>224000</v>
      </c>
      <c r="CA95" s="229">
        <v>1.0200000000000001E-2</v>
      </c>
      <c r="CB95" s="230">
        <v>19927000</v>
      </c>
      <c r="CC95" s="230">
        <v>21087000</v>
      </c>
      <c r="CD95" s="230">
        <v>-1160000</v>
      </c>
      <c r="CE95" s="229">
        <v>-5.5E-2</v>
      </c>
      <c r="CF95" s="230">
        <v>852000</v>
      </c>
      <c r="CG95" s="230">
        <v>788000</v>
      </c>
      <c r="CH95" s="230">
        <v>64000</v>
      </c>
      <c r="CI95" s="229">
        <v>8.1199999999999994E-2</v>
      </c>
      <c r="CJ95" s="230">
        <v>1374000</v>
      </c>
      <c r="CK95" s="230">
        <v>54000</v>
      </c>
      <c r="CL95" s="230">
        <v>1320000</v>
      </c>
      <c r="CM95" s="229">
        <v>24.444400000000002</v>
      </c>
      <c r="CN95" s="230">
        <v>6080000</v>
      </c>
      <c r="CO95" s="230">
        <v>6013000</v>
      </c>
      <c r="CP95" s="230">
        <v>67000</v>
      </c>
      <c r="CQ95" s="229">
        <v>1.11E-2</v>
      </c>
      <c r="CR95" s="230">
        <v>5885000</v>
      </c>
      <c r="CS95" s="230">
        <v>6159000</v>
      </c>
      <c r="CT95" s="230">
        <v>-274000</v>
      </c>
      <c r="CU95" s="229">
        <v>-4.4499999999999998E-2</v>
      </c>
      <c r="CV95" s="230">
        <v>34118000</v>
      </c>
      <c r="CW95" s="230">
        <v>34101000</v>
      </c>
      <c r="CX95" s="230">
        <v>17000</v>
      </c>
      <c r="CY95" s="229">
        <v>5.0000000000000001E-4</v>
      </c>
      <c r="CZ95" s="228">
        <v>30.1</v>
      </c>
      <c r="DA95" s="228">
        <v>30.53</v>
      </c>
      <c r="DB95" s="228">
        <v>-0.43</v>
      </c>
      <c r="DC95" s="228">
        <v>-0.43</v>
      </c>
      <c r="DD95" s="228">
        <v>35.18</v>
      </c>
      <c r="DE95" s="228">
        <v>35.24</v>
      </c>
      <c r="DF95" s="228">
        <v>-5.08</v>
      </c>
      <c r="DG95" s="228">
        <v>-0.06</v>
      </c>
      <c r="DH95" s="228">
        <v>28.25</v>
      </c>
      <c r="DI95" s="228">
        <v>29.52</v>
      </c>
      <c r="DJ95" s="228">
        <v>-1.27</v>
      </c>
      <c r="DK95" s="228">
        <v>-1.27</v>
      </c>
      <c r="DL95" s="228">
        <v>32.840000000000003</v>
      </c>
      <c r="DM95" s="228">
        <v>32.840000000000003</v>
      </c>
      <c r="DN95" s="228">
        <v>0</v>
      </c>
      <c r="DO95" s="228">
        <v>0</v>
      </c>
      <c r="DP95" s="228">
        <v>0.97</v>
      </c>
      <c r="DQ95" s="228">
        <v>1.02</v>
      </c>
      <c r="DR95" s="228">
        <v>-0.05</v>
      </c>
      <c r="DS95" s="229">
        <v>-4.9000000000000002E-2</v>
      </c>
      <c r="DT95" s="228">
        <v>700</v>
      </c>
      <c r="DU95" s="228">
        <v>600</v>
      </c>
      <c r="DV95" s="228">
        <v>0.68</v>
      </c>
      <c r="DW95" s="228">
        <v>0.44</v>
      </c>
      <c r="DX95" s="228">
        <v>0.24</v>
      </c>
      <c r="DY95" s="229">
        <v>0.54549999999999998</v>
      </c>
      <c r="DZ95" s="229">
        <v>0.10050000000000001</v>
      </c>
      <c r="EA95" s="230">
        <v>842000</v>
      </c>
      <c r="EB95" s="229">
        <v>5.3E-3</v>
      </c>
      <c r="EC95" s="229">
        <v>0.10050000000000001</v>
      </c>
      <c r="ED95" s="228">
        <v>2.8</v>
      </c>
      <c r="EE95" s="229">
        <v>4.3E-3</v>
      </c>
      <c r="EF95" s="230">
        <v>1765215</v>
      </c>
      <c r="EG95" s="230">
        <v>1573359</v>
      </c>
      <c r="EH95" s="229">
        <v>0.12189999999999999</v>
      </c>
      <c r="EI95" s="229">
        <v>0.6341</v>
      </c>
      <c r="EJ95" s="231">
        <v>35909.449999999997</v>
      </c>
      <c r="EK95" s="231">
        <v>23276.240000000002</v>
      </c>
      <c r="EL95" s="231">
        <v>41081.96</v>
      </c>
      <c r="EM95" s="231">
        <v>3232</v>
      </c>
      <c r="EN95" s="231">
        <v>100267.65</v>
      </c>
      <c r="EO95" s="231">
        <v>114834.64</v>
      </c>
      <c r="EP95" s="231">
        <v>-14566.99</v>
      </c>
      <c r="EQ95" s="229">
        <v>-0.12690000000000001</v>
      </c>
      <c r="ER95" s="231">
        <v>39217</v>
      </c>
      <c r="ES95" s="231">
        <v>36824</v>
      </c>
      <c r="ET95" s="231">
        <v>146246</v>
      </c>
      <c r="EU95" s="231">
        <v>123332004</v>
      </c>
      <c r="EV95" s="231">
        <v>222288</v>
      </c>
      <c r="EW95" s="231">
        <v>220385</v>
      </c>
      <c r="EX95" s="231">
        <v>1903</v>
      </c>
      <c r="EY95" s="229">
        <v>8.6E-3</v>
      </c>
      <c r="EZ95" s="229">
        <v>0.27660000000000001</v>
      </c>
      <c r="FA95" s="227" t="s">
        <v>555</v>
      </c>
      <c r="FB95" s="161">
        <f t="shared" si="1"/>
        <v>2226000</v>
      </c>
    </row>
    <row r="96" spans="1:158" ht="17.25" thickBot="1" x14ac:dyDescent="0.3">
      <c r="A96" s="226">
        <v>46129</v>
      </c>
      <c r="B96" s="227" t="s">
        <v>172</v>
      </c>
      <c r="C96" s="227" t="s">
        <v>577</v>
      </c>
      <c r="D96" s="228">
        <v>1000</v>
      </c>
      <c r="E96" s="228">
        <v>942.25</v>
      </c>
      <c r="F96" s="228">
        <v>943.6</v>
      </c>
      <c r="G96" s="228">
        <v>-1.35</v>
      </c>
      <c r="H96" s="229">
        <v>-1.4E-3</v>
      </c>
      <c r="I96" s="228">
        <v>939.45</v>
      </c>
      <c r="J96" s="228">
        <v>940.05</v>
      </c>
      <c r="K96" s="228">
        <v>-0.6</v>
      </c>
      <c r="L96" s="229">
        <v>-5.9999999999999995E-4</v>
      </c>
      <c r="M96" s="228">
        <v>942.25</v>
      </c>
      <c r="N96" s="228">
        <v>943.6</v>
      </c>
      <c r="O96" s="228">
        <v>-1.35</v>
      </c>
      <c r="P96" s="229">
        <v>-1.4E-3</v>
      </c>
      <c r="Q96" s="228">
        <v>944.05</v>
      </c>
      <c r="R96" s="228">
        <v>946</v>
      </c>
      <c r="S96" s="228">
        <v>-1.95</v>
      </c>
      <c r="T96" s="229">
        <v>-2.0999999999999999E-3</v>
      </c>
      <c r="U96" s="228">
        <v>941</v>
      </c>
      <c r="V96" s="228">
        <v>942.2</v>
      </c>
      <c r="W96" s="228">
        <v>-1.2</v>
      </c>
      <c r="X96" s="229">
        <v>-1.2999999999999999E-3</v>
      </c>
      <c r="Y96" s="228">
        <v>2.8</v>
      </c>
      <c r="Z96" s="228">
        <v>3.55</v>
      </c>
      <c r="AA96" s="228">
        <v>-0.75</v>
      </c>
      <c r="AB96" s="229">
        <v>3.0000000000000001E-3</v>
      </c>
      <c r="AC96" s="228">
        <v>2.8</v>
      </c>
      <c r="AD96" s="228">
        <v>3.55</v>
      </c>
      <c r="AE96" s="228">
        <v>-0.75</v>
      </c>
      <c r="AF96" s="229">
        <v>3.0000000000000001E-3</v>
      </c>
      <c r="AG96" s="228">
        <v>4.5999999999999996</v>
      </c>
      <c r="AH96" s="228">
        <v>5.95</v>
      </c>
      <c r="AI96" s="228">
        <v>-1.35</v>
      </c>
      <c r="AJ96" s="229">
        <v>4.8999999999999998E-3</v>
      </c>
      <c r="AK96" s="228">
        <v>1.55</v>
      </c>
      <c r="AL96" s="228">
        <v>2.15</v>
      </c>
      <c r="AM96" s="228">
        <v>-0.6</v>
      </c>
      <c r="AN96" s="229">
        <v>1.6000000000000001E-3</v>
      </c>
      <c r="AO96" s="228">
        <v>940.27</v>
      </c>
      <c r="AP96" s="228">
        <v>942.13</v>
      </c>
      <c r="AQ96" s="228">
        <v>0</v>
      </c>
      <c r="AR96" s="230">
        <v>2230000</v>
      </c>
      <c r="AS96" s="230">
        <v>3624000</v>
      </c>
      <c r="AT96" s="230">
        <v>-1394000</v>
      </c>
      <c r="AU96" s="229">
        <v>-0.38469999999999999</v>
      </c>
      <c r="AV96" s="230">
        <v>2028000</v>
      </c>
      <c r="AW96" s="230">
        <v>3274000</v>
      </c>
      <c r="AX96" s="230">
        <v>-1246000</v>
      </c>
      <c r="AY96" s="229">
        <v>-0.38059999999999999</v>
      </c>
      <c r="AZ96" s="230">
        <v>194000</v>
      </c>
      <c r="BA96" s="230">
        <v>324000</v>
      </c>
      <c r="BB96" s="230">
        <v>-130000</v>
      </c>
      <c r="BC96" s="229">
        <v>-0.4012</v>
      </c>
      <c r="BD96" s="230">
        <v>8000</v>
      </c>
      <c r="BE96" s="230">
        <v>26000</v>
      </c>
      <c r="BF96" s="230">
        <v>-18000</v>
      </c>
      <c r="BG96" s="229">
        <v>-0.69230000000000003</v>
      </c>
      <c r="BH96" s="230">
        <v>5650000</v>
      </c>
      <c r="BI96" s="230">
        <v>8798000</v>
      </c>
      <c r="BJ96" s="230">
        <v>-3148000</v>
      </c>
      <c r="BK96" s="229">
        <v>-0.35780000000000001</v>
      </c>
      <c r="BL96" s="230">
        <v>1986000</v>
      </c>
      <c r="BM96" s="230">
        <v>3485000</v>
      </c>
      <c r="BN96" s="230">
        <v>-1499000</v>
      </c>
      <c r="BO96" s="229">
        <v>-0.43009999999999998</v>
      </c>
      <c r="BP96" s="230">
        <v>9866000</v>
      </c>
      <c r="BQ96" s="230">
        <v>15907000</v>
      </c>
      <c r="BR96" s="230">
        <v>-6041000</v>
      </c>
      <c r="BS96" s="229">
        <v>-0.37980000000000003</v>
      </c>
      <c r="BT96" s="230">
        <v>2255731</v>
      </c>
      <c r="BU96" s="230">
        <v>2624518</v>
      </c>
      <c r="BV96" s="230">
        <v>-368787</v>
      </c>
      <c r="BW96" s="229">
        <v>-0.14050000000000001</v>
      </c>
      <c r="BX96" s="230">
        <v>9863000</v>
      </c>
      <c r="BY96" s="230">
        <v>9972000</v>
      </c>
      <c r="BZ96" s="230">
        <v>-109000</v>
      </c>
      <c r="CA96" s="229">
        <v>-1.09E-2</v>
      </c>
      <c r="CB96" s="230">
        <v>9370000</v>
      </c>
      <c r="CC96" s="230">
        <v>9517000</v>
      </c>
      <c r="CD96" s="230">
        <v>-147000</v>
      </c>
      <c r="CE96" s="229">
        <v>-1.54E-2</v>
      </c>
      <c r="CF96" s="230">
        <v>414000</v>
      </c>
      <c r="CG96" s="230">
        <v>379000</v>
      </c>
      <c r="CH96" s="230">
        <v>35000</v>
      </c>
      <c r="CI96" s="229">
        <v>9.2299999999999993E-2</v>
      </c>
      <c r="CJ96" s="230">
        <v>79000</v>
      </c>
      <c r="CK96" s="230">
        <v>76000</v>
      </c>
      <c r="CL96" s="230">
        <v>3000</v>
      </c>
      <c r="CM96" s="229">
        <v>3.95E-2</v>
      </c>
      <c r="CN96" s="230">
        <v>6358000</v>
      </c>
      <c r="CO96" s="230">
        <v>6411000</v>
      </c>
      <c r="CP96" s="230">
        <v>-53000</v>
      </c>
      <c r="CQ96" s="229">
        <v>-8.3000000000000001E-3</v>
      </c>
      <c r="CR96" s="230">
        <v>3393000</v>
      </c>
      <c r="CS96" s="230">
        <v>3322000</v>
      </c>
      <c r="CT96" s="230">
        <v>71000</v>
      </c>
      <c r="CU96" s="229">
        <v>2.1399999999999999E-2</v>
      </c>
      <c r="CV96" s="230">
        <v>19614000</v>
      </c>
      <c r="CW96" s="230">
        <v>19705000</v>
      </c>
      <c r="CX96" s="230">
        <v>-91000</v>
      </c>
      <c r="CY96" s="229">
        <v>-4.5999999999999999E-3</v>
      </c>
      <c r="CZ96" s="228">
        <v>38.6</v>
      </c>
      <c r="DA96" s="228">
        <v>39.11</v>
      </c>
      <c r="DB96" s="228">
        <v>-0.51</v>
      </c>
      <c r="DC96" s="228">
        <v>-0.51</v>
      </c>
      <c r="DD96" s="228">
        <v>41.8</v>
      </c>
      <c r="DE96" s="228">
        <v>41.91</v>
      </c>
      <c r="DF96" s="228">
        <v>-3.2</v>
      </c>
      <c r="DG96" s="228">
        <v>-0.11</v>
      </c>
      <c r="DH96" s="228">
        <v>38.57</v>
      </c>
      <c r="DI96" s="228">
        <v>39.04</v>
      </c>
      <c r="DJ96" s="228">
        <v>-0.47</v>
      </c>
      <c r="DK96" s="228">
        <v>-0.47</v>
      </c>
      <c r="DL96" s="228">
        <v>38.68</v>
      </c>
      <c r="DM96" s="228">
        <v>39.28</v>
      </c>
      <c r="DN96" s="228">
        <v>-0.6</v>
      </c>
      <c r="DO96" s="228">
        <v>-0.6</v>
      </c>
      <c r="DP96" s="228">
        <v>0.53</v>
      </c>
      <c r="DQ96" s="228">
        <v>0.52</v>
      </c>
      <c r="DR96" s="228">
        <v>0.01</v>
      </c>
      <c r="DS96" s="229">
        <v>1.9199999999999998E-2</v>
      </c>
      <c r="DT96" s="231">
        <v>1000</v>
      </c>
      <c r="DU96" s="228">
        <v>900</v>
      </c>
      <c r="DV96" s="228">
        <v>0.35</v>
      </c>
      <c r="DW96" s="228">
        <v>0.4</v>
      </c>
      <c r="DX96" s="228">
        <v>-0.05</v>
      </c>
      <c r="DY96" s="229">
        <v>-0.125</v>
      </c>
      <c r="DZ96" s="229">
        <v>0.05</v>
      </c>
      <c r="EA96" s="230">
        <v>455000</v>
      </c>
      <c r="EB96" s="229">
        <v>1.9E-3</v>
      </c>
      <c r="EC96" s="229">
        <v>0.05</v>
      </c>
      <c r="ED96" s="228">
        <v>1.86</v>
      </c>
      <c r="EE96" s="229">
        <v>2E-3</v>
      </c>
      <c r="EF96" s="230">
        <v>1020605</v>
      </c>
      <c r="EG96" s="230">
        <v>1081984</v>
      </c>
      <c r="EH96" s="229">
        <v>-5.67E-2</v>
      </c>
      <c r="EI96" s="229">
        <v>0.45240000000000002</v>
      </c>
      <c r="EJ96" s="231">
        <v>56336.92</v>
      </c>
      <c r="EK96" s="231">
        <v>18717.71</v>
      </c>
      <c r="EL96" s="231">
        <v>20971.82</v>
      </c>
      <c r="EM96" s="231">
        <v>3516</v>
      </c>
      <c r="EN96" s="231">
        <v>96026.45</v>
      </c>
      <c r="EO96" s="231">
        <v>154741.03</v>
      </c>
      <c r="EP96" s="231">
        <v>-58714.58</v>
      </c>
      <c r="EQ96" s="229">
        <v>-0.37940000000000002</v>
      </c>
      <c r="ER96" s="231">
        <v>62204</v>
      </c>
      <c r="ES96" s="231">
        <v>30489</v>
      </c>
      <c r="ET96" s="231">
        <v>92941</v>
      </c>
      <c r="EU96" s="231">
        <v>52862157</v>
      </c>
      <c r="EV96" s="231">
        <v>185634</v>
      </c>
      <c r="EW96" s="231">
        <v>186861</v>
      </c>
      <c r="EX96" s="231">
        <v>-1227</v>
      </c>
      <c r="EY96" s="229">
        <v>-6.6E-3</v>
      </c>
      <c r="EZ96" s="229">
        <v>0.371</v>
      </c>
      <c r="FA96" s="227" t="s">
        <v>567</v>
      </c>
      <c r="FB96" s="161">
        <f t="shared" si="1"/>
        <v>493000</v>
      </c>
    </row>
    <row r="97" spans="1:158" ht="17.25" thickBot="1" x14ac:dyDescent="0.3">
      <c r="A97" s="226">
        <v>46129</v>
      </c>
      <c r="B97" s="227" t="s">
        <v>181</v>
      </c>
      <c r="C97" s="227" t="s">
        <v>686</v>
      </c>
      <c r="D97" s="228">
        <v>1</v>
      </c>
      <c r="E97" s="228">
        <v>17.2</v>
      </c>
      <c r="F97" s="228">
        <v>18.09</v>
      </c>
      <c r="G97" s="228">
        <v>-0.89</v>
      </c>
      <c r="H97" s="229">
        <v>-4.8899999999999999E-2</v>
      </c>
      <c r="I97" s="228">
        <v>17.2</v>
      </c>
      <c r="J97" s="228">
        <v>18.09</v>
      </c>
      <c r="K97" s="228">
        <v>-0.89</v>
      </c>
      <c r="L97" s="229">
        <v>-4.8899999999999999E-2</v>
      </c>
      <c r="M97" s="228">
        <v>0</v>
      </c>
      <c r="N97" s="228">
        <v>0</v>
      </c>
      <c r="O97" s="228">
        <v>0</v>
      </c>
      <c r="P97" s="229">
        <v>0</v>
      </c>
      <c r="Q97" s="228">
        <v>0</v>
      </c>
      <c r="R97" s="228">
        <v>0</v>
      </c>
      <c r="S97" s="228">
        <v>0</v>
      </c>
      <c r="T97" s="229">
        <v>0</v>
      </c>
      <c r="U97" s="228">
        <v>0</v>
      </c>
      <c r="V97" s="228">
        <v>0</v>
      </c>
      <c r="W97" s="228">
        <v>0</v>
      </c>
      <c r="X97" s="229">
        <v>0</v>
      </c>
      <c r="Y97" s="228">
        <v>0</v>
      </c>
      <c r="Z97" s="228">
        <v>0</v>
      </c>
      <c r="AA97" s="228">
        <v>0</v>
      </c>
      <c r="AB97" s="229">
        <v>0</v>
      </c>
      <c r="AC97" s="228">
        <v>0</v>
      </c>
      <c r="AD97" s="228">
        <v>0</v>
      </c>
      <c r="AE97" s="228">
        <v>0</v>
      </c>
      <c r="AF97" s="229">
        <v>0</v>
      </c>
      <c r="AG97" s="228">
        <v>0</v>
      </c>
      <c r="AH97" s="228">
        <v>0</v>
      </c>
      <c r="AI97" s="228">
        <v>0</v>
      </c>
      <c r="AJ97" s="229">
        <v>0</v>
      </c>
      <c r="AK97" s="228">
        <v>0</v>
      </c>
      <c r="AL97" s="228">
        <v>0</v>
      </c>
      <c r="AM97" s="228">
        <v>0</v>
      </c>
      <c r="AN97" s="229">
        <v>0</v>
      </c>
      <c r="AO97" s="228">
        <v>0</v>
      </c>
      <c r="AP97" s="228">
        <v>0</v>
      </c>
      <c r="AQ97" s="228">
        <v>0</v>
      </c>
      <c r="AR97" s="228">
        <v>0</v>
      </c>
      <c r="AS97" s="228">
        <v>0</v>
      </c>
      <c r="AT97" s="228">
        <v>0</v>
      </c>
      <c r="AU97" s="229">
        <v>0</v>
      </c>
      <c r="AV97" s="228">
        <v>0</v>
      </c>
      <c r="AW97" s="228">
        <v>0</v>
      </c>
      <c r="AX97" s="228">
        <v>0</v>
      </c>
      <c r="AY97" s="229">
        <v>0</v>
      </c>
      <c r="AZ97" s="228">
        <v>0</v>
      </c>
      <c r="BA97" s="228">
        <v>0</v>
      </c>
      <c r="BB97" s="228">
        <v>0</v>
      </c>
      <c r="BC97" s="229">
        <v>0</v>
      </c>
      <c r="BD97" s="228">
        <v>0</v>
      </c>
      <c r="BE97" s="228">
        <v>0</v>
      </c>
      <c r="BF97" s="228">
        <v>0</v>
      </c>
      <c r="BG97" s="229">
        <v>0</v>
      </c>
      <c r="BH97" s="228">
        <v>0</v>
      </c>
      <c r="BI97" s="228">
        <v>0</v>
      </c>
      <c r="BJ97" s="228">
        <v>0</v>
      </c>
      <c r="BK97" s="229">
        <v>0</v>
      </c>
      <c r="BL97" s="228">
        <v>0</v>
      </c>
      <c r="BM97" s="228">
        <v>0</v>
      </c>
      <c r="BN97" s="228">
        <v>0</v>
      </c>
      <c r="BO97" s="229">
        <v>0</v>
      </c>
      <c r="BP97" s="228">
        <v>0</v>
      </c>
      <c r="BQ97" s="228">
        <v>0</v>
      </c>
      <c r="BR97" s="228">
        <v>0</v>
      </c>
      <c r="BS97" s="229">
        <v>0</v>
      </c>
      <c r="BT97" s="228">
        <v>0</v>
      </c>
      <c r="BU97" s="228">
        <v>0</v>
      </c>
      <c r="BV97" s="228">
        <v>0</v>
      </c>
      <c r="BW97" s="229">
        <v>0</v>
      </c>
      <c r="BX97" s="228">
        <v>0</v>
      </c>
      <c r="BY97" s="228">
        <v>0</v>
      </c>
      <c r="BZ97" s="228">
        <v>0</v>
      </c>
      <c r="CA97" s="229">
        <v>0</v>
      </c>
      <c r="CB97" s="228">
        <v>0</v>
      </c>
      <c r="CC97" s="228">
        <v>0</v>
      </c>
      <c r="CD97" s="228">
        <v>0</v>
      </c>
      <c r="CE97" s="229">
        <v>0</v>
      </c>
      <c r="CF97" s="228">
        <v>0</v>
      </c>
      <c r="CG97" s="228">
        <v>0</v>
      </c>
      <c r="CH97" s="228">
        <v>0</v>
      </c>
      <c r="CI97" s="229">
        <v>0</v>
      </c>
      <c r="CJ97" s="228">
        <v>0</v>
      </c>
      <c r="CK97" s="228">
        <v>0</v>
      </c>
      <c r="CL97" s="228">
        <v>0</v>
      </c>
      <c r="CM97" s="229">
        <v>0</v>
      </c>
      <c r="CN97" s="228">
        <v>0</v>
      </c>
      <c r="CO97" s="228">
        <v>0</v>
      </c>
      <c r="CP97" s="228">
        <v>0</v>
      </c>
      <c r="CQ97" s="229">
        <v>0</v>
      </c>
      <c r="CR97" s="228">
        <v>0</v>
      </c>
      <c r="CS97" s="228">
        <v>0</v>
      </c>
      <c r="CT97" s="228">
        <v>0</v>
      </c>
      <c r="CU97" s="229">
        <v>0</v>
      </c>
      <c r="CV97" s="228">
        <v>0</v>
      </c>
      <c r="CW97" s="228">
        <v>0</v>
      </c>
      <c r="CX97" s="228">
        <v>0</v>
      </c>
      <c r="CY97" s="229">
        <v>0</v>
      </c>
      <c r="CZ97" s="228">
        <v>0</v>
      </c>
      <c r="DA97" s="228">
        <v>0</v>
      </c>
      <c r="DB97" s="228">
        <v>0</v>
      </c>
      <c r="DC97" s="228">
        <v>0</v>
      </c>
      <c r="DD97" s="228">
        <v>0</v>
      </c>
      <c r="DE97" s="228">
        <v>0</v>
      </c>
      <c r="DF97" s="228">
        <v>0</v>
      </c>
      <c r="DG97" s="228">
        <v>0</v>
      </c>
      <c r="DH97" s="228">
        <v>0</v>
      </c>
      <c r="DI97" s="228">
        <v>0</v>
      </c>
      <c r="DJ97" s="228">
        <v>0</v>
      </c>
      <c r="DK97" s="228">
        <v>0</v>
      </c>
      <c r="DL97" s="228">
        <v>0</v>
      </c>
      <c r="DM97" s="228">
        <v>0</v>
      </c>
      <c r="DN97" s="228">
        <v>0</v>
      </c>
      <c r="DO97" s="228">
        <v>0</v>
      </c>
      <c r="DP97" s="228">
        <v>0</v>
      </c>
      <c r="DQ97" s="228">
        <v>0</v>
      </c>
      <c r="DR97" s="228">
        <v>0</v>
      </c>
      <c r="DS97" s="229">
        <v>0</v>
      </c>
      <c r="DT97" s="228">
        <v>0</v>
      </c>
      <c r="DU97" s="228">
        <v>0</v>
      </c>
      <c r="DV97" s="228">
        <v>0</v>
      </c>
      <c r="DW97" s="228">
        <v>0</v>
      </c>
      <c r="DX97" s="228">
        <v>0</v>
      </c>
      <c r="DY97" s="229">
        <v>0</v>
      </c>
      <c r="DZ97" s="229">
        <v>0</v>
      </c>
      <c r="EA97" s="228">
        <v>0</v>
      </c>
      <c r="EB97" s="229">
        <v>0</v>
      </c>
      <c r="EC97" s="229">
        <v>0</v>
      </c>
      <c r="ED97" s="228">
        <v>0</v>
      </c>
      <c r="EE97" s="229">
        <v>0</v>
      </c>
      <c r="EF97" s="228">
        <v>0</v>
      </c>
      <c r="EG97" s="228">
        <v>0</v>
      </c>
      <c r="EH97" s="229">
        <v>0</v>
      </c>
      <c r="EI97" s="229">
        <v>0</v>
      </c>
      <c r="EJ97" s="228">
        <v>0</v>
      </c>
      <c r="EK97" s="228">
        <v>0</v>
      </c>
      <c r="EL97" s="228">
        <v>0</v>
      </c>
      <c r="EM97" s="228">
        <v>0</v>
      </c>
      <c r="EN97" s="228">
        <v>0</v>
      </c>
      <c r="EO97" s="228">
        <v>0</v>
      </c>
      <c r="EP97" s="228">
        <v>0</v>
      </c>
      <c r="EQ97" s="229">
        <v>0</v>
      </c>
      <c r="ER97" s="228">
        <v>0</v>
      </c>
      <c r="ES97" s="228">
        <v>0</v>
      </c>
      <c r="ET97" s="228">
        <v>0</v>
      </c>
      <c r="EU97" s="228">
        <v>0</v>
      </c>
      <c r="EV97" s="228">
        <v>0</v>
      </c>
      <c r="EW97" s="228">
        <v>0</v>
      </c>
      <c r="EX97" s="228">
        <v>0</v>
      </c>
      <c r="EY97" s="229">
        <v>0</v>
      </c>
      <c r="EZ97" s="229">
        <v>0</v>
      </c>
      <c r="FA97" s="227" t="s">
        <v>237</v>
      </c>
      <c r="FB97" s="161">
        <f t="shared" si="1"/>
        <v>0</v>
      </c>
    </row>
    <row r="98" spans="1:158" ht="17.25" thickBot="1" x14ac:dyDescent="0.3">
      <c r="A98" s="226">
        <v>46129</v>
      </c>
      <c r="B98" s="227" t="s">
        <v>215</v>
      </c>
      <c r="C98" s="227" t="s">
        <v>238</v>
      </c>
      <c r="D98" s="228">
        <v>150</v>
      </c>
      <c r="E98" s="231">
        <v>4647.8999999999996</v>
      </c>
      <c r="F98" s="231">
        <v>4624.2</v>
      </c>
      <c r="G98" s="228">
        <v>23.7</v>
      </c>
      <c r="H98" s="229">
        <v>5.1000000000000004E-3</v>
      </c>
      <c r="I98" s="231">
        <v>4638.3999999999996</v>
      </c>
      <c r="J98" s="231">
        <v>4608.7</v>
      </c>
      <c r="K98" s="228">
        <v>29.7</v>
      </c>
      <c r="L98" s="229">
        <v>6.4000000000000003E-3</v>
      </c>
      <c r="M98" s="231">
        <v>4647.8999999999996</v>
      </c>
      <c r="N98" s="231">
        <v>4624.2</v>
      </c>
      <c r="O98" s="228">
        <v>23.7</v>
      </c>
      <c r="P98" s="229">
        <v>5.1000000000000004E-3</v>
      </c>
      <c r="Q98" s="231">
        <v>4656.2</v>
      </c>
      <c r="R98" s="231">
        <v>4632.8999999999996</v>
      </c>
      <c r="S98" s="228">
        <v>23.3</v>
      </c>
      <c r="T98" s="229">
        <v>5.0000000000000001E-3</v>
      </c>
      <c r="U98" s="231">
        <v>4670.8</v>
      </c>
      <c r="V98" s="231">
        <v>4648.3999999999996</v>
      </c>
      <c r="W98" s="228">
        <v>22.4</v>
      </c>
      <c r="X98" s="229">
        <v>4.7999999999999996E-3</v>
      </c>
      <c r="Y98" s="228">
        <v>9.5</v>
      </c>
      <c r="Z98" s="228">
        <v>15.5</v>
      </c>
      <c r="AA98" s="228">
        <v>-6</v>
      </c>
      <c r="AB98" s="229">
        <v>2E-3</v>
      </c>
      <c r="AC98" s="228">
        <v>9.5</v>
      </c>
      <c r="AD98" s="228">
        <v>15.5</v>
      </c>
      <c r="AE98" s="228">
        <v>-6</v>
      </c>
      <c r="AF98" s="229">
        <v>2E-3</v>
      </c>
      <c r="AG98" s="228">
        <v>17.8</v>
      </c>
      <c r="AH98" s="228">
        <v>24.2</v>
      </c>
      <c r="AI98" s="228">
        <v>-6.4</v>
      </c>
      <c r="AJ98" s="229">
        <v>3.8E-3</v>
      </c>
      <c r="AK98" s="228">
        <v>32.4</v>
      </c>
      <c r="AL98" s="228">
        <v>39.700000000000003</v>
      </c>
      <c r="AM98" s="228">
        <v>-7.3</v>
      </c>
      <c r="AN98" s="229">
        <v>7.0000000000000001E-3</v>
      </c>
      <c r="AO98" s="231">
        <v>4631.4799999999996</v>
      </c>
      <c r="AP98" s="231">
        <v>4637.2299999999996</v>
      </c>
      <c r="AQ98" s="228">
        <v>0</v>
      </c>
      <c r="AR98" s="230">
        <v>883800</v>
      </c>
      <c r="AS98" s="230">
        <v>1116750</v>
      </c>
      <c r="AT98" s="230">
        <v>-232950</v>
      </c>
      <c r="AU98" s="229">
        <v>-0.20860000000000001</v>
      </c>
      <c r="AV98" s="230">
        <v>789900</v>
      </c>
      <c r="AW98" s="230">
        <v>1002450</v>
      </c>
      <c r="AX98" s="230">
        <v>-212550</v>
      </c>
      <c r="AY98" s="229">
        <v>-0.21199999999999999</v>
      </c>
      <c r="AZ98" s="230">
        <v>85650</v>
      </c>
      <c r="BA98" s="230">
        <v>97950</v>
      </c>
      <c r="BB98" s="230">
        <v>-12300</v>
      </c>
      <c r="BC98" s="229">
        <v>-0.12559999999999999</v>
      </c>
      <c r="BD98" s="230">
        <v>8250</v>
      </c>
      <c r="BE98" s="230">
        <v>16350</v>
      </c>
      <c r="BF98" s="230">
        <v>-8100</v>
      </c>
      <c r="BG98" s="229">
        <v>-0.49540000000000001</v>
      </c>
      <c r="BH98" s="230">
        <v>4264350</v>
      </c>
      <c r="BI98" s="230">
        <v>5118450</v>
      </c>
      <c r="BJ98" s="230">
        <v>-854100</v>
      </c>
      <c r="BK98" s="229">
        <v>-0.16689999999999999</v>
      </c>
      <c r="BL98" s="230">
        <v>3794850</v>
      </c>
      <c r="BM98" s="230">
        <v>4163250</v>
      </c>
      <c r="BN98" s="230">
        <v>-368400</v>
      </c>
      <c r="BO98" s="229">
        <v>-8.8499999999999995E-2</v>
      </c>
      <c r="BP98" s="230">
        <v>8943000</v>
      </c>
      <c r="BQ98" s="230">
        <v>10398450</v>
      </c>
      <c r="BR98" s="230">
        <v>-1455450</v>
      </c>
      <c r="BS98" s="229">
        <v>-0.14000000000000001</v>
      </c>
      <c r="BT98" s="230">
        <v>794960</v>
      </c>
      <c r="BU98" s="230">
        <v>1522874</v>
      </c>
      <c r="BV98" s="230">
        <v>-727914</v>
      </c>
      <c r="BW98" s="229">
        <v>-0.47799999999999998</v>
      </c>
      <c r="BX98" s="230">
        <v>7012500</v>
      </c>
      <c r="BY98" s="230">
        <v>7029750</v>
      </c>
      <c r="BZ98" s="230">
        <v>-17250</v>
      </c>
      <c r="CA98" s="229">
        <v>-2.5000000000000001E-3</v>
      </c>
      <c r="CB98" s="230">
        <v>6667800</v>
      </c>
      <c r="CC98" s="230">
        <v>6708600</v>
      </c>
      <c r="CD98" s="230">
        <v>-40800</v>
      </c>
      <c r="CE98" s="229">
        <v>-6.1000000000000004E-3</v>
      </c>
      <c r="CF98" s="230">
        <v>296400</v>
      </c>
      <c r="CG98" s="230">
        <v>275250</v>
      </c>
      <c r="CH98" s="230">
        <v>21150</v>
      </c>
      <c r="CI98" s="229">
        <v>7.6799999999999993E-2</v>
      </c>
      <c r="CJ98" s="230">
        <v>48300</v>
      </c>
      <c r="CK98" s="230">
        <v>45900</v>
      </c>
      <c r="CL98" s="230">
        <v>2400</v>
      </c>
      <c r="CM98" s="229">
        <v>5.2299999999999999E-2</v>
      </c>
      <c r="CN98" s="230">
        <v>6302100</v>
      </c>
      <c r="CO98" s="230">
        <v>6209400</v>
      </c>
      <c r="CP98" s="230">
        <v>92700</v>
      </c>
      <c r="CQ98" s="229">
        <v>1.49E-2</v>
      </c>
      <c r="CR98" s="230">
        <v>4357800</v>
      </c>
      <c r="CS98" s="230">
        <v>4333950</v>
      </c>
      <c r="CT98" s="230">
        <v>23850</v>
      </c>
      <c r="CU98" s="229">
        <v>5.4999999999999997E-3</v>
      </c>
      <c r="CV98" s="230">
        <v>17672400</v>
      </c>
      <c r="CW98" s="230">
        <v>17573100</v>
      </c>
      <c r="CX98" s="230">
        <v>99300</v>
      </c>
      <c r="CY98" s="229">
        <v>5.7000000000000002E-3</v>
      </c>
      <c r="CZ98" s="228">
        <v>38.86</v>
      </c>
      <c r="DA98" s="228">
        <v>37.909999999999997</v>
      </c>
      <c r="DB98" s="228">
        <v>0.95</v>
      </c>
      <c r="DC98" s="228">
        <v>0.95</v>
      </c>
      <c r="DD98" s="228">
        <v>40.24</v>
      </c>
      <c r="DE98" s="228">
        <v>40.33</v>
      </c>
      <c r="DF98" s="228">
        <v>-1.38</v>
      </c>
      <c r="DG98" s="228">
        <v>-0.09</v>
      </c>
      <c r="DH98" s="228">
        <v>34.979999999999997</v>
      </c>
      <c r="DI98" s="228">
        <v>35.24</v>
      </c>
      <c r="DJ98" s="228">
        <v>-0.26</v>
      </c>
      <c r="DK98" s="228">
        <v>-0.26</v>
      </c>
      <c r="DL98" s="228">
        <v>43.22</v>
      </c>
      <c r="DM98" s="228">
        <v>41.2</v>
      </c>
      <c r="DN98" s="228">
        <v>2.02</v>
      </c>
      <c r="DO98" s="228">
        <v>2.02</v>
      </c>
      <c r="DP98" s="228">
        <v>0.69</v>
      </c>
      <c r="DQ98" s="228">
        <v>0.7</v>
      </c>
      <c r="DR98" s="228">
        <v>-0.01</v>
      </c>
      <c r="DS98" s="229">
        <v>-1.43E-2</v>
      </c>
      <c r="DT98" s="231">
        <v>4700</v>
      </c>
      <c r="DU98" s="231">
        <v>4400</v>
      </c>
      <c r="DV98" s="228">
        <v>0.89</v>
      </c>
      <c r="DW98" s="228">
        <v>0.81</v>
      </c>
      <c r="DX98" s="228">
        <v>0.08</v>
      </c>
      <c r="DY98" s="229">
        <v>9.8799999999999999E-2</v>
      </c>
      <c r="DZ98" s="229">
        <v>4.9200000000000001E-2</v>
      </c>
      <c r="EA98" s="230">
        <v>321150</v>
      </c>
      <c r="EB98" s="229">
        <v>1.8E-3</v>
      </c>
      <c r="EC98" s="229">
        <v>4.9200000000000001E-2</v>
      </c>
      <c r="ED98" s="228">
        <v>5.75</v>
      </c>
      <c r="EE98" s="229">
        <v>1.1999999999999999E-3</v>
      </c>
      <c r="EF98" s="230">
        <v>338886</v>
      </c>
      <c r="EG98" s="230">
        <v>692801</v>
      </c>
      <c r="EH98" s="229">
        <v>-0.51080000000000003</v>
      </c>
      <c r="EI98" s="229">
        <v>0.42630000000000001</v>
      </c>
      <c r="EJ98" s="231">
        <v>207704.65</v>
      </c>
      <c r="EK98" s="231">
        <v>166875.12</v>
      </c>
      <c r="EL98" s="231">
        <v>40939.72</v>
      </c>
      <c r="EM98" s="231">
        <v>10235</v>
      </c>
      <c r="EN98" s="231">
        <v>415519.49</v>
      </c>
      <c r="EO98" s="231">
        <v>486995.38</v>
      </c>
      <c r="EP98" s="231">
        <v>-71475.89</v>
      </c>
      <c r="EQ98" s="229">
        <v>-0.14680000000000001</v>
      </c>
      <c r="ER98" s="231">
        <v>296914</v>
      </c>
      <c r="ES98" s="231">
        <v>186635</v>
      </c>
      <c r="ET98" s="231">
        <v>325970</v>
      </c>
      <c r="EU98" s="231">
        <v>33878797</v>
      </c>
      <c r="EV98" s="231">
        <v>809518</v>
      </c>
      <c r="EW98" s="231">
        <v>802874</v>
      </c>
      <c r="EX98" s="231">
        <v>6644</v>
      </c>
      <c r="EY98" s="229">
        <v>8.3000000000000001E-3</v>
      </c>
      <c r="EZ98" s="229">
        <v>0.52159999999999995</v>
      </c>
      <c r="FA98" s="227" t="s">
        <v>693</v>
      </c>
      <c r="FB98" s="161">
        <f t="shared" si="1"/>
        <v>344700</v>
      </c>
    </row>
    <row r="99" spans="1:158" ht="17.25" thickBot="1" x14ac:dyDescent="0.3">
      <c r="A99" s="226">
        <v>46129</v>
      </c>
      <c r="B99" s="227" t="s">
        <v>172</v>
      </c>
      <c r="C99" s="227" t="s">
        <v>239</v>
      </c>
      <c r="D99" s="228">
        <v>700</v>
      </c>
      <c r="E99" s="228">
        <v>852.35</v>
      </c>
      <c r="F99" s="228">
        <v>849.55</v>
      </c>
      <c r="G99" s="228">
        <v>2.8</v>
      </c>
      <c r="H99" s="229">
        <v>3.3E-3</v>
      </c>
      <c r="I99" s="228">
        <v>853.9</v>
      </c>
      <c r="J99" s="228">
        <v>847.9</v>
      </c>
      <c r="K99" s="228">
        <v>6</v>
      </c>
      <c r="L99" s="229">
        <v>7.1000000000000004E-3</v>
      </c>
      <c r="M99" s="228">
        <v>852.35</v>
      </c>
      <c r="N99" s="228">
        <v>849.55</v>
      </c>
      <c r="O99" s="228">
        <v>2.8</v>
      </c>
      <c r="P99" s="229">
        <v>3.3E-3</v>
      </c>
      <c r="Q99" s="228">
        <v>857.05</v>
      </c>
      <c r="R99" s="228">
        <v>853.9</v>
      </c>
      <c r="S99" s="228">
        <v>3.15</v>
      </c>
      <c r="T99" s="229">
        <v>3.7000000000000002E-3</v>
      </c>
      <c r="U99" s="228">
        <v>857.55</v>
      </c>
      <c r="V99" s="228">
        <v>854.4</v>
      </c>
      <c r="W99" s="228">
        <v>3.15</v>
      </c>
      <c r="X99" s="229">
        <v>3.7000000000000002E-3</v>
      </c>
      <c r="Y99" s="228">
        <v>-1.55</v>
      </c>
      <c r="Z99" s="228">
        <v>1.65</v>
      </c>
      <c r="AA99" s="228">
        <v>-3.2</v>
      </c>
      <c r="AB99" s="229">
        <v>-1.8E-3</v>
      </c>
      <c r="AC99" s="228">
        <v>-1.55</v>
      </c>
      <c r="AD99" s="228">
        <v>1.65</v>
      </c>
      <c r="AE99" s="228">
        <v>-3.2</v>
      </c>
      <c r="AF99" s="229">
        <v>-1.8E-3</v>
      </c>
      <c r="AG99" s="228">
        <v>3.15</v>
      </c>
      <c r="AH99" s="228">
        <v>6</v>
      </c>
      <c r="AI99" s="228">
        <v>-2.85</v>
      </c>
      <c r="AJ99" s="229">
        <v>3.7000000000000002E-3</v>
      </c>
      <c r="AK99" s="228">
        <v>3.65</v>
      </c>
      <c r="AL99" s="228">
        <v>6.5</v>
      </c>
      <c r="AM99" s="228">
        <v>-2.85</v>
      </c>
      <c r="AN99" s="229">
        <v>4.3E-3</v>
      </c>
      <c r="AO99" s="228">
        <v>849.13</v>
      </c>
      <c r="AP99" s="228">
        <v>852.55</v>
      </c>
      <c r="AQ99" s="228">
        <v>0</v>
      </c>
      <c r="AR99" s="230">
        <v>3688300</v>
      </c>
      <c r="AS99" s="230">
        <v>5659500</v>
      </c>
      <c r="AT99" s="230">
        <v>-1971200</v>
      </c>
      <c r="AU99" s="229">
        <v>-0.3483</v>
      </c>
      <c r="AV99" s="230">
        <v>3108000</v>
      </c>
      <c r="AW99" s="230">
        <v>4506600</v>
      </c>
      <c r="AX99" s="230">
        <v>-1398600</v>
      </c>
      <c r="AY99" s="229">
        <v>-0.31030000000000002</v>
      </c>
      <c r="AZ99" s="230">
        <v>541100</v>
      </c>
      <c r="BA99" s="230">
        <v>1097600</v>
      </c>
      <c r="BB99" s="230">
        <v>-556500</v>
      </c>
      <c r="BC99" s="229">
        <v>-0.50700000000000001</v>
      </c>
      <c r="BD99" s="230">
        <v>39200</v>
      </c>
      <c r="BE99" s="230">
        <v>55300</v>
      </c>
      <c r="BF99" s="230">
        <v>-16100</v>
      </c>
      <c r="BG99" s="229">
        <v>-0.29110000000000003</v>
      </c>
      <c r="BH99" s="230">
        <v>8372700</v>
      </c>
      <c r="BI99" s="230">
        <v>10045700</v>
      </c>
      <c r="BJ99" s="230">
        <v>-1673000</v>
      </c>
      <c r="BK99" s="229">
        <v>-0.16650000000000001</v>
      </c>
      <c r="BL99" s="230">
        <v>4853100</v>
      </c>
      <c r="BM99" s="230">
        <v>7396900</v>
      </c>
      <c r="BN99" s="230">
        <v>-2543800</v>
      </c>
      <c r="BO99" s="229">
        <v>-0.34389999999999998</v>
      </c>
      <c r="BP99" s="230">
        <v>16914100</v>
      </c>
      <c r="BQ99" s="230">
        <v>23102100</v>
      </c>
      <c r="BR99" s="230">
        <v>-6188000</v>
      </c>
      <c r="BS99" s="229">
        <v>-0.26790000000000003</v>
      </c>
      <c r="BT99" s="230">
        <v>1900991</v>
      </c>
      <c r="BU99" s="230">
        <v>3844362</v>
      </c>
      <c r="BV99" s="230">
        <v>-1943371</v>
      </c>
      <c r="BW99" s="229">
        <v>-0.50549999999999995</v>
      </c>
      <c r="BX99" s="230">
        <v>38583300</v>
      </c>
      <c r="BY99" s="230">
        <v>38348100</v>
      </c>
      <c r="BZ99" s="230">
        <v>235200</v>
      </c>
      <c r="CA99" s="229">
        <v>6.1000000000000004E-3</v>
      </c>
      <c r="CB99" s="230">
        <v>35397600</v>
      </c>
      <c r="CC99" s="230">
        <v>35513800</v>
      </c>
      <c r="CD99" s="230">
        <v>-116200</v>
      </c>
      <c r="CE99" s="229">
        <v>-3.3E-3</v>
      </c>
      <c r="CF99" s="230">
        <v>2790900</v>
      </c>
      <c r="CG99" s="230">
        <v>2466800</v>
      </c>
      <c r="CH99" s="230">
        <v>324100</v>
      </c>
      <c r="CI99" s="229">
        <v>0.13139999999999999</v>
      </c>
      <c r="CJ99" s="230">
        <v>394800</v>
      </c>
      <c r="CK99" s="230">
        <v>367500</v>
      </c>
      <c r="CL99" s="230">
        <v>27300</v>
      </c>
      <c r="CM99" s="229">
        <v>7.4300000000000005E-2</v>
      </c>
      <c r="CN99" s="230">
        <v>7996100</v>
      </c>
      <c r="CO99" s="230">
        <v>7396200</v>
      </c>
      <c r="CP99" s="230">
        <v>599900</v>
      </c>
      <c r="CQ99" s="229">
        <v>8.1100000000000005E-2</v>
      </c>
      <c r="CR99" s="230">
        <v>6124300</v>
      </c>
      <c r="CS99" s="230">
        <v>6199900</v>
      </c>
      <c r="CT99" s="230">
        <v>-75600</v>
      </c>
      <c r="CU99" s="229">
        <v>-1.2200000000000001E-2</v>
      </c>
      <c r="CV99" s="230">
        <v>52703700</v>
      </c>
      <c r="CW99" s="230">
        <v>51944200</v>
      </c>
      <c r="CX99" s="230">
        <v>759500</v>
      </c>
      <c r="CY99" s="229">
        <v>1.46E-2</v>
      </c>
      <c r="CZ99" s="228">
        <v>39.17</v>
      </c>
      <c r="DA99" s="228">
        <v>40.08</v>
      </c>
      <c r="DB99" s="228">
        <v>-0.91</v>
      </c>
      <c r="DC99" s="228">
        <v>-0.91</v>
      </c>
      <c r="DD99" s="228">
        <v>43.37</v>
      </c>
      <c r="DE99" s="228">
        <v>43.47</v>
      </c>
      <c r="DF99" s="228">
        <v>-4.2</v>
      </c>
      <c r="DG99" s="228">
        <v>-0.1</v>
      </c>
      <c r="DH99" s="228">
        <v>37.69</v>
      </c>
      <c r="DI99" s="228">
        <v>38.049999999999997</v>
      </c>
      <c r="DJ99" s="228">
        <v>-0.36</v>
      </c>
      <c r="DK99" s="228">
        <v>-0.36</v>
      </c>
      <c r="DL99" s="228">
        <v>41.73</v>
      </c>
      <c r="DM99" s="228">
        <v>42.83</v>
      </c>
      <c r="DN99" s="228">
        <v>-1.1000000000000001</v>
      </c>
      <c r="DO99" s="228">
        <v>-1.1000000000000001</v>
      </c>
      <c r="DP99" s="228">
        <v>0.77</v>
      </c>
      <c r="DQ99" s="228">
        <v>0.84</v>
      </c>
      <c r="DR99" s="228">
        <v>-7.0000000000000007E-2</v>
      </c>
      <c r="DS99" s="229">
        <v>-8.3299999999999999E-2</v>
      </c>
      <c r="DT99" s="228">
        <v>850</v>
      </c>
      <c r="DU99" s="228">
        <v>800</v>
      </c>
      <c r="DV99" s="228">
        <v>0.57999999999999996</v>
      </c>
      <c r="DW99" s="228">
        <v>0.74</v>
      </c>
      <c r="DX99" s="228">
        <v>-0.16</v>
      </c>
      <c r="DY99" s="229">
        <v>-0.2162</v>
      </c>
      <c r="DZ99" s="229">
        <v>8.2600000000000007E-2</v>
      </c>
      <c r="EA99" s="230">
        <v>2834300</v>
      </c>
      <c r="EB99" s="229">
        <v>5.4999999999999997E-3</v>
      </c>
      <c r="EC99" s="229">
        <v>8.2600000000000007E-2</v>
      </c>
      <c r="ED99" s="228">
        <v>3.42</v>
      </c>
      <c r="EE99" s="229">
        <v>4.0000000000000001E-3</v>
      </c>
      <c r="EF99" s="230">
        <v>828447</v>
      </c>
      <c r="EG99" s="230">
        <v>1548626</v>
      </c>
      <c r="EH99" s="229">
        <v>-0.46500000000000002</v>
      </c>
      <c r="EI99" s="229">
        <v>0.43580000000000002</v>
      </c>
      <c r="EJ99" s="231">
        <v>73882.13</v>
      </c>
      <c r="EK99" s="231">
        <v>40805.64</v>
      </c>
      <c r="EL99" s="231">
        <v>31338.37</v>
      </c>
      <c r="EM99" s="231">
        <v>6368</v>
      </c>
      <c r="EN99" s="231">
        <v>146026.14000000001</v>
      </c>
      <c r="EO99" s="231">
        <v>199172.54</v>
      </c>
      <c r="EP99" s="231">
        <v>-53146.400000000001</v>
      </c>
      <c r="EQ99" s="229">
        <v>-0.26679999999999998</v>
      </c>
      <c r="ER99" s="231">
        <v>68349</v>
      </c>
      <c r="ES99" s="231">
        <v>48989</v>
      </c>
      <c r="ET99" s="231">
        <v>329016</v>
      </c>
      <c r="EU99" s="231">
        <v>93808799</v>
      </c>
      <c r="EV99" s="231">
        <v>446354</v>
      </c>
      <c r="EW99" s="231">
        <v>438486</v>
      </c>
      <c r="EX99" s="231">
        <v>7868</v>
      </c>
      <c r="EY99" s="229">
        <v>1.7899999999999999E-2</v>
      </c>
      <c r="EZ99" s="229">
        <v>0.56179999999999997</v>
      </c>
      <c r="FA99" s="227" t="s">
        <v>555</v>
      </c>
      <c r="FB99" s="161">
        <f t="shared" si="1"/>
        <v>3185700</v>
      </c>
    </row>
    <row r="100" spans="1:158" ht="17.25" thickBot="1" x14ac:dyDescent="0.3">
      <c r="A100" s="226">
        <v>46129</v>
      </c>
      <c r="B100" s="227" t="s">
        <v>188</v>
      </c>
      <c r="C100" s="227" t="s">
        <v>473</v>
      </c>
      <c r="D100" s="228">
        <v>1700</v>
      </c>
      <c r="E100" s="228">
        <v>413.35</v>
      </c>
      <c r="F100" s="228">
        <v>414.5</v>
      </c>
      <c r="G100" s="228">
        <v>-1.1499999999999999</v>
      </c>
      <c r="H100" s="229">
        <v>-2.8E-3</v>
      </c>
      <c r="I100" s="228">
        <v>412.25</v>
      </c>
      <c r="J100" s="228">
        <v>413.15</v>
      </c>
      <c r="K100" s="228">
        <v>-0.9</v>
      </c>
      <c r="L100" s="229">
        <v>-2.2000000000000001E-3</v>
      </c>
      <c r="M100" s="228">
        <v>413.35</v>
      </c>
      <c r="N100" s="228">
        <v>414.5</v>
      </c>
      <c r="O100" s="228">
        <v>-1.1499999999999999</v>
      </c>
      <c r="P100" s="229">
        <v>-2.8E-3</v>
      </c>
      <c r="Q100" s="228">
        <v>415.6</v>
      </c>
      <c r="R100" s="228">
        <v>416.9</v>
      </c>
      <c r="S100" s="228">
        <v>-1.3</v>
      </c>
      <c r="T100" s="229">
        <v>-3.0999999999999999E-3</v>
      </c>
      <c r="U100" s="228">
        <v>418</v>
      </c>
      <c r="V100" s="228">
        <v>419.45</v>
      </c>
      <c r="W100" s="228">
        <v>-1.45</v>
      </c>
      <c r="X100" s="229">
        <v>-3.5000000000000001E-3</v>
      </c>
      <c r="Y100" s="228">
        <v>1.1000000000000001</v>
      </c>
      <c r="Z100" s="228">
        <v>1.35</v>
      </c>
      <c r="AA100" s="228">
        <v>-0.25</v>
      </c>
      <c r="AB100" s="229">
        <v>2.7000000000000001E-3</v>
      </c>
      <c r="AC100" s="228">
        <v>1.1000000000000001</v>
      </c>
      <c r="AD100" s="228">
        <v>1.35</v>
      </c>
      <c r="AE100" s="228">
        <v>-0.25</v>
      </c>
      <c r="AF100" s="229">
        <v>2.7000000000000001E-3</v>
      </c>
      <c r="AG100" s="228">
        <v>3.35</v>
      </c>
      <c r="AH100" s="228">
        <v>3.75</v>
      </c>
      <c r="AI100" s="228">
        <v>-0.4</v>
      </c>
      <c r="AJ100" s="229">
        <v>8.0999999999999996E-3</v>
      </c>
      <c r="AK100" s="228">
        <v>5.75</v>
      </c>
      <c r="AL100" s="228">
        <v>6.3</v>
      </c>
      <c r="AM100" s="228">
        <v>-0.55000000000000004</v>
      </c>
      <c r="AN100" s="229">
        <v>1.3899999999999999E-2</v>
      </c>
      <c r="AO100" s="228">
        <v>413.05</v>
      </c>
      <c r="AP100" s="228">
        <v>414.84</v>
      </c>
      <c r="AQ100" s="228">
        <v>0</v>
      </c>
      <c r="AR100" s="230">
        <v>19789700</v>
      </c>
      <c r="AS100" s="230">
        <v>11415500</v>
      </c>
      <c r="AT100" s="230">
        <v>8374200</v>
      </c>
      <c r="AU100" s="229">
        <v>0.73360000000000003</v>
      </c>
      <c r="AV100" s="230">
        <v>15039900</v>
      </c>
      <c r="AW100" s="230">
        <v>9919500</v>
      </c>
      <c r="AX100" s="230">
        <v>5120400</v>
      </c>
      <c r="AY100" s="229">
        <v>0.51619999999999999</v>
      </c>
      <c r="AZ100" s="230">
        <v>2359600</v>
      </c>
      <c r="BA100" s="230">
        <v>1365100</v>
      </c>
      <c r="BB100" s="230">
        <v>994500</v>
      </c>
      <c r="BC100" s="229">
        <v>0.72850000000000004</v>
      </c>
      <c r="BD100" s="230">
        <v>2390200</v>
      </c>
      <c r="BE100" s="230">
        <v>130900</v>
      </c>
      <c r="BF100" s="230">
        <v>2259300</v>
      </c>
      <c r="BG100" s="229">
        <v>17.259699999999999</v>
      </c>
      <c r="BH100" s="230">
        <v>35292000</v>
      </c>
      <c r="BI100" s="230">
        <v>31314000</v>
      </c>
      <c r="BJ100" s="230">
        <v>3978000</v>
      </c>
      <c r="BK100" s="229">
        <v>0.127</v>
      </c>
      <c r="BL100" s="230">
        <v>18424600</v>
      </c>
      <c r="BM100" s="230">
        <v>14203500</v>
      </c>
      <c r="BN100" s="230">
        <v>4221100</v>
      </c>
      <c r="BO100" s="229">
        <v>0.29720000000000002</v>
      </c>
      <c r="BP100" s="230">
        <v>73506300</v>
      </c>
      <c r="BQ100" s="230">
        <v>56933000</v>
      </c>
      <c r="BR100" s="230">
        <v>16573300</v>
      </c>
      <c r="BS100" s="229">
        <v>0.29110000000000003</v>
      </c>
      <c r="BT100" s="230">
        <v>10739860</v>
      </c>
      <c r="BU100" s="230">
        <v>10062683</v>
      </c>
      <c r="BV100" s="230">
        <v>677177</v>
      </c>
      <c r="BW100" s="229">
        <v>6.7299999999999999E-2</v>
      </c>
      <c r="BX100" s="230">
        <v>73004800</v>
      </c>
      <c r="BY100" s="230">
        <v>70774400</v>
      </c>
      <c r="BZ100" s="230">
        <v>2230400</v>
      </c>
      <c r="CA100" s="229">
        <v>3.15E-2</v>
      </c>
      <c r="CB100" s="230">
        <v>66490400</v>
      </c>
      <c r="CC100" s="230">
        <v>67816400</v>
      </c>
      <c r="CD100" s="230">
        <v>-1326000</v>
      </c>
      <c r="CE100" s="229">
        <v>-1.9599999999999999E-2</v>
      </c>
      <c r="CF100" s="230">
        <v>3853900</v>
      </c>
      <c r="CG100" s="230">
        <v>2578900</v>
      </c>
      <c r="CH100" s="230">
        <v>1275000</v>
      </c>
      <c r="CI100" s="229">
        <v>0.49440000000000001</v>
      </c>
      <c r="CJ100" s="230">
        <v>2660500</v>
      </c>
      <c r="CK100" s="230">
        <v>379100</v>
      </c>
      <c r="CL100" s="230">
        <v>2281400</v>
      </c>
      <c r="CM100" s="229">
        <v>6.0179</v>
      </c>
      <c r="CN100" s="230">
        <v>25369100</v>
      </c>
      <c r="CO100" s="230">
        <v>23854400</v>
      </c>
      <c r="CP100" s="230">
        <v>1514700</v>
      </c>
      <c r="CQ100" s="229">
        <v>6.3500000000000001E-2</v>
      </c>
      <c r="CR100" s="230">
        <v>14703300</v>
      </c>
      <c r="CS100" s="230">
        <v>13231100</v>
      </c>
      <c r="CT100" s="230">
        <v>1472200</v>
      </c>
      <c r="CU100" s="229">
        <v>0.1113</v>
      </c>
      <c r="CV100" s="230">
        <v>113077200</v>
      </c>
      <c r="CW100" s="230">
        <v>107859900</v>
      </c>
      <c r="CX100" s="230">
        <v>5217300</v>
      </c>
      <c r="CY100" s="229">
        <v>4.8399999999999999E-2</v>
      </c>
      <c r="CZ100" s="228">
        <v>31.37</v>
      </c>
      <c r="DA100" s="228">
        <v>31.61</v>
      </c>
      <c r="DB100" s="228">
        <v>-0.24</v>
      </c>
      <c r="DC100" s="228">
        <v>-0.24</v>
      </c>
      <c r="DD100" s="228">
        <v>37.75</v>
      </c>
      <c r="DE100" s="228">
        <v>37.85</v>
      </c>
      <c r="DF100" s="228">
        <v>-6.38</v>
      </c>
      <c r="DG100" s="228">
        <v>-0.1</v>
      </c>
      <c r="DH100" s="228">
        <v>31.12</v>
      </c>
      <c r="DI100" s="228">
        <v>31.43</v>
      </c>
      <c r="DJ100" s="228">
        <v>-0.31</v>
      </c>
      <c r="DK100" s="228">
        <v>-0.31</v>
      </c>
      <c r="DL100" s="228">
        <v>31.85</v>
      </c>
      <c r="DM100" s="228">
        <v>32</v>
      </c>
      <c r="DN100" s="228">
        <v>-0.15</v>
      </c>
      <c r="DO100" s="228">
        <v>-0.15</v>
      </c>
      <c r="DP100" s="228">
        <v>0.57999999999999996</v>
      </c>
      <c r="DQ100" s="228">
        <v>0.55000000000000004</v>
      </c>
      <c r="DR100" s="228">
        <v>0.03</v>
      </c>
      <c r="DS100" s="229">
        <v>5.45E-2</v>
      </c>
      <c r="DT100" s="228">
        <v>430</v>
      </c>
      <c r="DU100" s="228">
        <v>430</v>
      </c>
      <c r="DV100" s="228">
        <v>0.52</v>
      </c>
      <c r="DW100" s="228">
        <v>0.45</v>
      </c>
      <c r="DX100" s="228">
        <v>7.0000000000000007E-2</v>
      </c>
      <c r="DY100" s="229">
        <v>0.15559999999999999</v>
      </c>
      <c r="DZ100" s="229">
        <v>8.9200000000000002E-2</v>
      </c>
      <c r="EA100" s="230">
        <v>2958000</v>
      </c>
      <c r="EB100" s="229">
        <v>5.4000000000000003E-3</v>
      </c>
      <c r="EC100" s="229">
        <v>8.9200000000000002E-2</v>
      </c>
      <c r="ED100" s="228">
        <v>1.79</v>
      </c>
      <c r="EE100" s="229">
        <v>4.3E-3</v>
      </c>
      <c r="EF100" s="230">
        <v>7250849</v>
      </c>
      <c r="EG100" s="230">
        <v>6611423</v>
      </c>
      <c r="EH100" s="229">
        <v>9.6699999999999994E-2</v>
      </c>
      <c r="EI100" s="229">
        <v>0.67510000000000003</v>
      </c>
      <c r="EJ100" s="231">
        <v>152876.44</v>
      </c>
      <c r="EK100" s="231">
        <v>76315</v>
      </c>
      <c r="EL100" s="231">
        <v>81902.12</v>
      </c>
      <c r="EM100" s="231">
        <v>6506</v>
      </c>
      <c r="EN100" s="231">
        <v>311093.56</v>
      </c>
      <c r="EO100" s="231">
        <v>245778.65</v>
      </c>
      <c r="EP100" s="231">
        <v>65314.91</v>
      </c>
      <c r="EQ100" s="229">
        <v>0.26569999999999999</v>
      </c>
      <c r="ER100" s="231">
        <v>112762</v>
      </c>
      <c r="ES100" s="231">
        <v>60665</v>
      </c>
      <c r="ET100" s="231">
        <v>301976</v>
      </c>
      <c r="EU100" s="231">
        <v>193625858</v>
      </c>
      <c r="EV100" s="231">
        <v>475403</v>
      </c>
      <c r="EW100" s="231">
        <v>455042</v>
      </c>
      <c r="EX100" s="231">
        <v>20361</v>
      </c>
      <c r="EY100" s="229">
        <v>4.4699999999999997E-2</v>
      </c>
      <c r="EZ100" s="229">
        <v>0.58399999999999996</v>
      </c>
      <c r="FA100" s="227" t="s">
        <v>566</v>
      </c>
      <c r="FB100" s="161">
        <f t="shared" si="1"/>
        <v>6514400</v>
      </c>
    </row>
    <row r="101" spans="1:158" ht="17.25" thickBot="1" x14ac:dyDescent="0.3">
      <c r="A101" s="226">
        <v>46129</v>
      </c>
      <c r="B101" s="227" t="s">
        <v>221</v>
      </c>
      <c r="C101" s="227" t="s">
        <v>240</v>
      </c>
      <c r="D101" s="228">
        <v>400</v>
      </c>
      <c r="E101" s="231">
        <v>1321</v>
      </c>
      <c r="F101" s="231">
        <v>1320.7</v>
      </c>
      <c r="G101" s="228">
        <v>0.3</v>
      </c>
      <c r="H101" s="229">
        <v>2.0000000000000001E-4</v>
      </c>
      <c r="I101" s="231">
        <v>1318.7</v>
      </c>
      <c r="J101" s="231">
        <v>1319.2</v>
      </c>
      <c r="K101" s="228">
        <v>-0.5</v>
      </c>
      <c r="L101" s="229">
        <v>-4.0000000000000002E-4</v>
      </c>
      <c r="M101" s="231">
        <v>1321</v>
      </c>
      <c r="N101" s="231">
        <v>1320.7</v>
      </c>
      <c r="O101" s="228">
        <v>0.3</v>
      </c>
      <c r="P101" s="229">
        <v>2.0000000000000001E-4</v>
      </c>
      <c r="Q101" s="231">
        <v>1319.1</v>
      </c>
      <c r="R101" s="231">
        <v>1317.1</v>
      </c>
      <c r="S101" s="228">
        <v>2</v>
      </c>
      <c r="T101" s="229">
        <v>1.5E-3</v>
      </c>
      <c r="U101" s="231">
        <v>1311.7</v>
      </c>
      <c r="V101" s="231">
        <v>1311.7</v>
      </c>
      <c r="W101" s="228">
        <v>0</v>
      </c>
      <c r="X101" s="229">
        <v>0</v>
      </c>
      <c r="Y101" s="228">
        <v>2.2999999999999998</v>
      </c>
      <c r="Z101" s="228">
        <v>1.5</v>
      </c>
      <c r="AA101" s="228">
        <v>0.8</v>
      </c>
      <c r="AB101" s="229">
        <v>1.6999999999999999E-3</v>
      </c>
      <c r="AC101" s="228">
        <v>2.2999999999999998</v>
      </c>
      <c r="AD101" s="228">
        <v>1.5</v>
      </c>
      <c r="AE101" s="228">
        <v>0.8</v>
      </c>
      <c r="AF101" s="229">
        <v>1.6999999999999999E-3</v>
      </c>
      <c r="AG101" s="228">
        <v>0.4</v>
      </c>
      <c r="AH101" s="228">
        <v>-2.1</v>
      </c>
      <c r="AI101" s="228">
        <v>2.5</v>
      </c>
      <c r="AJ101" s="229">
        <v>2.9999999999999997E-4</v>
      </c>
      <c r="AK101" s="228">
        <v>-7</v>
      </c>
      <c r="AL101" s="228">
        <v>-7.5</v>
      </c>
      <c r="AM101" s="228">
        <v>0.5</v>
      </c>
      <c r="AN101" s="229">
        <v>-5.3E-3</v>
      </c>
      <c r="AO101" s="231">
        <v>1317.25</v>
      </c>
      <c r="AP101" s="231">
        <v>1314.57</v>
      </c>
      <c r="AQ101" s="228">
        <v>0</v>
      </c>
      <c r="AR101" s="230">
        <v>11066800</v>
      </c>
      <c r="AS101" s="230">
        <v>16550000</v>
      </c>
      <c r="AT101" s="230">
        <v>-5483200</v>
      </c>
      <c r="AU101" s="229">
        <v>-0.33129999999999998</v>
      </c>
      <c r="AV101" s="230">
        <v>9677600</v>
      </c>
      <c r="AW101" s="230">
        <v>14765600</v>
      </c>
      <c r="AX101" s="230">
        <v>-5088000</v>
      </c>
      <c r="AY101" s="229">
        <v>-0.34460000000000002</v>
      </c>
      <c r="AZ101" s="230">
        <v>1233200</v>
      </c>
      <c r="BA101" s="230">
        <v>1372400</v>
      </c>
      <c r="BB101" s="230">
        <v>-139200</v>
      </c>
      <c r="BC101" s="229">
        <v>-0.1014</v>
      </c>
      <c r="BD101" s="230">
        <v>156000</v>
      </c>
      <c r="BE101" s="230">
        <v>412000</v>
      </c>
      <c r="BF101" s="230">
        <v>-256000</v>
      </c>
      <c r="BG101" s="229">
        <v>-0.62139999999999995</v>
      </c>
      <c r="BH101" s="230">
        <v>18127200</v>
      </c>
      <c r="BI101" s="230">
        <v>34105200</v>
      </c>
      <c r="BJ101" s="230">
        <v>-15978000</v>
      </c>
      <c r="BK101" s="229">
        <v>-0.46850000000000003</v>
      </c>
      <c r="BL101" s="230">
        <v>13291600</v>
      </c>
      <c r="BM101" s="230">
        <v>18198400</v>
      </c>
      <c r="BN101" s="230">
        <v>-4906800</v>
      </c>
      <c r="BO101" s="229">
        <v>-0.26960000000000001</v>
      </c>
      <c r="BP101" s="230">
        <v>42485600</v>
      </c>
      <c r="BQ101" s="230">
        <v>68853600</v>
      </c>
      <c r="BR101" s="230">
        <v>-26368000</v>
      </c>
      <c r="BS101" s="229">
        <v>-0.38300000000000001</v>
      </c>
      <c r="BT101" s="230">
        <v>12443945</v>
      </c>
      <c r="BU101" s="230">
        <v>20320960</v>
      </c>
      <c r="BV101" s="230">
        <v>-7877015</v>
      </c>
      <c r="BW101" s="229">
        <v>-0.3876</v>
      </c>
      <c r="BX101" s="230">
        <v>79619200</v>
      </c>
      <c r="BY101" s="230">
        <v>80956000</v>
      </c>
      <c r="BZ101" s="230">
        <v>-1336800</v>
      </c>
      <c r="CA101" s="229">
        <v>-1.6500000000000001E-2</v>
      </c>
      <c r="CB101" s="230">
        <v>75030800</v>
      </c>
      <c r="CC101" s="230">
        <v>76714400</v>
      </c>
      <c r="CD101" s="230">
        <v>-1683600</v>
      </c>
      <c r="CE101" s="229">
        <v>-2.1899999999999999E-2</v>
      </c>
      <c r="CF101" s="230">
        <v>3689600</v>
      </c>
      <c r="CG101" s="230">
        <v>3387600</v>
      </c>
      <c r="CH101" s="230">
        <v>302000</v>
      </c>
      <c r="CI101" s="229">
        <v>8.9099999999999999E-2</v>
      </c>
      <c r="CJ101" s="230">
        <v>898800</v>
      </c>
      <c r="CK101" s="230">
        <v>854000</v>
      </c>
      <c r="CL101" s="230">
        <v>44800</v>
      </c>
      <c r="CM101" s="229">
        <v>5.2499999999999998E-2</v>
      </c>
      <c r="CN101" s="230">
        <v>28466400</v>
      </c>
      <c r="CO101" s="230">
        <v>27637200</v>
      </c>
      <c r="CP101" s="230">
        <v>829200</v>
      </c>
      <c r="CQ101" s="229">
        <v>0.03</v>
      </c>
      <c r="CR101" s="230">
        <v>20294800</v>
      </c>
      <c r="CS101" s="230">
        <v>20277600</v>
      </c>
      <c r="CT101" s="230">
        <v>17200</v>
      </c>
      <c r="CU101" s="229">
        <v>8.0000000000000004E-4</v>
      </c>
      <c r="CV101" s="230">
        <v>128380400</v>
      </c>
      <c r="CW101" s="230">
        <v>128870800</v>
      </c>
      <c r="CX101" s="230">
        <v>-490400</v>
      </c>
      <c r="CY101" s="229">
        <v>-3.8E-3</v>
      </c>
      <c r="CZ101" s="228">
        <v>34.840000000000003</v>
      </c>
      <c r="DA101" s="228">
        <v>35.130000000000003</v>
      </c>
      <c r="DB101" s="228">
        <v>-0.28999999999999998</v>
      </c>
      <c r="DC101" s="228">
        <v>-0.28999999999999998</v>
      </c>
      <c r="DD101" s="228">
        <v>30.95</v>
      </c>
      <c r="DE101" s="228">
        <v>31.03</v>
      </c>
      <c r="DF101" s="228">
        <v>3.89</v>
      </c>
      <c r="DG101" s="228">
        <v>-0.08</v>
      </c>
      <c r="DH101" s="228">
        <v>33.47</v>
      </c>
      <c r="DI101" s="228">
        <v>34.11</v>
      </c>
      <c r="DJ101" s="228">
        <v>-0.64</v>
      </c>
      <c r="DK101" s="228">
        <v>-0.64</v>
      </c>
      <c r="DL101" s="228">
        <v>36.72</v>
      </c>
      <c r="DM101" s="228">
        <v>37.04</v>
      </c>
      <c r="DN101" s="228">
        <v>-0.32</v>
      </c>
      <c r="DO101" s="228">
        <v>-0.32</v>
      </c>
      <c r="DP101" s="228">
        <v>0.71</v>
      </c>
      <c r="DQ101" s="228">
        <v>0.73</v>
      </c>
      <c r="DR101" s="228">
        <v>-0.02</v>
      </c>
      <c r="DS101" s="229">
        <v>-2.7400000000000001E-2</v>
      </c>
      <c r="DT101" s="231">
        <v>1350</v>
      </c>
      <c r="DU101" s="231">
        <v>1280</v>
      </c>
      <c r="DV101" s="228">
        <v>0.73</v>
      </c>
      <c r="DW101" s="228">
        <v>0.53</v>
      </c>
      <c r="DX101" s="228">
        <v>0.2</v>
      </c>
      <c r="DY101" s="229">
        <v>0.37740000000000001</v>
      </c>
      <c r="DZ101" s="229">
        <v>5.7599999999999998E-2</v>
      </c>
      <c r="EA101" s="230">
        <v>4241600</v>
      </c>
      <c r="EB101" s="229">
        <v>-1.4E-3</v>
      </c>
      <c r="EC101" s="229">
        <v>5.7599999999999998E-2</v>
      </c>
      <c r="ED101" s="228">
        <v>-2.68</v>
      </c>
      <c r="EE101" s="229">
        <v>-2E-3</v>
      </c>
      <c r="EF101" s="230">
        <v>7412894</v>
      </c>
      <c r="EG101" s="230">
        <v>7789524</v>
      </c>
      <c r="EH101" s="229">
        <v>-4.8399999999999999E-2</v>
      </c>
      <c r="EI101" s="229">
        <v>0.59570000000000001</v>
      </c>
      <c r="EJ101" s="231">
        <v>249325.28</v>
      </c>
      <c r="EK101" s="231">
        <v>172154.21</v>
      </c>
      <c r="EL101" s="231">
        <v>145731.44</v>
      </c>
      <c r="EM101" s="231">
        <v>37988</v>
      </c>
      <c r="EN101" s="231">
        <v>567210.93000000005</v>
      </c>
      <c r="EO101" s="231">
        <v>923529.2</v>
      </c>
      <c r="EP101" s="231">
        <v>-356318.27</v>
      </c>
      <c r="EQ101" s="229">
        <v>-0.38579999999999998</v>
      </c>
      <c r="ER101" s="231">
        <v>387184</v>
      </c>
      <c r="ES101" s="231">
        <v>259472</v>
      </c>
      <c r="ET101" s="231">
        <v>1051616</v>
      </c>
      <c r="EU101" s="231">
        <v>475237614</v>
      </c>
      <c r="EV101" s="231">
        <v>1698272</v>
      </c>
      <c r="EW101" s="231">
        <v>1703424</v>
      </c>
      <c r="EX101" s="231">
        <v>-5152</v>
      </c>
      <c r="EY101" s="229">
        <v>-3.0000000000000001E-3</v>
      </c>
      <c r="EZ101" s="229">
        <v>0.27010000000000001</v>
      </c>
      <c r="FA101" s="227" t="s">
        <v>693</v>
      </c>
      <c r="FB101" s="161">
        <f t="shared" si="1"/>
        <v>4588400</v>
      </c>
    </row>
    <row r="102" spans="1:158" ht="17.25" thickBot="1" x14ac:dyDescent="0.3">
      <c r="A102" s="226">
        <v>46129</v>
      </c>
      <c r="B102" s="227" t="s">
        <v>161</v>
      </c>
      <c r="C102" s="227" t="s">
        <v>667</v>
      </c>
      <c r="D102" s="228">
        <v>3575</v>
      </c>
      <c r="E102" s="228">
        <v>97.82</v>
      </c>
      <c r="F102" s="228">
        <v>95.73</v>
      </c>
      <c r="G102" s="228">
        <v>2.09</v>
      </c>
      <c r="H102" s="229">
        <v>2.18E-2</v>
      </c>
      <c r="I102" s="228">
        <v>97.9</v>
      </c>
      <c r="J102" s="228">
        <v>95.4</v>
      </c>
      <c r="K102" s="228">
        <v>2.5</v>
      </c>
      <c r="L102" s="229">
        <v>2.6200000000000001E-2</v>
      </c>
      <c r="M102" s="228">
        <v>97.82</v>
      </c>
      <c r="N102" s="228">
        <v>95.73</v>
      </c>
      <c r="O102" s="228">
        <v>2.09</v>
      </c>
      <c r="P102" s="229">
        <v>2.18E-2</v>
      </c>
      <c r="Q102" s="228">
        <v>98.22</v>
      </c>
      <c r="R102" s="228">
        <v>96.22</v>
      </c>
      <c r="S102" s="228">
        <v>2</v>
      </c>
      <c r="T102" s="229">
        <v>2.0799999999999999E-2</v>
      </c>
      <c r="U102" s="228">
        <v>98.83</v>
      </c>
      <c r="V102" s="228">
        <v>96.86</v>
      </c>
      <c r="W102" s="228">
        <v>1.97</v>
      </c>
      <c r="X102" s="229">
        <v>2.0299999999999999E-2</v>
      </c>
      <c r="Y102" s="228">
        <v>-0.08</v>
      </c>
      <c r="Z102" s="228">
        <v>0.33</v>
      </c>
      <c r="AA102" s="228">
        <v>-0.41</v>
      </c>
      <c r="AB102" s="229">
        <v>-8.0000000000000004E-4</v>
      </c>
      <c r="AC102" s="228">
        <v>-0.08</v>
      </c>
      <c r="AD102" s="228">
        <v>0.33</v>
      </c>
      <c r="AE102" s="228">
        <v>-0.41</v>
      </c>
      <c r="AF102" s="229">
        <v>-8.0000000000000004E-4</v>
      </c>
      <c r="AG102" s="228">
        <v>0.32</v>
      </c>
      <c r="AH102" s="228">
        <v>0.82</v>
      </c>
      <c r="AI102" s="228">
        <v>-0.5</v>
      </c>
      <c r="AJ102" s="229">
        <v>3.3E-3</v>
      </c>
      <c r="AK102" s="228">
        <v>0.93</v>
      </c>
      <c r="AL102" s="228">
        <v>1.46</v>
      </c>
      <c r="AM102" s="228">
        <v>-0.53</v>
      </c>
      <c r="AN102" s="229">
        <v>9.4999999999999998E-3</v>
      </c>
      <c r="AO102" s="228">
        <v>98.09</v>
      </c>
      <c r="AP102" s="228">
        <v>98.81</v>
      </c>
      <c r="AQ102" s="228">
        <v>0</v>
      </c>
      <c r="AR102" s="230">
        <v>34248500</v>
      </c>
      <c r="AS102" s="230">
        <v>21846825</v>
      </c>
      <c r="AT102" s="230">
        <v>12401675</v>
      </c>
      <c r="AU102" s="229">
        <v>0.56769999999999998</v>
      </c>
      <c r="AV102" s="230">
        <v>29518775</v>
      </c>
      <c r="AW102" s="230">
        <v>18135975</v>
      </c>
      <c r="AX102" s="230">
        <v>11382800</v>
      </c>
      <c r="AY102" s="229">
        <v>0.62760000000000005</v>
      </c>
      <c r="AZ102" s="230">
        <v>4375800</v>
      </c>
      <c r="BA102" s="230">
        <v>3467750</v>
      </c>
      <c r="BB102" s="230">
        <v>908050</v>
      </c>
      <c r="BC102" s="229">
        <v>0.26190000000000002</v>
      </c>
      <c r="BD102" s="230">
        <v>353925</v>
      </c>
      <c r="BE102" s="230">
        <v>243100</v>
      </c>
      <c r="BF102" s="230">
        <v>110825</v>
      </c>
      <c r="BG102" s="229">
        <v>0.45590000000000003</v>
      </c>
      <c r="BH102" s="230">
        <v>57310825</v>
      </c>
      <c r="BI102" s="230">
        <v>34799050</v>
      </c>
      <c r="BJ102" s="230">
        <v>22511775</v>
      </c>
      <c r="BK102" s="229">
        <v>0.64690000000000003</v>
      </c>
      <c r="BL102" s="230">
        <v>20116525</v>
      </c>
      <c r="BM102" s="230">
        <v>17549675</v>
      </c>
      <c r="BN102" s="230">
        <v>2566850</v>
      </c>
      <c r="BO102" s="229">
        <v>0.14630000000000001</v>
      </c>
      <c r="BP102" s="230">
        <v>111675850</v>
      </c>
      <c r="BQ102" s="230">
        <v>74195550</v>
      </c>
      <c r="BR102" s="230">
        <v>37480300</v>
      </c>
      <c r="BS102" s="229">
        <v>0.50519999999999998</v>
      </c>
      <c r="BT102" s="230">
        <v>49566096</v>
      </c>
      <c r="BU102" s="230">
        <v>29391723</v>
      </c>
      <c r="BV102" s="230">
        <v>20174373</v>
      </c>
      <c r="BW102" s="229">
        <v>0.68640000000000001</v>
      </c>
      <c r="BX102" s="230">
        <v>100010625</v>
      </c>
      <c r="BY102" s="230">
        <v>104014625</v>
      </c>
      <c r="BZ102" s="230">
        <v>-4004000</v>
      </c>
      <c r="CA102" s="229">
        <v>-3.85E-2</v>
      </c>
      <c r="CB102" s="230">
        <v>90175800</v>
      </c>
      <c r="CC102" s="230">
        <v>95920825</v>
      </c>
      <c r="CD102" s="230">
        <v>-5745025</v>
      </c>
      <c r="CE102" s="229">
        <v>-5.9900000000000002E-2</v>
      </c>
      <c r="CF102" s="230">
        <v>9216350</v>
      </c>
      <c r="CG102" s="230">
        <v>7546825</v>
      </c>
      <c r="CH102" s="230">
        <v>1669525</v>
      </c>
      <c r="CI102" s="229">
        <v>0.22120000000000001</v>
      </c>
      <c r="CJ102" s="230">
        <v>618475</v>
      </c>
      <c r="CK102" s="230">
        <v>546975</v>
      </c>
      <c r="CL102" s="230">
        <v>71500</v>
      </c>
      <c r="CM102" s="229">
        <v>0.13070000000000001</v>
      </c>
      <c r="CN102" s="230">
        <v>27977950</v>
      </c>
      <c r="CO102" s="230">
        <v>22333025</v>
      </c>
      <c r="CP102" s="230">
        <v>5644925</v>
      </c>
      <c r="CQ102" s="229">
        <v>0.25280000000000002</v>
      </c>
      <c r="CR102" s="230">
        <v>23073050</v>
      </c>
      <c r="CS102" s="230">
        <v>21782475</v>
      </c>
      <c r="CT102" s="230">
        <v>1290575</v>
      </c>
      <c r="CU102" s="229">
        <v>5.9200000000000003E-2</v>
      </c>
      <c r="CV102" s="230">
        <v>151061625</v>
      </c>
      <c r="CW102" s="230">
        <v>148130125</v>
      </c>
      <c r="CX102" s="230">
        <v>2931500</v>
      </c>
      <c r="CY102" s="229">
        <v>1.9800000000000002E-2</v>
      </c>
      <c r="CZ102" s="228">
        <v>52.46</v>
      </c>
      <c r="DA102" s="228">
        <v>51.46</v>
      </c>
      <c r="DB102" s="228">
        <v>1</v>
      </c>
      <c r="DC102" s="228">
        <v>1</v>
      </c>
      <c r="DD102" s="228">
        <v>54.19</v>
      </c>
      <c r="DE102" s="228">
        <v>54.25</v>
      </c>
      <c r="DF102" s="228">
        <v>-1.73</v>
      </c>
      <c r="DG102" s="228">
        <v>-0.06</v>
      </c>
      <c r="DH102" s="228">
        <v>51.26</v>
      </c>
      <c r="DI102" s="228">
        <v>51.06</v>
      </c>
      <c r="DJ102" s="228">
        <v>0.2</v>
      </c>
      <c r="DK102" s="228">
        <v>0.2</v>
      </c>
      <c r="DL102" s="228">
        <v>55.88</v>
      </c>
      <c r="DM102" s="228">
        <v>52.26</v>
      </c>
      <c r="DN102" s="228">
        <v>3.62</v>
      </c>
      <c r="DO102" s="228">
        <v>3.62</v>
      </c>
      <c r="DP102" s="228">
        <v>0.82</v>
      </c>
      <c r="DQ102" s="228">
        <v>0.98</v>
      </c>
      <c r="DR102" s="228">
        <v>-0.16</v>
      </c>
      <c r="DS102" s="229">
        <v>-0.1633</v>
      </c>
      <c r="DT102" s="228">
        <v>100</v>
      </c>
      <c r="DU102" s="228">
        <v>90</v>
      </c>
      <c r="DV102" s="228">
        <v>0.35</v>
      </c>
      <c r="DW102" s="228">
        <v>0.5</v>
      </c>
      <c r="DX102" s="228">
        <v>-0.15</v>
      </c>
      <c r="DY102" s="229">
        <v>-0.3</v>
      </c>
      <c r="DZ102" s="229">
        <v>9.8299999999999998E-2</v>
      </c>
      <c r="EA102" s="230">
        <v>8093800</v>
      </c>
      <c r="EB102" s="229">
        <v>4.1000000000000003E-3</v>
      </c>
      <c r="EC102" s="229">
        <v>9.8299999999999998E-2</v>
      </c>
      <c r="ED102" s="228">
        <v>0.72</v>
      </c>
      <c r="EE102" s="229">
        <v>7.3000000000000001E-3</v>
      </c>
      <c r="EF102" s="230">
        <v>26054836</v>
      </c>
      <c r="EG102" s="230">
        <v>9421243</v>
      </c>
      <c r="EH102" s="229">
        <v>1.7655000000000001</v>
      </c>
      <c r="EI102" s="229">
        <v>0.52569999999999995</v>
      </c>
      <c r="EJ102" s="231">
        <v>59470.33</v>
      </c>
      <c r="EK102" s="231">
        <v>19457.96</v>
      </c>
      <c r="EL102" s="231">
        <v>33631.760000000002</v>
      </c>
      <c r="EM102" s="231">
        <v>5770</v>
      </c>
      <c r="EN102" s="231">
        <v>112560.05</v>
      </c>
      <c r="EO102" s="231">
        <v>71649.149999999994</v>
      </c>
      <c r="EP102" s="231">
        <v>40910.9</v>
      </c>
      <c r="EQ102" s="229">
        <v>0.57099999999999995</v>
      </c>
      <c r="ER102" s="231">
        <v>26188</v>
      </c>
      <c r="ES102" s="231">
        <v>20245</v>
      </c>
      <c r="ET102" s="231">
        <v>97874</v>
      </c>
      <c r="EU102" s="231">
        <v>144708707</v>
      </c>
      <c r="EV102" s="231">
        <v>144306</v>
      </c>
      <c r="EW102" s="231">
        <v>138760</v>
      </c>
      <c r="EX102" s="231">
        <v>5546</v>
      </c>
      <c r="EY102" s="229">
        <v>0.04</v>
      </c>
      <c r="EZ102" s="229">
        <v>1.0439000000000001</v>
      </c>
      <c r="FA102" s="227" t="s">
        <v>693</v>
      </c>
      <c r="FB102" s="161">
        <f t="shared" si="1"/>
        <v>9834825</v>
      </c>
    </row>
    <row r="103" spans="1:158" ht="17.25" thickBot="1" x14ac:dyDescent="0.3">
      <c r="A103" s="226">
        <v>46129</v>
      </c>
      <c r="B103" s="227" t="s">
        <v>193</v>
      </c>
      <c r="C103" s="227" t="s">
        <v>241</v>
      </c>
      <c r="D103" s="228">
        <v>4875</v>
      </c>
      <c r="E103" s="228">
        <v>146.21</v>
      </c>
      <c r="F103" s="228">
        <v>144.26</v>
      </c>
      <c r="G103" s="228">
        <v>1.95</v>
      </c>
      <c r="H103" s="229">
        <v>1.35E-2</v>
      </c>
      <c r="I103" s="228">
        <v>145.88</v>
      </c>
      <c r="J103" s="228">
        <v>144.19</v>
      </c>
      <c r="K103" s="228">
        <v>1.69</v>
      </c>
      <c r="L103" s="229">
        <v>1.17E-2</v>
      </c>
      <c r="M103" s="228">
        <v>146.21</v>
      </c>
      <c r="N103" s="228">
        <v>144.26</v>
      </c>
      <c r="O103" s="228">
        <v>1.95</v>
      </c>
      <c r="P103" s="229">
        <v>1.35E-2</v>
      </c>
      <c r="Q103" s="228">
        <v>147.03</v>
      </c>
      <c r="R103" s="228">
        <v>145.1</v>
      </c>
      <c r="S103" s="228">
        <v>1.93</v>
      </c>
      <c r="T103" s="229">
        <v>1.3299999999999999E-2</v>
      </c>
      <c r="U103" s="228">
        <v>147.93</v>
      </c>
      <c r="V103" s="228">
        <v>146.02000000000001</v>
      </c>
      <c r="W103" s="228">
        <v>1.91</v>
      </c>
      <c r="X103" s="229">
        <v>1.3100000000000001E-2</v>
      </c>
      <c r="Y103" s="228">
        <v>0.33</v>
      </c>
      <c r="Z103" s="228">
        <v>7.0000000000000007E-2</v>
      </c>
      <c r="AA103" s="228">
        <v>0.26</v>
      </c>
      <c r="AB103" s="229">
        <v>2.3E-3</v>
      </c>
      <c r="AC103" s="228">
        <v>0.33</v>
      </c>
      <c r="AD103" s="228">
        <v>7.0000000000000007E-2</v>
      </c>
      <c r="AE103" s="228">
        <v>0.26</v>
      </c>
      <c r="AF103" s="229">
        <v>2.3E-3</v>
      </c>
      <c r="AG103" s="228">
        <v>1.1499999999999999</v>
      </c>
      <c r="AH103" s="228">
        <v>0.91</v>
      </c>
      <c r="AI103" s="228">
        <v>0.24</v>
      </c>
      <c r="AJ103" s="229">
        <v>7.9000000000000008E-3</v>
      </c>
      <c r="AK103" s="228">
        <v>2.0499999999999998</v>
      </c>
      <c r="AL103" s="228">
        <v>1.83</v>
      </c>
      <c r="AM103" s="228">
        <v>0.22</v>
      </c>
      <c r="AN103" s="229">
        <v>1.41E-2</v>
      </c>
      <c r="AO103" s="228">
        <v>145.55000000000001</v>
      </c>
      <c r="AP103" s="228">
        <v>146.37</v>
      </c>
      <c r="AQ103" s="228">
        <v>0</v>
      </c>
      <c r="AR103" s="230">
        <v>13435500</v>
      </c>
      <c r="AS103" s="230">
        <v>21196500</v>
      </c>
      <c r="AT103" s="230">
        <v>-7761000</v>
      </c>
      <c r="AU103" s="229">
        <v>-0.36609999999999998</v>
      </c>
      <c r="AV103" s="230">
        <v>10710375</v>
      </c>
      <c r="AW103" s="230">
        <v>14230125</v>
      </c>
      <c r="AX103" s="230">
        <v>-3519750</v>
      </c>
      <c r="AY103" s="229">
        <v>-0.24729999999999999</v>
      </c>
      <c r="AZ103" s="230">
        <v>2525250</v>
      </c>
      <c r="BA103" s="230">
        <v>1862250</v>
      </c>
      <c r="BB103" s="230">
        <v>663000</v>
      </c>
      <c r="BC103" s="229">
        <v>0.35599999999999998</v>
      </c>
      <c r="BD103" s="230">
        <v>199875</v>
      </c>
      <c r="BE103" s="230">
        <v>5104125</v>
      </c>
      <c r="BF103" s="230">
        <v>-4904250</v>
      </c>
      <c r="BG103" s="229">
        <v>-0.96079999999999999</v>
      </c>
      <c r="BH103" s="230">
        <v>35265750</v>
      </c>
      <c r="BI103" s="230">
        <v>29693625</v>
      </c>
      <c r="BJ103" s="230">
        <v>5572125</v>
      </c>
      <c r="BK103" s="229">
        <v>0.18770000000000001</v>
      </c>
      <c r="BL103" s="230">
        <v>21016125</v>
      </c>
      <c r="BM103" s="230">
        <v>22444500</v>
      </c>
      <c r="BN103" s="230">
        <v>-1428375</v>
      </c>
      <c r="BO103" s="229">
        <v>-6.3600000000000004E-2</v>
      </c>
      <c r="BP103" s="230">
        <v>69717375</v>
      </c>
      <c r="BQ103" s="230">
        <v>73334625</v>
      </c>
      <c r="BR103" s="230">
        <v>-3617250</v>
      </c>
      <c r="BS103" s="229">
        <v>-4.9299999999999997E-2</v>
      </c>
      <c r="BT103" s="230">
        <v>12371010</v>
      </c>
      <c r="BU103" s="230">
        <v>14730757</v>
      </c>
      <c r="BV103" s="230">
        <v>-2359747</v>
      </c>
      <c r="BW103" s="229">
        <v>-0.16020000000000001</v>
      </c>
      <c r="BX103" s="230">
        <v>102482250</v>
      </c>
      <c r="BY103" s="230">
        <v>104305500</v>
      </c>
      <c r="BZ103" s="230">
        <v>-1823250</v>
      </c>
      <c r="CA103" s="229">
        <v>-1.7500000000000002E-2</v>
      </c>
      <c r="CB103" s="230">
        <v>91459875</v>
      </c>
      <c r="CC103" s="230">
        <v>94170375</v>
      </c>
      <c r="CD103" s="230">
        <v>-2710500</v>
      </c>
      <c r="CE103" s="229">
        <v>-2.8799999999999999E-2</v>
      </c>
      <c r="CF103" s="230">
        <v>5460000</v>
      </c>
      <c r="CG103" s="230">
        <v>4631250</v>
      </c>
      <c r="CH103" s="230">
        <v>828750</v>
      </c>
      <c r="CI103" s="229">
        <v>0.1789</v>
      </c>
      <c r="CJ103" s="230">
        <v>5562375</v>
      </c>
      <c r="CK103" s="230">
        <v>5503875</v>
      </c>
      <c r="CL103" s="230">
        <v>58500</v>
      </c>
      <c r="CM103" s="229">
        <v>1.06E-2</v>
      </c>
      <c r="CN103" s="230">
        <v>64652250</v>
      </c>
      <c r="CO103" s="230">
        <v>64715625</v>
      </c>
      <c r="CP103" s="230">
        <v>-63375</v>
      </c>
      <c r="CQ103" s="229">
        <v>-1E-3</v>
      </c>
      <c r="CR103" s="230">
        <v>47326500</v>
      </c>
      <c r="CS103" s="230">
        <v>46351500</v>
      </c>
      <c r="CT103" s="230">
        <v>975000</v>
      </c>
      <c r="CU103" s="229">
        <v>2.1000000000000001E-2</v>
      </c>
      <c r="CV103" s="230">
        <v>214461000</v>
      </c>
      <c r="CW103" s="230">
        <v>215372625</v>
      </c>
      <c r="CX103" s="230">
        <v>-911625</v>
      </c>
      <c r="CY103" s="229">
        <v>-4.1999999999999997E-3</v>
      </c>
      <c r="CZ103" s="228">
        <v>34.14</v>
      </c>
      <c r="DA103" s="228">
        <v>36.340000000000003</v>
      </c>
      <c r="DB103" s="228">
        <v>-2.2000000000000002</v>
      </c>
      <c r="DC103" s="228">
        <v>-2.2000000000000002</v>
      </c>
      <c r="DD103" s="228">
        <v>34.11</v>
      </c>
      <c r="DE103" s="228">
        <v>34.15</v>
      </c>
      <c r="DF103" s="228">
        <v>0.03</v>
      </c>
      <c r="DG103" s="228">
        <v>-0.04</v>
      </c>
      <c r="DH103" s="228">
        <v>32.92</v>
      </c>
      <c r="DI103" s="228">
        <v>35.03</v>
      </c>
      <c r="DJ103" s="228">
        <v>-2.11</v>
      </c>
      <c r="DK103" s="228">
        <v>-2.11</v>
      </c>
      <c r="DL103" s="228">
        <v>36.18</v>
      </c>
      <c r="DM103" s="228">
        <v>38.07</v>
      </c>
      <c r="DN103" s="228">
        <v>-1.89</v>
      </c>
      <c r="DO103" s="228">
        <v>-1.89</v>
      </c>
      <c r="DP103" s="228">
        <v>0.73</v>
      </c>
      <c r="DQ103" s="228">
        <v>0.72</v>
      </c>
      <c r="DR103" s="228">
        <v>0.01</v>
      </c>
      <c r="DS103" s="229">
        <v>1.3899999999999999E-2</v>
      </c>
      <c r="DT103" s="228">
        <v>150</v>
      </c>
      <c r="DU103" s="228">
        <v>140</v>
      </c>
      <c r="DV103" s="228">
        <v>0.6</v>
      </c>
      <c r="DW103" s="228">
        <v>0.76</v>
      </c>
      <c r="DX103" s="228">
        <v>-0.16</v>
      </c>
      <c r="DY103" s="229">
        <v>-0.21049999999999999</v>
      </c>
      <c r="DZ103" s="229">
        <v>0.1076</v>
      </c>
      <c r="EA103" s="230">
        <v>10135125</v>
      </c>
      <c r="EB103" s="229">
        <v>5.5999999999999999E-3</v>
      </c>
      <c r="EC103" s="229">
        <v>0.1076</v>
      </c>
      <c r="ED103" s="228">
        <v>0.82</v>
      </c>
      <c r="EE103" s="229">
        <v>5.5999999999999999E-3</v>
      </c>
      <c r="EF103" s="230">
        <v>6337224</v>
      </c>
      <c r="EG103" s="230">
        <v>7352295</v>
      </c>
      <c r="EH103" s="229">
        <v>-0.1381</v>
      </c>
      <c r="EI103" s="229">
        <v>0.51229999999999998</v>
      </c>
      <c r="EJ103" s="231">
        <v>54206.6</v>
      </c>
      <c r="EK103" s="231">
        <v>29738.639999999999</v>
      </c>
      <c r="EL103" s="231">
        <v>19578.939999999999</v>
      </c>
      <c r="EM103" s="231">
        <v>3564</v>
      </c>
      <c r="EN103" s="231">
        <v>103524.18</v>
      </c>
      <c r="EO103" s="231">
        <v>107389.7</v>
      </c>
      <c r="EP103" s="231">
        <v>-3865.52</v>
      </c>
      <c r="EQ103" s="229">
        <v>-3.5999999999999997E-2</v>
      </c>
      <c r="ER103" s="231">
        <v>98732</v>
      </c>
      <c r="ES103" s="231">
        <v>66401</v>
      </c>
      <c r="ET103" s="231">
        <v>149980</v>
      </c>
      <c r="EU103" s="231">
        <v>684903861</v>
      </c>
      <c r="EV103" s="231">
        <v>315113</v>
      </c>
      <c r="EW103" s="231">
        <v>314323</v>
      </c>
      <c r="EX103" s="228">
        <v>790</v>
      </c>
      <c r="EY103" s="229">
        <v>2.5000000000000001E-3</v>
      </c>
      <c r="EZ103" s="229">
        <v>0.31309999999999999</v>
      </c>
      <c r="FA103" s="227" t="s">
        <v>693</v>
      </c>
      <c r="FB103" s="161">
        <f t="shared" si="1"/>
        <v>11022375</v>
      </c>
    </row>
    <row r="104" spans="1:158" ht="17.25" thickBot="1" x14ac:dyDescent="0.3">
      <c r="A104" s="226">
        <v>46129</v>
      </c>
      <c r="B104" s="227" t="s">
        <v>175</v>
      </c>
      <c r="C104" s="227" t="s">
        <v>663</v>
      </c>
      <c r="D104" s="228">
        <v>3450</v>
      </c>
      <c r="E104" s="228">
        <v>133.36000000000001</v>
      </c>
      <c r="F104" s="228">
        <v>129.68</v>
      </c>
      <c r="G104" s="228">
        <v>3.68</v>
      </c>
      <c r="H104" s="229">
        <v>2.8400000000000002E-2</v>
      </c>
      <c r="I104" s="228">
        <v>133.01</v>
      </c>
      <c r="J104" s="228">
        <v>129.43</v>
      </c>
      <c r="K104" s="228">
        <v>3.58</v>
      </c>
      <c r="L104" s="229">
        <v>2.7699999999999999E-2</v>
      </c>
      <c r="M104" s="228">
        <v>133.36000000000001</v>
      </c>
      <c r="N104" s="228">
        <v>129.68</v>
      </c>
      <c r="O104" s="228">
        <v>3.68</v>
      </c>
      <c r="P104" s="229">
        <v>2.8400000000000002E-2</v>
      </c>
      <c r="Q104" s="228">
        <v>131.13</v>
      </c>
      <c r="R104" s="228">
        <v>127.32</v>
      </c>
      <c r="S104" s="228">
        <v>3.81</v>
      </c>
      <c r="T104" s="229">
        <v>2.9899999999999999E-2</v>
      </c>
      <c r="U104" s="228">
        <v>129.97</v>
      </c>
      <c r="V104" s="228">
        <v>126.45</v>
      </c>
      <c r="W104" s="228">
        <v>3.52</v>
      </c>
      <c r="X104" s="229">
        <v>2.7799999999999998E-2</v>
      </c>
      <c r="Y104" s="228">
        <v>0.35</v>
      </c>
      <c r="Z104" s="228">
        <v>0.25</v>
      </c>
      <c r="AA104" s="228">
        <v>0.1</v>
      </c>
      <c r="AB104" s="229">
        <v>2.5999999999999999E-3</v>
      </c>
      <c r="AC104" s="228">
        <v>0.35</v>
      </c>
      <c r="AD104" s="228">
        <v>0.25</v>
      </c>
      <c r="AE104" s="228">
        <v>0.1</v>
      </c>
      <c r="AF104" s="229">
        <v>2.5999999999999999E-3</v>
      </c>
      <c r="AG104" s="228">
        <v>-1.88</v>
      </c>
      <c r="AH104" s="228">
        <v>-2.11</v>
      </c>
      <c r="AI104" s="228">
        <v>0.23</v>
      </c>
      <c r="AJ104" s="229">
        <v>-1.41E-2</v>
      </c>
      <c r="AK104" s="228">
        <v>-3.04</v>
      </c>
      <c r="AL104" s="228">
        <v>-2.98</v>
      </c>
      <c r="AM104" s="228">
        <v>-0.06</v>
      </c>
      <c r="AN104" s="229">
        <v>-2.29E-2</v>
      </c>
      <c r="AO104" s="228">
        <v>132.97</v>
      </c>
      <c r="AP104" s="228">
        <v>130.5</v>
      </c>
      <c r="AQ104" s="228">
        <v>0</v>
      </c>
      <c r="AR104" s="230">
        <v>24743400</v>
      </c>
      <c r="AS104" s="230">
        <v>20606850</v>
      </c>
      <c r="AT104" s="230">
        <v>4136550</v>
      </c>
      <c r="AU104" s="229">
        <v>0.20069999999999999</v>
      </c>
      <c r="AV104" s="230">
        <v>17736450</v>
      </c>
      <c r="AW104" s="230">
        <v>13706850</v>
      </c>
      <c r="AX104" s="230">
        <v>4029600</v>
      </c>
      <c r="AY104" s="229">
        <v>0.29399999999999998</v>
      </c>
      <c r="AZ104" s="230">
        <v>6096150</v>
      </c>
      <c r="BA104" s="230">
        <v>5858100</v>
      </c>
      <c r="BB104" s="230">
        <v>238050</v>
      </c>
      <c r="BC104" s="229">
        <v>4.0599999999999997E-2</v>
      </c>
      <c r="BD104" s="230">
        <v>910800</v>
      </c>
      <c r="BE104" s="230">
        <v>1041900</v>
      </c>
      <c r="BF104" s="230">
        <v>-131100</v>
      </c>
      <c r="BG104" s="229">
        <v>-0.1258</v>
      </c>
      <c r="BH104" s="230">
        <v>51536100</v>
      </c>
      <c r="BI104" s="230">
        <v>41034300</v>
      </c>
      <c r="BJ104" s="230">
        <v>10501800</v>
      </c>
      <c r="BK104" s="229">
        <v>0.25590000000000002</v>
      </c>
      <c r="BL104" s="230">
        <v>16673850</v>
      </c>
      <c r="BM104" s="230">
        <v>15728550</v>
      </c>
      <c r="BN104" s="230">
        <v>945300</v>
      </c>
      <c r="BO104" s="229">
        <v>6.0100000000000001E-2</v>
      </c>
      <c r="BP104" s="230">
        <v>92953350</v>
      </c>
      <c r="BQ104" s="230">
        <v>77369700</v>
      </c>
      <c r="BR104" s="230">
        <v>15583650</v>
      </c>
      <c r="BS104" s="229">
        <v>0.2014</v>
      </c>
      <c r="BT104" s="230">
        <v>17993401</v>
      </c>
      <c r="BU104" s="230">
        <v>18909511</v>
      </c>
      <c r="BV104" s="230">
        <v>-916110</v>
      </c>
      <c r="BW104" s="229">
        <v>-4.8399999999999999E-2</v>
      </c>
      <c r="BX104" s="230">
        <v>57973800</v>
      </c>
      <c r="BY104" s="230">
        <v>55403550</v>
      </c>
      <c r="BZ104" s="230">
        <v>2570250</v>
      </c>
      <c r="CA104" s="229">
        <v>4.6399999999999997E-2</v>
      </c>
      <c r="CB104" s="230">
        <v>42438450</v>
      </c>
      <c r="CC104" s="230">
        <v>41789850</v>
      </c>
      <c r="CD104" s="230">
        <v>648600</v>
      </c>
      <c r="CE104" s="229">
        <v>1.55E-2</v>
      </c>
      <c r="CF104" s="230">
        <v>12940950</v>
      </c>
      <c r="CG104" s="230">
        <v>11195250</v>
      </c>
      <c r="CH104" s="230">
        <v>1745700</v>
      </c>
      <c r="CI104" s="229">
        <v>0.15590000000000001</v>
      </c>
      <c r="CJ104" s="230">
        <v>2594400</v>
      </c>
      <c r="CK104" s="230">
        <v>2418450</v>
      </c>
      <c r="CL104" s="230">
        <v>175950</v>
      </c>
      <c r="CM104" s="229">
        <v>7.2800000000000004E-2</v>
      </c>
      <c r="CN104" s="230">
        <v>24960750</v>
      </c>
      <c r="CO104" s="230">
        <v>23397900</v>
      </c>
      <c r="CP104" s="230">
        <v>1562850</v>
      </c>
      <c r="CQ104" s="229">
        <v>6.6799999999999998E-2</v>
      </c>
      <c r="CR104" s="230">
        <v>19706400</v>
      </c>
      <c r="CS104" s="230">
        <v>18892200</v>
      </c>
      <c r="CT104" s="230">
        <v>814200</v>
      </c>
      <c r="CU104" s="229">
        <v>4.3099999999999999E-2</v>
      </c>
      <c r="CV104" s="230">
        <v>102640950</v>
      </c>
      <c r="CW104" s="230">
        <v>97693650</v>
      </c>
      <c r="CX104" s="230">
        <v>4947300</v>
      </c>
      <c r="CY104" s="229">
        <v>5.0599999999999999E-2</v>
      </c>
      <c r="CZ104" s="228">
        <v>41.7</v>
      </c>
      <c r="DA104" s="228">
        <v>42.53</v>
      </c>
      <c r="DB104" s="228">
        <v>-0.83</v>
      </c>
      <c r="DC104" s="228">
        <v>-0.83</v>
      </c>
      <c r="DD104" s="228">
        <v>48.69</v>
      </c>
      <c r="DE104" s="228">
        <v>48.66</v>
      </c>
      <c r="DF104" s="228">
        <v>-6.99</v>
      </c>
      <c r="DG104" s="228">
        <v>0.03</v>
      </c>
      <c r="DH104" s="228">
        <v>40.909999999999997</v>
      </c>
      <c r="DI104" s="228">
        <v>41.98</v>
      </c>
      <c r="DJ104" s="228">
        <v>-1.07</v>
      </c>
      <c r="DK104" s="228">
        <v>-1.07</v>
      </c>
      <c r="DL104" s="228">
        <v>44.15</v>
      </c>
      <c r="DM104" s="228">
        <v>43.96</v>
      </c>
      <c r="DN104" s="228">
        <v>0.19</v>
      </c>
      <c r="DO104" s="228">
        <v>0.19</v>
      </c>
      <c r="DP104" s="228">
        <v>0.79</v>
      </c>
      <c r="DQ104" s="228">
        <v>0.81</v>
      </c>
      <c r="DR104" s="228">
        <v>-0.02</v>
      </c>
      <c r="DS104" s="229">
        <v>-2.47E-2</v>
      </c>
      <c r="DT104" s="228">
        <v>140</v>
      </c>
      <c r="DU104" s="228">
        <v>120</v>
      </c>
      <c r="DV104" s="228">
        <v>0.32</v>
      </c>
      <c r="DW104" s="228">
        <v>0.38</v>
      </c>
      <c r="DX104" s="228">
        <v>-0.06</v>
      </c>
      <c r="DY104" s="229">
        <v>-0.15790000000000001</v>
      </c>
      <c r="DZ104" s="229">
        <v>0.26800000000000002</v>
      </c>
      <c r="EA104" s="230">
        <v>13613700</v>
      </c>
      <c r="EB104" s="229">
        <v>-1.67E-2</v>
      </c>
      <c r="EC104" s="229">
        <v>0.26800000000000002</v>
      </c>
      <c r="ED104" s="228">
        <v>-2.4700000000000002</v>
      </c>
      <c r="EE104" s="229">
        <v>-1.8599999999999998E-2</v>
      </c>
      <c r="EF104" s="230">
        <v>5447035</v>
      </c>
      <c r="EG104" s="230">
        <v>4546369</v>
      </c>
      <c r="EH104" s="229">
        <v>0.1981</v>
      </c>
      <c r="EI104" s="229">
        <v>0.30270000000000002</v>
      </c>
      <c r="EJ104" s="231">
        <v>71592.14</v>
      </c>
      <c r="EK104" s="231">
        <v>21408.39</v>
      </c>
      <c r="EL104" s="231">
        <v>32716.53</v>
      </c>
      <c r="EM104" s="231">
        <v>4221</v>
      </c>
      <c r="EN104" s="231">
        <v>125717.06</v>
      </c>
      <c r="EO104" s="231">
        <v>101672.68</v>
      </c>
      <c r="EP104" s="231">
        <v>24044.38</v>
      </c>
      <c r="EQ104" s="229">
        <v>0.23649999999999999</v>
      </c>
      <c r="ER104" s="231">
        <v>32562</v>
      </c>
      <c r="ES104" s="231">
        <v>24132</v>
      </c>
      <c r="ET104" s="231">
        <v>76937</v>
      </c>
      <c r="EU104" s="231">
        <v>119011160</v>
      </c>
      <c r="EV104" s="231">
        <v>133631</v>
      </c>
      <c r="EW104" s="231">
        <v>124348</v>
      </c>
      <c r="EX104" s="231">
        <v>9283</v>
      </c>
      <c r="EY104" s="229">
        <v>7.4700000000000003E-2</v>
      </c>
      <c r="EZ104" s="229">
        <v>0.86240000000000006</v>
      </c>
      <c r="FA104" s="227" t="s">
        <v>555</v>
      </c>
      <c r="FB104" s="161">
        <f t="shared" si="1"/>
        <v>15535350</v>
      </c>
    </row>
    <row r="105" spans="1:158" ht="17.25" thickBot="1" x14ac:dyDescent="0.3">
      <c r="A105" s="226">
        <v>46129</v>
      </c>
      <c r="B105" s="227" t="s">
        <v>215</v>
      </c>
      <c r="C105" s="227" t="s">
        <v>591</v>
      </c>
      <c r="D105" s="228">
        <v>4250</v>
      </c>
      <c r="E105" s="228">
        <v>104.84</v>
      </c>
      <c r="F105" s="228">
        <v>103.62</v>
      </c>
      <c r="G105" s="228">
        <v>1.22</v>
      </c>
      <c r="H105" s="229">
        <v>1.18E-2</v>
      </c>
      <c r="I105" s="228">
        <v>104.84</v>
      </c>
      <c r="J105" s="228">
        <v>103.24</v>
      </c>
      <c r="K105" s="228">
        <v>1.6</v>
      </c>
      <c r="L105" s="229">
        <v>1.55E-2</v>
      </c>
      <c r="M105" s="228">
        <v>104.84</v>
      </c>
      <c r="N105" s="228">
        <v>103.62</v>
      </c>
      <c r="O105" s="228">
        <v>1.22</v>
      </c>
      <c r="P105" s="229">
        <v>1.18E-2</v>
      </c>
      <c r="Q105" s="228">
        <v>103.8</v>
      </c>
      <c r="R105" s="228">
        <v>102.51</v>
      </c>
      <c r="S105" s="228">
        <v>1.29</v>
      </c>
      <c r="T105" s="229">
        <v>1.26E-2</v>
      </c>
      <c r="U105" s="228">
        <v>103.4</v>
      </c>
      <c r="V105" s="228">
        <v>102.07</v>
      </c>
      <c r="W105" s="228">
        <v>1.33</v>
      </c>
      <c r="X105" s="229">
        <v>1.2999999999999999E-2</v>
      </c>
      <c r="Y105" s="228">
        <v>0</v>
      </c>
      <c r="Z105" s="228">
        <v>0.38</v>
      </c>
      <c r="AA105" s="228">
        <v>-0.38</v>
      </c>
      <c r="AB105" s="229">
        <v>0</v>
      </c>
      <c r="AC105" s="228">
        <v>0</v>
      </c>
      <c r="AD105" s="228">
        <v>0.38</v>
      </c>
      <c r="AE105" s="228">
        <v>-0.38</v>
      </c>
      <c r="AF105" s="229">
        <v>0</v>
      </c>
      <c r="AG105" s="228">
        <v>-1.04</v>
      </c>
      <c r="AH105" s="228">
        <v>-0.73</v>
      </c>
      <c r="AI105" s="228">
        <v>-0.31</v>
      </c>
      <c r="AJ105" s="229">
        <v>-9.9000000000000008E-3</v>
      </c>
      <c r="AK105" s="228">
        <v>-1.44</v>
      </c>
      <c r="AL105" s="228">
        <v>-1.17</v>
      </c>
      <c r="AM105" s="228">
        <v>-0.27</v>
      </c>
      <c r="AN105" s="229">
        <v>-1.37E-2</v>
      </c>
      <c r="AO105" s="228">
        <v>105.08</v>
      </c>
      <c r="AP105" s="228">
        <v>103.92</v>
      </c>
      <c r="AQ105" s="228">
        <v>0</v>
      </c>
      <c r="AR105" s="230">
        <v>18228250</v>
      </c>
      <c r="AS105" s="230">
        <v>13791250</v>
      </c>
      <c r="AT105" s="230">
        <v>4437000</v>
      </c>
      <c r="AU105" s="229">
        <v>0.32169999999999999</v>
      </c>
      <c r="AV105" s="230">
        <v>13183500</v>
      </c>
      <c r="AW105" s="230">
        <v>9936500</v>
      </c>
      <c r="AX105" s="230">
        <v>3247000</v>
      </c>
      <c r="AY105" s="229">
        <v>0.32679999999999998</v>
      </c>
      <c r="AZ105" s="230">
        <v>3969500</v>
      </c>
      <c r="BA105" s="230">
        <v>3213000</v>
      </c>
      <c r="BB105" s="230">
        <v>756500</v>
      </c>
      <c r="BC105" s="229">
        <v>0.2354</v>
      </c>
      <c r="BD105" s="230">
        <v>1075250</v>
      </c>
      <c r="BE105" s="230">
        <v>641750</v>
      </c>
      <c r="BF105" s="230">
        <v>433500</v>
      </c>
      <c r="BG105" s="229">
        <v>0.67549999999999999</v>
      </c>
      <c r="BH105" s="230">
        <v>73686500</v>
      </c>
      <c r="BI105" s="230">
        <v>65811250</v>
      </c>
      <c r="BJ105" s="230">
        <v>7875250</v>
      </c>
      <c r="BK105" s="229">
        <v>0.1197</v>
      </c>
      <c r="BL105" s="230">
        <v>28844750</v>
      </c>
      <c r="BM105" s="230">
        <v>23617250</v>
      </c>
      <c r="BN105" s="230">
        <v>5227500</v>
      </c>
      <c r="BO105" s="229">
        <v>0.2213</v>
      </c>
      <c r="BP105" s="230">
        <v>120759500</v>
      </c>
      <c r="BQ105" s="230">
        <v>103219750</v>
      </c>
      <c r="BR105" s="230">
        <v>17539750</v>
      </c>
      <c r="BS105" s="229">
        <v>0.1699</v>
      </c>
      <c r="BT105" s="230">
        <v>35294190</v>
      </c>
      <c r="BU105" s="230">
        <v>23842807</v>
      </c>
      <c r="BV105" s="230">
        <v>11451383</v>
      </c>
      <c r="BW105" s="229">
        <v>0.4803</v>
      </c>
      <c r="BX105" s="230">
        <v>59262000</v>
      </c>
      <c r="BY105" s="230">
        <v>58169750</v>
      </c>
      <c r="BZ105" s="230">
        <v>1092250</v>
      </c>
      <c r="CA105" s="229">
        <v>1.8800000000000001E-2</v>
      </c>
      <c r="CB105" s="230">
        <v>45283750</v>
      </c>
      <c r="CC105" s="230">
        <v>45343250</v>
      </c>
      <c r="CD105" s="230">
        <v>-59500</v>
      </c>
      <c r="CE105" s="229">
        <v>-1.2999999999999999E-3</v>
      </c>
      <c r="CF105" s="230">
        <v>12027500</v>
      </c>
      <c r="CG105" s="230">
        <v>11207250</v>
      </c>
      <c r="CH105" s="230">
        <v>820250</v>
      </c>
      <c r="CI105" s="229">
        <v>7.3200000000000001E-2</v>
      </c>
      <c r="CJ105" s="230">
        <v>1950750</v>
      </c>
      <c r="CK105" s="230">
        <v>1619250</v>
      </c>
      <c r="CL105" s="230">
        <v>331500</v>
      </c>
      <c r="CM105" s="229">
        <v>0.20469999999999999</v>
      </c>
      <c r="CN105" s="230">
        <v>42334250</v>
      </c>
      <c r="CO105" s="230">
        <v>39707750</v>
      </c>
      <c r="CP105" s="230">
        <v>2626500</v>
      </c>
      <c r="CQ105" s="229">
        <v>6.6100000000000006E-2</v>
      </c>
      <c r="CR105" s="230">
        <v>30285500</v>
      </c>
      <c r="CS105" s="230">
        <v>29886000</v>
      </c>
      <c r="CT105" s="230">
        <v>399500</v>
      </c>
      <c r="CU105" s="229">
        <v>1.34E-2</v>
      </c>
      <c r="CV105" s="230">
        <v>131881750</v>
      </c>
      <c r="CW105" s="230">
        <v>127763500</v>
      </c>
      <c r="CX105" s="230">
        <v>4118250</v>
      </c>
      <c r="CY105" s="229">
        <v>3.2199999999999999E-2</v>
      </c>
      <c r="CZ105" s="228">
        <v>38.06</v>
      </c>
      <c r="DA105" s="228">
        <v>39.159999999999997</v>
      </c>
      <c r="DB105" s="228">
        <v>-1.1000000000000001</v>
      </c>
      <c r="DC105" s="228">
        <v>-1.1000000000000001</v>
      </c>
      <c r="DD105" s="228">
        <v>45.78</v>
      </c>
      <c r="DE105" s="228">
        <v>45.87</v>
      </c>
      <c r="DF105" s="228">
        <v>-7.72</v>
      </c>
      <c r="DG105" s="228">
        <v>-0.09</v>
      </c>
      <c r="DH105" s="228">
        <v>37.24</v>
      </c>
      <c r="DI105" s="228">
        <v>37.57</v>
      </c>
      <c r="DJ105" s="228">
        <v>-0.33</v>
      </c>
      <c r="DK105" s="228">
        <v>-0.33</v>
      </c>
      <c r="DL105" s="228">
        <v>40.17</v>
      </c>
      <c r="DM105" s="228">
        <v>43.57</v>
      </c>
      <c r="DN105" s="228">
        <v>-3.4</v>
      </c>
      <c r="DO105" s="228">
        <v>-3.4</v>
      </c>
      <c r="DP105" s="228">
        <v>0.72</v>
      </c>
      <c r="DQ105" s="228">
        <v>0.75</v>
      </c>
      <c r="DR105" s="228">
        <v>-0.03</v>
      </c>
      <c r="DS105" s="229">
        <v>-0.04</v>
      </c>
      <c r="DT105" s="228">
        <v>110</v>
      </c>
      <c r="DU105" s="228">
        <v>90</v>
      </c>
      <c r="DV105" s="228">
        <v>0.39</v>
      </c>
      <c r="DW105" s="228">
        <v>0.36</v>
      </c>
      <c r="DX105" s="228">
        <v>0.03</v>
      </c>
      <c r="DY105" s="229">
        <v>8.3299999999999999E-2</v>
      </c>
      <c r="DZ105" s="229">
        <v>0.2359</v>
      </c>
      <c r="EA105" s="230">
        <v>12826500</v>
      </c>
      <c r="EB105" s="229">
        <v>-9.9000000000000008E-3</v>
      </c>
      <c r="EC105" s="229">
        <v>0.2359</v>
      </c>
      <c r="ED105" s="228">
        <v>-1.1599999999999999</v>
      </c>
      <c r="EE105" s="229">
        <v>-1.0999999999999999E-2</v>
      </c>
      <c r="EF105" s="230">
        <v>8283457</v>
      </c>
      <c r="EG105" s="230">
        <v>6063769</v>
      </c>
      <c r="EH105" s="229">
        <v>0.36609999999999998</v>
      </c>
      <c r="EI105" s="229">
        <v>0.23469999999999999</v>
      </c>
      <c r="EJ105" s="231">
        <v>81456.56</v>
      </c>
      <c r="EK105" s="231">
        <v>29195.32</v>
      </c>
      <c r="EL105" s="231">
        <v>19090.59</v>
      </c>
      <c r="EM105" s="231">
        <v>3085</v>
      </c>
      <c r="EN105" s="231">
        <v>129742.47</v>
      </c>
      <c r="EO105" s="231">
        <v>109522.09</v>
      </c>
      <c r="EP105" s="231">
        <v>20220.38</v>
      </c>
      <c r="EQ105" s="229">
        <v>0.18459999999999999</v>
      </c>
      <c r="ER105" s="231">
        <v>45090</v>
      </c>
      <c r="ES105" s="231">
        <v>29391</v>
      </c>
      <c r="ET105" s="231">
        <v>61977</v>
      </c>
      <c r="EU105" s="231">
        <v>267310350</v>
      </c>
      <c r="EV105" s="231">
        <v>136458</v>
      </c>
      <c r="EW105" s="231">
        <v>130985</v>
      </c>
      <c r="EX105" s="231">
        <v>5473</v>
      </c>
      <c r="EY105" s="229">
        <v>4.1799999999999997E-2</v>
      </c>
      <c r="EZ105" s="229">
        <v>0.49340000000000001</v>
      </c>
      <c r="FA105" s="227" t="s">
        <v>555</v>
      </c>
      <c r="FB105" s="161">
        <f t="shared" si="1"/>
        <v>13978250</v>
      </c>
    </row>
    <row r="106" spans="1:158" ht="17.25" thickBot="1" x14ac:dyDescent="0.3">
      <c r="A106" s="226">
        <v>46129</v>
      </c>
      <c r="B106" s="227" t="s">
        <v>168</v>
      </c>
      <c r="C106" s="227" t="s">
        <v>242</v>
      </c>
      <c r="D106" s="228">
        <v>1600</v>
      </c>
      <c r="E106" s="228">
        <v>307.5</v>
      </c>
      <c r="F106" s="228">
        <v>303.75</v>
      </c>
      <c r="G106" s="228">
        <v>3.75</v>
      </c>
      <c r="H106" s="229">
        <v>1.23E-2</v>
      </c>
      <c r="I106" s="228">
        <v>306.8</v>
      </c>
      <c r="J106" s="228">
        <v>303.39999999999998</v>
      </c>
      <c r="K106" s="228">
        <v>3.4</v>
      </c>
      <c r="L106" s="229">
        <v>1.12E-2</v>
      </c>
      <c r="M106" s="228">
        <v>307.5</v>
      </c>
      <c r="N106" s="228">
        <v>303.75</v>
      </c>
      <c r="O106" s="228">
        <v>3.75</v>
      </c>
      <c r="P106" s="229">
        <v>1.23E-2</v>
      </c>
      <c r="Q106" s="228">
        <v>309.25</v>
      </c>
      <c r="R106" s="228">
        <v>305.55</v>
      </c>
      <c r="S106" s="228">
        <v>3.7</v>
      </c>
      <c r="T106" s="229">
        <v>1.21E-2</v>
      </c>
      <c r="U106" s="228">
        <v>311.14999999999998</v>
      </c>
      <c r="V106" s="228">
        <v>307.2</v>
      </c>
      <c r="W106" s="228">
        <v>3.95</v>
      </c>
      <c r="X106" s="229">
        <v>1.29E-2</v>
      </c>
      <c r="Y106" s="228">
        <v>0.7</v>
      </c>
      <c r="Z106" s="228">
        <v>0.35</v>
      </c>
      <c r="AA106" s="228">
        <v>0.35</v>
      </c>
      <c r="AB106" s="229">
        <v>2.3E-3</v>
      </c>
      <c r="AC106" s="228">
        <v>0.7</v>
      </c>
      <c r="AD106" s="228">
        <v>0.35</v>
      </c>
      <c r="AE106" s="228">
        <v>0.35</v>
      </c>
      <c r="AF106" s="229">
        <v>2.3E-3</v>
      </c>
      <c r="AG106" s="228">
        <v>2.4500000000000002</v>
      </c>
      <c r="AH106" s="228">
        <v>2.15</v>
      </c>
      <c r="AI106" s="228">
        <v>0.3</v>
      </c>
      <c r="AJ106" s="229">
        <v>8.0000000000000002E-3</v>
      </c>
      <c r="AK106" s="228">
        <v>4.3499999999999996</v>
      </c>
      <c r="AL106" s="228">
        <v>3.8</v>
      </c>
      <c r="AM106" s="228">
        <v>0.55000000000000004</v>
      </c>
      <c r="AN106" s="229">
        <v>1.4200000000000001E-2</v>
      </c>
      <c r="AO106" s="228">
        <v>308.2</v>
      </c>
      <c r="AP106" s="228">
        <v>309.83999999999997</v>
      </c>
      <c r="AQ106" s="228">
        <v>0</v>
      </c>
      <c r="AR106" s="230">
        <v>33737600</v>
      </c>
      <c r="AS106" s="230">
        <v>12070400</v>
      </c>
      <c r="AT106" s="230">
        <v>21667200</v>
      </c>
      <c r="AU106" s="229">
        <v>1.7950999999999999</v>
      </c>
      <c r="AV106" s="230">
        <v>25648000</v>
      </c>
      <c r="AW106" s="230">
        <v>9624000</v>
      </c>
      <c r="AX106" s="230">
        <v>16024000</v>
      </c>
      <c r="AY106" s="229">
        <v>1.665</v>
      </c>
      <c r="AZ106" s="230">
        <v>5473600</v>
      </c>
      <c r="BA106" s="230">
        <v>1977600</v>
      </c>
      <c r="BB106" s="230">
        <v>3496000</v>
      </c>
      <c r="BC106" s="229">
        <v>1.7678</v>
      </c>
      <c r="BD106" s="230">
        <v>2616000</v>
      </c>
      <c r="BE106" s="230">
        <v>468800</v>
      </c>
      <c r="BF106" s="230">
        <v>2147200</v>
      </c>
      <c r="BG106" s="229">
        <v>4.5801999999999996</v>
      </c>
      <c r="BH106" s="230">
        <v>285123200</v>
      </c>
      <c r="BI106" s="230">
        <v>78937600</v>
      </c>
      <c r="BJ106" s="230">
        <v>206185600</v>
      </c>
      <c r="BK106" s="229">
        <v>2.6120000000000001</v>
      </c>
      <c r="BL106" s="230">
        <v>122124800</v>
      </c>
      <c r="BM106" s="230">
        <v>37276800</v>
      </c>
      <c r="BN106" s="230">
        <v>84848000</v>
      </c>
      <c r="BO106" s="229">
        <v>2.2761999999999998</v>
      </c>
      <c r="BP106" s="230">
        <v>440985600</v>
      </c>
      <c r="BQ106" s="230">
        <v>128284800</v>
      </c>
      <c r="BR106" s="230">
        <v>312700800</v>
      </c>
      <c r="BS106" s="229">
        <v>2.4376000000000002</v>
      </c>
      <c r="BT106" s="230">
        <v>36660208</v>
      </c>
      <c r="BU106" s="230">
        <v>17995611</v>
      </c>
      <c r="BV106" s="230">
        <v>18664597</v>
      </c>
      <c r="BW106" s="229">
        <v>1.0371999999999999</v>
      </c>
      <c r="BX106" s="230">
        <v>165144000</v>
      </c>
      <c r="BY106" s="230">
        <v>163216000</v>
      </c>
      <c r="BZ106" s="230">
        <v>1928000</v>
      </c>
      <c r="CA106" s="229">
        <v>1.18E-2</v>
      </c>
      <c r="CB106" s="230">
        <v>143740800</v>
      </c>
      <c r="CC106" s="230">
        <v>146020800</v>
      </c>
      <c r="CD106" s="230">
        <v>-2280000</v>
      </c>
      <c r="CE106" s="229">
        <v>-1.5599999999999999E-2</v>
      </c>
      <c r="CF106" s="230">
        <v>17001600</v>
      </c>
      <c r="CG106" s="230">
        <v>14900800</v>
      </c>
      <c r="CH106" s="230">
        <v>2100800</v>
      </c>
      <c r="CI106" s="229">
        <v>0.14099999999999999</v>
      </c>
      <c r="CJ106" s="230">
        <v>4401600</v>
      </c>
      <c r="CK106" s="230">
        <v>2294400</v>
      </c>
      <c r="CL106" s="230">
        <v>2107200</v>
      </c>
      <c r="CM106" s="229">
        <v>0.91839999999999999</v>
      </c>
      <c r="CN106" s="230">
        <v>114555200</v>
      </c>
      <c r="CO106" s="230">
        <v>98401600</v>
      </c>
      <c r="CP106" s="230">
        <v>16153600</v>
      </c>
      <c r="CQ106" s="229">
        <v>0.16420000000000001</v>
      </c>
      <c r="CR106" s="230">
        <v>57020800</v>
      </c>
      <c r="CS106" s="230">
        <v>51764800</v>
      </c>
      <c r="CT106" s="230">
        <v>5256000</v>
      </c>
      <c r="CU106" s="229">
        <v>0.10150000000000001</v>
      </c>
      <c r="CV106" s="230">
        <v>336720000</v>
      </c>
      <c r="CW106" s="230">
        <v>313382400</v>
      </c>
      <c r="CX106" s="230">
        <v>23337600</v>
      </c>
      <c r="CY106" s="229">
        <v>7.4499999999999997E-2</v>
      </c>
      <c r="CZ106" s="228">
        <v>20.91</v>
      </c>
      <c r="DA106" s="228">
        <v>20.91</v>
      </c>
      <c r="DB106" s="228">
        <v>0</v>
      </c>
      <c r="DC106" s="228">
        <v>0</v>
      </c>
      <c r="DD106" s="228">
        <v>24.47</v>
      </c>
      <c r="DE106" s="228">
        <v>24.48</v>
      </c>
      <c r="DF106" s="228">
        <v>-3.56</v>
      </c>
      <c r="DG106" s="228">
        <v>-0.01</v>
      </c>
      <c r="DH106" s="228">
        <v>20.54</v>
      </c>
      <c r="DI106" s="228">
        <v>20.14</v>
      </c>
      <c r="DJ106" s="228">
        <v>0.4</v>
      </c>
      <c r="DK106" s="228">
        <v>0.4</v>
      </c>
      <c r="DL106" s="228">
        <v>21.78</v>
      </c>
      <c r="DM106" s="228">
        <v>22.53</v>
      </c>
      <c r="DN106" s="228">
        <v>-0.75</v>
      </c>
      <c r="DO106" s="228">
        <v>-0.75</v>
      </c>
      <c r="DP106" s="228">
        <v>0.5</v>
      </c>
      <c r="DQ106" s="228">
        <v>0.53</v>
      </c>
      <c r="DR106" s="228">
        <v>-0.03</v>
      </c>
      <c r="DS106" s="229">
        <v>-5.6599999999999998E-2</v>
      </c>
      <c r="DT106" s="228">
        <v>300</v>
      </c>
      <c r="DU106" s="228">
        <v>300</v>
      </c>
      <c r="DV106" s="228">
        <v>0.43</v>
      </c>
      <c r="DW106" s="228">
        <v>0.47</v>
      </c>
      <c r="DX106" s="228">
        <v>-0.04</v>
      </c>
      <c r="DY106" s="229">
        <v>-8.5099999999999995E-2</v>
      </c>
      <c r="DZ106" s="229">
        <v>0.12959999999999999</v>
      </c>
      <c r="EA106" s="230">
        <v>17195200</v>
      </c>
      <c r="EB106" s="229">
        <v>5.7000000000000002E-3</v>
      </c>
      <c r="EC106" s="229">
        <v>0.12959999999999999</v>
      </c>
      <c r="ED106" s="228">
        <v>1.64</v>
      </c>
      <c r="EE106" s="229">
        <v>5.3E-3</v>
      </c>
      <c r="EF106" s="230">
        <v>17476483</v>
      </c>
      <c r="EG106" s="230">
        <v>8967548</v>
      </c>
      <c r="EH106" s="229">
        <v>0.94889999999999997</v>
      </c>
      <c r="EI106" s="229">
        <v>0.47670000000000001</v>
      </c>
      <c r="EJ106" s="231">
        <v>903423.43</v>
      </c>
      <c r="EK106" s="231">
        <v>367982.16</v>
      </c>
      <c r="EL106" s="231">
        <v>104147.34</v>
      </c>
      <c r="EM106" s="231">
        <v>7770</v>
      </c>
      <c r="EN106" s="231">
        <v>1375552.93</v>
      </c>
      <c r="EO106" s="231">
        <v>395265.01</v>
      </c>
      <c r="EP106" s="231">
        <v>980287.92</v>
      </c>
      <c r="EQ106" s="229">
        <v>2.4801000000000002</v>
      </c>
      <c r="ER106" s="231">
        <v>361432</v>
      </c>
      <c r="ES106" s="231">
        <v>170421</v>
      </c>
      <c r="ET106" s="231">
        <v>508276</v>
      </c>
      <c r="EU106" s="231">
        <v>1317896781</v>
      </c>
      <c r="EV106" s="231">
        <v>1040129</v>
      </c>
      <c r="EW106" s="231">
        <v>960147</v>
      </c>
      <c r="EX106" s="231">
        <v>79982</v>
      </c>
      <c r="EY106" s="229">
        <v>8.3299999999999999E-2</v>
      </c>
      <c r="EZ106" s="229">
        <v>0.2555</v>
      </c>
      <c r="FA106" s="227" t="s">
        <v>555</v>
      </c>
      <c r="FB106" s="161">
        <f t="shared" si="1"/>
        <v>21403200</v>
      </c>
    </row>
    <row r="107" spans="1:158" ht="17.25" thickBot="1" x14ac:dyDescent="0.3">
      <c r="A107" s="226">
        <v>46129</v>
      </c>
      <c r="B107" s="227" t="s">
        <v>227</v>
      </c>
      <c r="C107" s="227" t="s">
        <v>243</v>
      </c>
      <c r="D107" s="228">
        <v>625</v>
      </c>
      <c r="E107" s="231">
        <v>1271.4000000000001</v>
      </c>
      <c r="F107" s="231">
        <v>1230.9000000000001</v>
      </c>
      <c r="G107" s="228">
        <v>40.5</v>
      </c>
      <c r="H107" s="229">
        <v>3.2899999999999999E-2</v>
      </c>
      <c r="I107" s="231">
        <v>1270</v>
      </c>
      <c r="J107" s="231">
        <v>1228.3</v>
      </c>
      <c r="K107" s="228">
        <v>41.7</v>
      </c>
      <c r="L107" s="229">
        <v>3.39E-2</v>
      </c>
      <c r="M107" s="231">
        <v>1271.4000000000001</v>
      </c>
      <c r="N107" s="231">
        <v>1230.9000000000001</v>
      </c>
      <c r="O107" s="228">
        <v>40.5</v>
      </c>
      <c r="P107" s="229">
        <v>3.2899999999999999E-2</v>
      </c>
      <c r="Q107" s="231">
        <v>1277.2</v>
      </c>
      <c r="R107" s="231">
        <v>1237</v>
      </c>
      <c r="S107" s="228">
        <v>40.200000000000003</v>
      </c>
      <c r="T107" s="229">
        <v>3.2500000000000001E-2</v>
      </c>
      <c r="U107" s="231">
        <v>1284.3</v>
      </c>
      <c r="V107" s="231">
        <v>1240</v>
      </c>
      <c r="W107" s="228">
        <v>44.3</v>
      </c>
      <c r="X107" s="229">
        <v>3.5700000000000003E-2</v>
      </c>
      <c r="Y107" s="228">
        <v>1.4</v>
      </c>
      <c r="Z107" s="228">
        <v>2.6</v>
      </c>
      <c r="AA107" s="228">
        <v>-1.2</v>
      </c>
      <c r="AB107" s="229">
        <v>1.1000000000000001E-3</v>
      </c>
      <c r="AC107" s="228">
        <v>1.4</v>
      </c>
      <c r="AD107" s="228">
        <v>2.6</v>
      </c>
      <c r="AE107" s="228">
        <v>-1.2</v>
      </c>
      <c r="AF107" s="229">
        <v>1.1000000000000001E-3</v>
      </c>
      <c r="AG107" s="228">
        <v>7.2</v>
      </c>
      <c r="AH107" s="228">
        <v>8.6999999999999993</v>
      </c>
      <c r="AI107" s="228">
        <v>-1.5</v>
      </c>
      <c r="AJ107" s="229">
        <v>5.7000000000000002E-3</v>
      </c>
      <c r="AK107" s="228">
        <v>14.3</v>
      </c>
      <c r="AL107" s="228">
        <v>11.7</v>
      </c>
      <c r="AM107" s="228">
        <v>2.6</v>
      </c>
      <c r="AN107" s="229">
        <v>1.1299999999999999E-2</v>
      </c>
      <c r="AO107" s="231">
        <v>1259.8800000000001</v>
      </c>
      <c r="AP107" s="231">
        <v>1267.54</v>
      </c>
      <c r="AQ107" s="228">
        <v>0</v>
      </c>
      <c r="AR107" s="230">
        <v>3737500</v>
      </c>
      <c r="AS107" s="230">
        <v>1887500</v>
      </c>
      <c r="AT107" s="230">
        <v>1850000</v>
      </c>
      <c r="AU107" s="229">
        <v>0.98009999999999997</v>
      </c>
      <c r="AV107" s="230">
        <v>3385625</v>
      </c>
      <c r="AW107" s="230">
        <v>1747500</v>
      </c>
      <c r="AX107" s="230">
        <v>1638125</v>
      </c>
      <c r="AY107" s="229">
        <v>0.93740000000000001</v>
      </c>
      <c r="AZ107" s="230">
        <v>331875</v>
      </c>
      <c r="BA107" s="230">
        <v>133125</v>
      </c>
      <c r="BB107" s="230">
        <v>198750</v>
      </c>
      <c r="BC107" s="229">
        <v>1.4930000000000001</v>
      </c>
      <c r="BD107" s="230">
        <v>20000</v>
      </c>
      <c r="BE107" s="230">
        <v>6875</v>
      </c>
      <c r="BF107" s="230">
        <v>13125</v>
      </c>
      <c r="BG107" s="229">
        <v>1.9091</v>
      </c>
      <c r="BH107" s="230">
        <v>13189375</v>
      </c>
      <c r="BI107" s="230">
        <v>3925000</v>
      </c>
      <c r="BJ107" s="230">
        <v>9264375</v>
      </c>
      <c r="BK107" s="229">
        <v>2.3603999999999998</v>
      </c>
      <c r="BL107" s="230">
        <v>7981875</v>
      </c>
      <c r="BM107" s="230">
        <v>2107500</v>
      </c>
      <c r="BN107" s="230">
        <v>5874375</v>
      </c>
      <c r="BO107" s="229">
        <v>2.7873999999999999</v>
      </c>
      <c r="BP107" s="230">
        <v>24908750</v>
      </c>
      <c r="BQ107" s="230">
        <v>7920000</v>
      </c>
      <c r="BR107" s="230">
        <v>16988750</v>
      </c>
      <c r="BS107" s="229">
        <v>2.145</v>
      </c>
      <c r="BT107" s="230">
        <v>2982761</v>
      </c>
      <c r="BU107" s="230">
        <v>1424887</v>
      </c>
      <c r="BV107" s="230">
        <v>1557874</v>
      </c>
      <c r="BW107" s="229">
        <v>1.0932999999999999</v>
      </c>
      <c r="BX107" s="230">
        <v>12635000</v>
      </c>
      <c r="BY107" s="230">
        <v>12870625</v>
      </c>
      <c r="BZ107" s="230">
        <v>-235625</v>
      </c>
      <c r="CA107" s="229">
        <v>-1.83E-2</v>
      </c>
      <c r="CB107" s="230">
        <v>11075625</v>
      </c>
      <c r="CC107" s="230">
        <v>11369375</v>
      </c>
      <c r="CD107" s="230">
        <v>-293750</v>
      </c>
      <c r="CE107" s="229">
        <v>-2.58E-2</v>
      </c>
      <c r="CF107" s="230">
        <v>1533125</v>
      </c>
      <c r="CG107" s="230">
        <v>1482500</v>
      </c>
      <c r="CH107" s="230">
        <v>50625</v>
      </c>
      <c r="CI107" s="229">
        <v>3.4099999999999998E-2</v>
      </c>
      <c r="CJ107" s="230">
        <v>26250</v>
      </c>
      <c r="CK107" s="230">
        <v>18750</v>
      </c>
      <c r="CL107" s="230">
        <v>7500</v>
      </c>
      <c r="CM107" s="229">
        <v>0.4</v>
      </c>
      <c r="CN107" s="230">
        <v>3788125</v>
      </c>
      <c r="CO107" s="230">
        <v>3406250</v>
      </c>
      <c r="CP107" s="230">
        <v>381875</v>
      </c>
      <c r="CQ107" s="229">
        <v>0.11210000000000001</v>
      </c>
      <c r="CR107" s="230">
        <v>4120000</v>
      </c>
      <c r="CS107" s="230">
        <v>3343750</v>
      </c>
      <c r="CT107" s="230">
        <v>776250</v>
      </c>
      <c r="CU107" s="229">
        <v>0.2321</v>
      </c>
      <c r="CV107" s="230">
        <v>20543125</v>
      </c>
      <c r="CW107" s="230">
        <v>19620625</v>
      </c>
      <c r="CX107" s="230">
        <v>922500</v>
      </c>
      <c r="CY107" s="229">
        <v>4.7E-2</v>
      </c>
      <c r="CZ107" s="228">
        <v>31.22</v>
      </c>
      <c r="DA107" s="228">
        <v>31.3</v>
      </c>
      <c r="DB107" s="228">
        <v>-0.08</v>
      </c>
      <c r="DC107" s="228">
        <v>-0.08</v>
      </c>
      <c r="DD107" s="228">
        <v>38.07</v>
      </c>
      <c r="DE107" s="228">
        <v>37.9</v>
      </c>
      <c r="DF107" s="228">
        <v>-6.85</v>
      </c>
      <c r="DG107" s="228">
        <v>0.17</v>
      </c>
      <c r="DH107" s="228">
        <v>29.88</v>
      </c>
      <c r="DI107" s="228">
        <v>30.3</v>
      </c>
      <c r="DJ107" s="228">
        <v>-0.42</v>
      </c>
      <c r="DK107" s="228">
        <v>-0.42</v>
      </c>
      <c r="DL107" s="228">
        <v>33.42</v>
      </c>
      <c r="DM107" s="228">
        <v>33.159999999999997</v>
      </c>
      <c r="DN107" s="228">
        <v>0.26</v>
      </c>
      <c r="DO107" s="228">
        <v>0.26</v>
      </c>
      <c r="DP107" s="228">
        <v>1.0900000000000001</v>
      </c>
      <c r="DQ107" s="228">
        <v>0.98</v>
      </c>
      <c r="DR107" s="228">
        <v>0.11</v>
      </c>
      <c r="DS107" s="229">
        <v>0.11219999999999999</v>
      </c>
      <c r="DT107" s="231">
        <v>1200</v>
      </c>
      <c r="DU107" s="231">
        <v>1200</v>
      </c>
      <c r="DV107" s="228">
        <v>0.61</v>
      </c>
      <c r="DW107" s="228">
        <v>0.54</v>
      </c>
      <c r="DX107" s="228">
        <v>7.0000000000000007E-2</v>
      </c>
      <c r="DY107" s="229">
        <v>0.12959999999999999</v>
      </c>
      <c r="DZ107" s="229">
        <v>0.1234</v>
      </c>
      <c r="EA107" s="230">
        <v>1501250</v>
      </c>
      <c r="EB107" s="229">
        <v>4.5999999999999999E-3</v>
      </c>
      <c r="EC107" s="229">
        <v>0.1234</v>
      </c>
      <c r="ED107" s="228">
        <v>7.66</v>
      </c>
      <c r="EE107" s="229">
        <v>6.1000000000000004E-3</v>
      </c>
      <c r="EF107" s="230">
        <v>1297934</v>
      </c>
      <c r="EG107" s="230">
        <v>738484</v>
      </c>
      <c r="EH107" s="229">
        <v>0.75760000000000005</v>
      </c>
      <c r="EI107" s="229">
        <v>0.43509999999999999</v>
      </c>
      <c r="EJ107" s="231">
        <v>171945.39</v>
      </c>
      <c r="EK107" s="231">
        <v>97310.62</v>
      </c>
      <c r="EL107" s="231">
        <v>47115.63</v>
      </c>
      <c r="EM107" s="231">
        <v>3561</v>
      </c>
      <c r="EN107" s="231">
        <v>316371.64</v>
      </c>
      <c r="EO107" s="231">
        <v>98857.04</v>
      </c>
      <c r="EP107" s="231">
        <v>217514.6</v>
      </c>
      <c r="EQ107" s="229">
        <v>2.2002999999999999</v>
      </c>
      <c r="ER107" s="231">
        <v>47794</v>
      </c>
      <c r="ES107" s="231">
        <v>48078</v>
      </c>
      <c r="ET107" s="231">
        <v>160734</v>
      </c>
      <c r="EU107" s="231">
        <v>45844541</v>
      </c>
      <c r="EV107" s="231">
        <v>256606</v>
      </c>
      <c r="EW107" s="231">
        <v>239268</v>
      </c>
      <c r="EX107" s="231">
        <v>17338</v>
      </c>
      <c r="EY107" s="229">
        <v>7.2499999999999995E-2</v>
      </c>
      <c r="EZ107" s="229">
        <v>0.4481</v>
      </c>
      <c r="FA107" s="227" t="s">
        <v>693</v>
      </c>
      <c r="FB107" s="161">
        <f t="shared" si="1"/>
        <v>1559375</v>
      </c>
    </row>
    <row r="108" spans="1:158" ht="17.25" thickBot="1" x14ac:dyDescent="0.3">
      <c r="A108" s="226">
        <v>46129</v>
      </c>
      <c r="B108" s="227" t="s">
        <v>175</v>
      </c>
      <c r="C108" s="227" t="s">
        <v>569</v>
      </c>
      <c r="D108" s="228">
        <v>2350</v>
      </c>
      <c r="E108" s="228">
        <v>244.6</v>
      </c>
      <c r="F108" s="228">
        <v>241.8</v>
      </c>
      <c r="G108" s="228">
        <v>2.8</v>
      </c>
      <c r="H108" s="229">
        <v>1.1599999999999999E-2</v>
      </c>
      <c r="I108" s="228">
        <v>243.86</v>
      </c>
      <c r="J108" s="228">
        <v>241.27</v>
      </c>
      <c r="K108" s="228">
        <v>2.59</v>
      </c>
      <c r="L108" s="229">
        <v>1.0699999999999999E-2</v>
      </c>
      <c r="M108" s="228">
        <v>244.6</v>
      </c>
      <c r="N108" s="228">
        <v>241.8</v>
      </c>
      <c r="O108" s="228">
        <v>2.8</v>
      </c>
      <c r="P108" s="229">
        <v>1.1599999999999999E-2</v>
      </c>
      <c r="Q108" s="228">
        <v>245.81</v>
      </c>
      <c r="R108" s="228">
        <v>243.18</v>
      </c>
      <c r="S108" s="228">
        <v>2.63</v>
      </c>
      <c r="T108" s="229">
        <v>1.0800000000000001E-2</v>
      </c>
      <c r="U108" s="228">
        <v>247.57</v>
      </c>
      <c r="V108" s="228">
        <v>244.64</v>
      </c>
      <c r="W108" s="228">
        <v>2.93</v>
      </c>
      <c r="X108" s="229">
        <v>1.2E-2</v>
      </c>
      <c r="Y108" s="228">
        <v>0.74</v>
      </c>
      <c r="Z108" s="228">
        <v>0.53</v>
      </c>
      <c r="AA108" s="228">
        <v>0.21</v>
      </c>
      <c r="AB108" s="229">
        <v>3.0000000000000001E-3</v>
      </c>
      <c r="AC108" s="228">
        <v>0.74</v>
      </c>
      <c r="AD108" s="228">
        <v>0.53</v>
      </c>
      <c r="AE108" s="228">
        <v>0.21</v>
      </c>
      <c r="AF108" s="229">
        <v>3.0000000000000001E-3</v>
      </c>
      <c r="AG108" s="228">
        <v>1.95</v>
      </c>
      <c r="AH108" s="228">
        <v>1.91</v>
      </c>
      <c r="AI108" s="228">
        <v>0.04</v>
      </c>
      <c r="AJ108" s="229">
        <v>8.0000000000000002E-3</v>
      </c>
      <c r="AK108" s="228">
        <v>3.71</v>
      </c>
      <c r="AL108" s="228">
        <v>3.37</v>
      </c>
      <c r="AM108" s="228">
        <v>0.34</v>
      </c>
      <c r="AN108" s="229">
        <v>1.52E-2</v>
      </c>
      <c r="AO108" s="228">
        <v>243.74</v>
      </c>
      <c r="AP108" s="228">
        <v>244.84</v>
      </c>
      <c r="AQ108" s="228">
        <v>0</v>
      </c>
      <c r="AR108" s="230">
        <v>43778150</v>
      </c>
      <c r="AS108" s="230">
        <v>25793600</v>
      </c>
      <c r="AT108" s="230">
        <v>17984550</v>
      </c>
      <c r="AU108" s="229">
        <v>0.69720000000000004</v>
      </c>
      <c r="AV108" s="230">
        <v>30893100</v>
      </c>
      <c r="AW108" s="230">
        <v>17784800</v>
      </c>
      <c r="AX108" s="230">
        <v>13108300</v>
      </c>
      <c r="AY108" s="229">
        <v>0.73709999999999998</v>
      </c>
      <c r="AZ108" s="230">
        <v>10570300</v>
      </c>
      <c r="BA108" s="230">
        <v>5134750</v>
      </c>
      <c r="BB108" s="230">
        <v>5435550</v>
      </c>
      <c r="BC108" s="229">
        <v>1.0586</v>
      </c>
      <c r="BD108" s="230">
        <v>2314750</v>
      </c>
      <c r="BE108" s="230">
        <v>2874050</v>
      </c>
      <c r="BF108" s="230">
        <v>-559300</v>
      </c>
      <c r="BG108" s="229">
        <v>-0.1946</v>
      </c>
      <c r="BH108" s="230">
        <v>126477000</v>
      </c>
      <c r="BI108" s="230">
        <v>47888300</v>
      </c>
      <c r="BJ108" s="230">
        <v>78588700</v>
      </c>
      <c r="BK108" s="229">
        <v>1.6411</v>
      </c>
      <c r="BL108" s="230">
        <v>42448050</v>
      </c>
      <c r="BM108" s="230">
        <v>22174600</v>
      </c>
      <c r="BN108" s="230">
        <v>20273450</v>
      </c>
      <c r="BO108" s="229">
        <v>0.9143</v>
      </c>
      <c r="BP108" s="230">
        <v>212703200</v>
      </c>
      <c r="BQ108" s="230">
        <v>95856500</v>
      </c>
      <c r="BR108" s="230">
        <v>116846700</v>
      </c>
      <c r="BS108" s="229">
        <v>1.2190000000000001</v>
      </c>
      <c r="BT108" s="230">
        <v>54250757</v>
      </c>
      <c r="BU108" s="230">
        <v>27359017</v>
      </c>
      <c r="BV108" s="230">
        <v>26891740</v>
      </c>
      <c r="BW108" s="229">
        <v>0.9829</v>
      </c>
      <c r="BX108" s="230">
        <v>169855650</v>
      </c>
      <c r="BY108" s="230">
        <v>153779300</v>
      </c>
      <c r="BZ108" s="230">
        <v>16076350</v>
      </c>
      <c r="CA108" s="229">
        <v>0.1045</v>
      </c>
      <c r="CB108" s="230">
        <v>132995900</v>
      </c>
      <c r="CC108" s="230">
        <v>125659200</v>
      </c>
      <c r="CD108" s="230">
        <v>7336700</v>
      </c>
      <c r="CE108" s="229">
        <v>5.8400000000000001E-2</v>
      </c>
      <c r="CF108" s="230">
        <v>30862550</v>
      </c>
      <c r="CG108" s="230">
        <v>23946500</v>
      </c>
      <c r="CH108" s="230">
        <v>6916050</v>
      </c>
      <c r="CI108" s="229">
        <v>0.2888</v>
      </c>
      <c r="CJ108" s="230">
        <v>5997200</v>
      </c>
      <c r="CK108" s="230">
        <v>4173600</v>
      </c>
      <c r="CL108" s="230">
        <v>1823600</v>
      </c>
      <c r="CM108" s="229">
        <v>0.43690000000000001</v>
      </c>
      <c r="CN108" s="230">
        <v>69118200</v>
      </c>
      <c r="CO108" s="230">
        <v>50908050</v>
      </c>
      <c r="CP108" s="230">
        <v>18210150</v>
      </c>
      <c r="CQ108" s="229">
        <v>0.35770000000000002</v>
      </c>
      <c r="CR108" s="230">
        <v>46475950</v>
      </c>
      <c r="CS108" s="230">
        <v>37144100</v>
      </c>
      <c r="CT108" s="230">
        <v>9331850</v>
      </c>
      <c r="CU108" s="229">
        <v>0.25119999999999998</v>
      </c>
      <c r="CV108" s="230">
        <v>285449800</v>
      </c>
      <c r="CW108" s="230">
        <v>241831450</v>
      </c>
      <c r="CX108" s="230">
        <v>43618350</v>
      </c>
      <c r="CY108" s="229">
        <v>0.1804</v>
      </c>
      <c r="CZ108" s="228">
        <v>40.93</v>
      </c>
      <c r="DA108" s="228">
        <v>39.72</v>
      </c>
      <c r="DB108" s="228">
        <v>1.21</v>
      </c>
      <c r="DC108" s="228">
        <v>1.21</v>
      </c>
      <c r="DD108" s="228">
        <v>37.39</v>
      </c>
      <c r="DE108" s="228">
        <v>37.450000000000003</v>
      </c>
      <c r="DF108" s="228">
        <v>3.54</v>
      </c>
      <c r="DG108" s="228">
        <v>-0.06</v>
      </c>
      <c r="DH108" s="228">
        <v>41.02</v>
      </c>
      <c r="DI108" s="228">
        <v>39.6</v>
      </c>
      <c r="DJ108" s="228">
        <v>1.42</v>
      </c>
      <c r="DK108" s="228">
        <v>1.42</v>
      </c>
      <c r="DL108" s="228">
        <v>40.65</v>
      </c>
      <c r="DM108" s="228">
        <v>40</v>
      </c>
      <c r="DN108" s="228">
        <v>0.65</v>
      </c>
      <c r="DO108" s="228">
        <v>0.65</v>
      </c>
      <c r="DP108" s="228">
        <v>0.67</v>
      </c>
      <c r="DQ108" s="228">
        <v>0.73</v>
      </c>
      <c r="DR108" s="228">
        <v>-0.06</v>
      </c>
      <c r="DS108" s="229">
        <v>-8.2199999999999995E-2</v>
      </c>
      <c r="DT108" s="228">
        <v>250</v>
      </c>
      <c r="DU108" s="228">
        <v>240</v>
      </c>
      <c r="DV108" s="228">
        <v>0.34</v>
      </c>
      <c r="DW108" s="228">
        <v>0.46</v>
      </c>
      <c r="DX108" s="228">
        <v>-0.12</v>
      </c>
      <c r="DY108" s="229">
        <v>-0.26090000000000002</v>
      </c>
      <c r="DZ108" s="229">
        <v>0.217</v>
      </c>
      <c r="EA108" s="230">
        <v>28120100</v>
      </c>
      <c r="EB108" s="229">
        <v>4.8999999999999998E-3</v>
      </c>
      <c r="EC108" s="229">
        <v>0.217</v>
      </c>
      <c r="ED108" s="228">
        <v>1.1000000000000001</v>
      </c>
      <c r="EE108" s="229">
        <v>4.4999999999999997E-3</v>
      </c>
      <c r="EF108" s="230">
        <v>33884357</v>
      </c>
      <c r="EG108" s="230">
        <v>12901031</v>
      </c>
      <c r="EH108" s="229">
        <v>1.6265000000000001</v>
      </c>
      <c r="EI108" s="229">
        <v>0.62460000000000004</v>
      </c>
      <c r="EJ108" s="231">
        <v>326497.53999999998</v>
      </c>
      <c r="EK108" s="231">
        <v>101793.24</v>
      </c>
      <c r="EL108" s="231">
        <v>106878.67</v>
      </c>
      <c r="EM108" s="231">
        <v>6989</v>
      </c>
      <c r="EN108" s="231">
        <v>535169.44999999995</v>
      </c>
      <c r="EO108" s="231">
        <v>238011.89</v>
      </c>
      <c r="EP108" s="231">
        <v>297157.56</v>
      </c>
      <c r="EQ108" s="229">
        <v>1.2484999999999999</v>
      </c>
      <c r="ER108" s="231">
        <v>176420</v>
      </c>
      <c r="ES108" s="231">
        <v>112795</v>
      </c>
      <c r="ET108" s="231">
        <v>416018</v>
      </c>
      <c r="EU108" s="231">
        <v>490240515</v>
      </c>
      <c r="EV108" s="231">
        <v>705234</v>
      </c>
      <c r="EW108" s="231">
        <v>592562</v>
      </c>
      <c r="EX108" s="231">
        <v>112672</v>
      </c>
      <c r="EY108" s="229">
        <v>0.19009999999999999</v>
      </c>
      <c r="EZ108" s="229">
        <v>0.58230000000000004</v>
      </c>
      <c r="FA108" s="227" t="s">
        <v>555</v>
      </c>
      <c r="FB108" s="161">
        <f t="shared" si="1"/>
        <v>36859750</v>
      </c>
    </row>
    <row r="109" spans="1:158" ht="17.25" thickBot="1" x14ac:dyDescent="0.3">
      <c r="A109" s="226">
        <v>46129</v>
      </c>
      <c r="B109" s="227" t="s">
        <v>161</v>
      </c>
      <c r="C109" s="227" t="s">
        <v>579</v>
      </c>
      <c r="D109" s="228">
        <v>1000</v>
      </c>
      <c r="E109" s="228">
        <v>538.1</v>
      </c>
      <c r="F109" s="228">
        <v>535.95000000000005</v>
      </c>
      <c r="G109" s="228">
        <v>2.15</v>
      </c>
      <c r="H109" s="229">
        <v>4.0000000000000001E-3</v>
      </c>
      <c r="I109" s="228">
        <v>538.04999999999995</v>
      </c>
      <c r="J109" s="228">
        <v>535.95000000000005</v>
      </c>
      <c r="K109" s="228">
        <v>2.1</v>
      </c>
      <c r="L109" s="229">
        <v>3.8999999999999998E-3</v>
      </c>
      <c r="M109" s="228">
        <v>538.1</v>
      </c>
      <c r="N109" s="228">
        <v>535.95000000000005</v>
      </c>
      <c r="O109" s="228">
        <v>2.15</v>
      </c>
      <c r="P109" s="229">
        <v>4.0000000000000001E-3</v>
      </c>
      <c r="Q109" s="228">
        <v>541.5</v>
      </c>
      <c r="R109" s="228">
        <v>538.9</v>
      </c>
      <c r="S109" s="228">
        <v>2.6</v>
      </c>
      <c r="T109" s="229">
        <v>4.7999999999999996E-3</v>
      </c>
      <c r="U109" s="228">
        <v>541</v>
      </c>
      <c r="V109" s="228">
        <v>540.29999999999995</v>
      </c>
      <c r="W109" s="228">
        <v>0.7</v>
      </c>
      <c r="X109" s="229">
        <v>1.2999999999999999E-3</v>
      </c>
      <c r="Y109" s="228">
        <v>0.05</v>
      </c>
      <c r="Z109" s="228">
        <v>0</v>
      </c>
      <c r="AA109" s="228">
        <v>0.05</v>
      </c>
      <c r="AB109" s="229">
        <v>1E-4</v>
      </c>
      <c r="AC109" s="228">
        <v>0.05</v>
      </c>
      <c r="AD109" s="228">
        <v>0</v>
      </c>
      <c r="AE109" s="228">
        <v>0.05</v>
      </c>
      <c r="AF109" s="229">
        <v>1E-4</v>
      </c>
      <c r="AG109" s="228">
        <v>3.45</v>
      </c>
      <c r="AH109" s="228">
        <v>2.95</v>
      </c>
      <c r="AI109" s="228">
        <v>0.5</v>
      </c>
      <c r="AJ109" s="229">
        <v>6.4000000000000003E-3</v>
      </c>
      <c r="AK109" s="228">
        <v>2.95</v>
      </c>
      <c r="AL109" s="228">
        <v>4.3499999999999996</v>
      </c>
      <c r="AM109" s="228">
        <v>-1.4</v>
      </c>
      <c r="AN109" s="229">
        <v>5.4999999999999997E-3</v>
      </c>
      <c r="AO109" s="228">
        <v>537.75</v>
      </c>
      <c r="AP109" s="228">
        <v>540.57000000000005</v>
      </c>
      <c r="AQ109" s="228">
        <v>0</v>
      </c>
      <c r="AR109" s="230">
        <v>3646000</v>
      </c>
      <c r="AS109" s="230">
        <v>5189000</v>
      </c>
      <c r="AT109" s="230">
        <v>-1543000</v>
      </c>
      <c r="AU109" s="229">
        <v>-0.2974</v>
      </c>
      <c r="AV109" s="230">
        <v>3251000</v>
      </c>
      <c r="AW109" s="230">
        <v>4770000</v>
      </c>
      <c r="AX109" s="230">
        <v>-1519000</v>
      </c>
      <c r="AY109" s="229">
        <v>-0.31840000000000002</v>
      </c>
      <c r="AZ109" s="230">
        <v>380000</v>
      </c>
      <c r="BA109" s="230">
        <v>401000</v>
      </c>
      <c r="BB109" s="230">
        <v>-21000</v>
      </c>
      <c r="BC109" s="229">
        <v>-5.2400000000000002E-2</v>
      </c>
      <c r="BD109" s="230">
        <v>15000</v>
      </c>
      <c r="BE109" s="230">
        <v>18000</v>
      </c>
      <c r="BF109" s="230">
        <v>-3000</v>
      </c>
      <c r="BG109" s="229">
        <v>-0.16669999999999999</v>
      </c>
      <c r="BH109" s="230">
        <v>8100000</v>
      </c>
      <c r="BI109" s="230">
        <v>12340000</v>
      </c>
      <c r="BJ109" s="230">
        <v>-4240000</v>
      </c>
      <c r="BK109" s="229">
        <v>-0.34360000000000002</v>
      </c>
      <c r="BL109" s="230">
        <v>4313000</v>
      </c>
      <c r="BM109" s="230">
        <v>7109000</v>
      </c>
      <c r="BN109" s="230">
        <v>-2796000</v>
      </c>
      <c r="BO109" s="229">
        <v>-0.39329999999999998</v>
      </c>
      <c r="BP109" s="230">
        <v>16059000</v>
      </c>
      <c r="BQ109" s="230">
        <v>24638000</v>
      </c>
      <c r="BR109" s="230">
        <v>-8579000</v>
      </c>
      <c r="BS109" s="229">
        <v>-0.34820000000000001</v>
      </c>
      <c r="BT109" s="230">
        <v>3744802</v>
      </c>
      <c r="BU109" s="230">
        <v>5753133</v>
      </c>
      <c r="BV109" s="230">
        <v>-2008331</v>
      </c>
      <c r="BW109" s="229">
        <v>-0.34910000000000002</v>
      </c>
      <c r="BX109" s="230">
        <v>26884000</v>
      </c>
      <c r="BY109" s="230">
        <v>27313000</v>
      </c>
      <c r="BZ109" s="230">
        <v>-429000</v>
      </c>
      <c r="CA109" s="229">
        <v>-1.5699999999999999E-2</v>
      </c>
      <c r="CB109" s="230">
        <v>26080000</v>
      </c>
      <c r="CC109" s="230">
        <v>26674000</v>
      </c>
      <c r="CD109" s="230">
        <v>-594000</v>
      </c>
      <c r="CE109" s="229">
        <v>-2.23E-2</v>
      </c>
      <c r="CF109" s="230">
        <v>772000</v>
      </c>
      <c r="CG109" s="230">
        <v>614000</v>
      </c>
      <c r="CH109" s="230">
        <v>158000</v>
      </c>
      <c r="CI109" s="229">
        <v>0.25729999999999997</v>
      </c>
      <c r="CJ109" s="230">
        <v>32000</v>
      </c>
      <c r="CK109" s="230">
        <v>25000</v>
      </c>
      <c r="CL109" s="230">
        <v>7000</v>
      </c>
      <c r="CM109" s="229">
        <v>0.28000000000000003</v>
      </c>
      <c r="CN109" s="230">
        <v>6911000</v>
      </c>
      <c r="CO109" s="230">
        <v>6507000</v>
      </c>
      <c r="CP109" s="230">
        <v>404000</v>
      </c>
      <c r="CQ109" s="229">
        <v>6.2100000000000002E-2</v>
      </c>
      <c r="CR109" s="230">
        <v>4748000</v>
      </c>
      <c r="CS109" s="230">
        <v>5132000</v>
      </c>
      <c r="CT109" s="230">
        <v>-384000</v>
      </c>
      <c r="CU109" s="229">
        <v>-7.4800000000000005E-2</v>
      </c>
      <c r="CV109" s="230">
        <v>38543000</v>
      </c>
      <c r="CW109" s="230">
        <v>38952000</v>
      </c>
      <c r="CX109" s="230">
        <v>-409000</v>
      </c>
      <c r="CY109" s="229">
        <v>-1.0500000000000001E-2</v>
      </c>
      <c r="CZ109" s="228">
        <v>33.96</v>
      </c>
      <c r="DA109" s="228">
        <v>35.83</v>
      </c>
      <c r="DB109" s="228">
        <v>-1.87</v>
      </c>
      <c r="DC109" s="228">
        <v>-1.87</v>
      </c>
      <c r="DD109" s="228">
        <v>42.9</v>
      </c>
      <c r="DE109" s="228">
        <v>43</v>
      </c>
      <c r="DF109" s="228">
        <v>-8.94</v>
      </c>
      <c r="DG109" s="228">
        <v>-0.1</v>
      </c>
      <c r="DH109" s="228">
        <v>32.840000000000003</v>
      </c>
      <c r="DI109" s="228">
        <v>35.01</v>
      </c>
      <c r="DJ109" s="228">
        <v>-2.17</v>
      </c>
      <c r="DK109" s="228">
        <v>-2.17</v>
      </c>
      <c r="DL109" s="228">
        <v>36.07</v>
      </c>
      <c r="DM109" s="228">
        <v>37.270000000000003</v>
      </c>
      <c r="DN109" s="228">
        <v>-1.2</v>
      </c>
      <c r="DO109" s="228">
        <v>-1.2</v>
      </c>
      <c r="DP109" s="228">
        <v>0.69</v>
      </c>
      <c r="DQ109" s="228">
        <v>0.79</v>
      </c>
      <c r="DR109" s="228">
        <v>-0.1</v>
      </c>
      <c r="DS109" s="229">
        <v>-0.12659999999999999</v>
      </c>
      <c r="DT109" s="228">
        <v>530</v>
      </c>
      <c r="DU109" s="228">
        <v>530</v>
      </c>
      <c r="DV109" s="228">
        <v>0.53</v>
      </c>
      <c r="DW109" s="228">
        <v>0.57999999999999996</v>
      </c>
      <c r="DX109" s="228">
        <v>-0.05</v>
      </c>
      <c r="DY109" s="229">
        <v>-8.6199999999999999E-2</v>
      </c>
      <c r="DZ109" s="229">
        <v>2.9899999999999999E-2</v>
      </c>
      <c r="EA109" s="230">
        <v>639000</v>
      </c>
      <c r="EB109" s="229">
        <v>6.3E-3</v>
      </c>
      <c r="EC109" s="229">
        <v>2.9899999999999999E-2</v>
      </c>
      <c r="ED109" s="228">
        <v>2.82</v>
      </c>
      <c r="EE109" s="229">
        <v>5.1999999999999998E-3</v>
      </c>
      <c r="EF109" s="230">
        <v>1922637</v>
      </c>
      <c r="EG109" s="230">
        <v>2546473</v>
      </c>
      <c r="EH109" s="229">
        <v>-0.245</v>
      </c>
      <c r="EI109" s="229">
        <v>0.51339999999999997</v>
      </c>
      <c r="EJ109" s="231">
        <v>45148.55</v>
      </c>
      <c r="EK109" s="231">
        <v>22369.15</v>
      </c>
      <c r="EL109" s="231">
        <v>19617.5</v>
      </c>
      <c r="EM109" s="231">
        <v>5821</v>
      </c>
      <c r="EN109" s="231">
        <v>87135.2</v>
      </c>
      <c r="EO109" s="231">
        <v>132410.79</v>
      </c>
      <c r="EP109" s="231">
        <v>-45275.59</v>
      </c>
      <c r="EQ109" s="229">
        <v>-0.34189999999999998</v>
      </c>
      <c r="ER109" s="231">
        <v>36618</v>
      </c>
      <c r="ES109" s="231">
        <v>23733</v>
      </c>
      <c r="ET109" s="231">
        <v>144690</v>
      </c>
      <c r="EU109" s="231">
        <v>75294901</v>
      </c>
      <c r="EV109" s="231">
        <v>205040</v>
      </c>
      <c r="EW109" s="231">
        <v>206206</v>
      </c>
      <c r="EX109" s="231">
        <v>-1166</v>
      </c>
      <c r="EY109" s="229">
        <v>-5.7000000000000002E-3</v>
      </c>
      <c r="EZ109" s="229">
        <v>0.51190000000000002</v>
      </c>
      <c r="FA109" s="227" t="s">
        <v>693</v>
      </c>
      <c r="FB109" s="161">
        <f t="shared" si="1"/>
        <v>804000</v>
      </c>
    </row>
    <row r="110" spans="1:158" ht="17.25" thickBot="1" x14ac:dyDescent="0.3">
      <c r="A110" s="226">
        <v>46129</v>
      </c>
      <c r="B110" s="227" t="s">
        <v>227</v>
      </c>
      <c r="C110" s="227" t="s">
        <v>244</v>
      </c>
      <c r="D110" s="228">
        <v>675</v>
      </c>
      <c r="E110" s="231">
        <v>1240.2</v>
      </c>
      <c r="F110" s="231">
        <v>1217.3</v>
      </c>
      <c r="G110" s="228">
        <v>22.9</v>
      </c>
      <c r="H110" s="229">
        <v>1.8800000000000001E-2</v>
      </c>
      <c r="I110" s="231">
        <v>1240.3</v>
      </c>
      <c r="J110" s="231">
        <v>1214.9000000000001</v>
      </c>
      <c r="K110" s="228">
        <v>25.4</v>
      </c>
      <c r="L110" s="229">
        <v>2.0899999999999998E-2</v>
      </c>
      <c r="M110" s="231">
        <v>1240.2</v>
      </c>
      <c r="N110" s="231">
        <v>1217.3</v>
      </c>
      <c r="O110" s="228">
        <v>22.9</v>
      </c>
      <c r="P110" s="229">
        <v>1.8800000000000001E-2</v>
      </c>
      <c r="Q110" s="231">
        <v>1247.5999999999999</v>
      </c>
      <c r="R110" s="231">
        <v>1224.2</v>
      </c>
      <c r="S110" s="228">
        <v>23.4</v>
      </c>
      <c r="T110" s="229">
        <v>1.9099999999999999E-2</v>
      </c>
      <c r="U110" s="231">
        <v>1254.4000000000001</v>
      </c>
      <c r="V110" s="231">
        <v>1229.3</v>
      </c>
      <c r="W110" s="228">
        <v>25.1</v>
      </c>
      <c r="X110" s="229">
        <v>2.0400000000000001E-2</v>
      </c>
      <c r="Y110" s="228">
        <v>-0.1</v>
      </c>
      <c r="Z110" s="228">
        <v>2.4</v>
      </c>
      <c r="AA110" s="228">
        <v>-2.5</v>
      </c>
      <c r="AB110" s="229">
        <v>-1E-4</v>
      </c>
      <c r="AC110" s="228">
        <v>-0.1</v>
      </c>
      <c r="AD110" s="228">
        <v>2.4</v>
      </c>
      <c r="AE110" s="228">
        <v>-2.5</v>
      </c>
      <c r="AF110" s="229">
        <v>-1E-4</v>
      </c>
      <c r="AG110" s="228">
        <v>7.3</v>
      </c>
      <c r="AH110" s="228">
        <v>9.3000000000000007</v>
      </c>
      <c r="AI110" s="228">
        <v>-2</v>
      </c>
      <c r="AJ110" s="229">
        <v>5.8999999999999999E-3</v>
      </c>
      <c r="AK110" s="228">
        <v>14.1</v>
      </c>
      <c r="AL110" s="228">
        <v>14.4</v>
      </c>
      <c r="AM110" s="228">
        <v>-0.3</v>
      </c>
      <c r="AN110" s="229">
        <v>1.14E-2</v>
      </c>
      <c r="AO110" s="231">
        <v>1231.95</v>
      </c>
      <c r="AP110" s="231">
        <v>1242.3900000000001</v>
      </c>
      <c r="AQ110" s="228">
        <v>0</v>
      </c>
      <c r="AR110" s="230">
        <v>5396625</v>
      </c>
      <c r="AS110" s="230">
        <v>4048650</v>
      </c>
      <c r="AT110" s="230">
        <v>1347975</v>
      </c>
      <c r="AU110" s="229">
        <v>0.33289999999999997</v>
      </c>
      <c r="AV110" s="230">
        <v>3809025</v>
      </c>
      <c r="AW110" s="230">
        <v>3395925</v>
      </c>
      <c r="AX110" s="230">
        <v>413100</v>
      </c>
      <c r="AY110" s="229">
        <v>0.1216</v>
      </c>
      <c r="AZ110" s="230">
        <v>1577475</v>
      </c>
      <c r="BA110" s="230">
        <v>639225</v>
      </c>
      <c r="BB110" s="230">
        <v>938250</v>
      </c>
      <c r="BC110" s="229">
        <v>1.4678</v>
      </c>
      <c r="BD110" s="230">
        <v>10125</v>
      </c>
      <c r="BE110" s="230">
        <v>13500</v>
      </c>
      <c r="BF110" s="230">
        <v>-3375</v>
      </c>
      <c r="BG110" s="229">
        <v>-0.25</v>
      </c>
      <c r="BH110" s="230">
        <v>10752075</v>
      </c>
      <c r="BI110" s="230">
        <v>8372700</v>
      </c>
      <c r="BJ110" s="230">
        <v>2379375</v>
      </c>
      <c r="BK110" s="229">
        <v>0.28420000000000001</v>
      </c>
      <c r="BL110" s="230">
        <v>5339250</v>
      </c>
      <c r="BM110" s="230">
        <v>3972375</v>
      </c>
      <c r="BN110" s="230">
        <v>1366875</v>
      </c>
      <c r="BO110" s="229">
        <v>0.34410000000000002</v>
      </c>
      <c r="BP110" s="230">
        <v>21487950</v>
      </c>
      <c r="BQ110" s="230">
        <v>16393725</v>
      </c>
      <c r="BR110" s="230">
        <v>5094225</v>
      </c>
      <c r="BS110" s="229">
        <v>0.31069999999999998</v>
      </c>
      <c r="BT110" s="230">
        <v>1941439</v>
      </c>
      <c r="BU110" s="230">
        <v>2823610</v>
      </c>
      <c r="BV110" s="230">
        <v>-882171</v>
      </c>
      <c r="BW110" s="229">
        <v>-0.31240000000000001</v>
      </c>
      <c r="BX110" s="230">
        <v>49965525</v>
      </c>
      <c r="BY110" s="230">
        <v>50149800</v>
      </c>
      <c r="BZ110" s="230">
        <v>-184275</v>
      </c>
      <c r="CA110" s="229">
        <v>-3.7000000000000002E-3</v>
      </c>
      <c r="CB110" s="230">
        <v>43573950</v>
      </c>
      <c r="CC110" s="230">
        <v>45100800</v>
      </c>
      <c r="CD110" s="230">
        <v>-1526850</v>
      </c>
      <c r="CE110" s="229">
        <v>-3.39E-2</v>
      </c>
      <c r="CF110" s="230">
        <v>6291675</v>
      </c>
      <c r="CG110" s="230">
        <v>4949775</v>
      </c>
      <c r="CH110" s="230">
        <v>1341900</v>
      </c>
      <c r="CI110" s="229">
        <v>0.27110000000000001</v>
      </c>
      <c r="CJ110" s="230">
        <v>99900</v>
      </c>
      <c r="CK110" s="230">
        <v>99225</v>
      </c>
      <c r="CL110" s="228">
        <v>675</v>
      </c>
      <c r="CM110" s="229">
        <v>6.7999999999999996E-3</v>
      </c>
      <c r="CN110" s="230">
        <v>5775300</v>
      </c>
      <c r="CO110" s="230">
        <v>6699375</v>
      </c>
      <c r="CP110" s="230">
        <v>-924075</v>
      </c>
      <c r="CQ110" s="229">
        <v>-0.13789999999999999</v>
      </c>
      <c r="CR110" s="230">
        <v>5556600</v>
      </c>
      <c r="CS110" s="230">
        <v>5481000</v>
      </c>
      <c r="CT110" s="230">
        <v>75600</v>
      </c>
      <c r="CU110" s="229">
        <v>1.38E-2</v>
      </c>
      <c r="CV110" s="230">
        <v>61297425</v>
      </c>
      <c r="CW110" s="230">
        <v>62330175</v>
      </c>
      <c r="CX110" s="230">
        <v>-1032750</v>
      </c>
      <c r="CY110" s="229">
        <v>-1.66E-2</v>
      </c>
      <c r="CZ110" s="228">
        <v>27.63</v>
      </c>
      <c r="DA110" s="228">
        <v>29.39</v>
      </c>
      <c r="DB110" s="228">
        <v>-1.76</v>
      </c>
      <c r="DC110" s="228">
        <v>-1.76</v>
      </c>
      <c r="DD110" s="228">
        <v>32.08</v>
      </c>
      <c r="DE110" s="228">
        <v>32.06</v>
      </c>
      <c r="DF110" s="228">
        <v>-4.45</v>
      </c>
      <c r="DG110" s="228">
        <v>0.02</v>
      </c>
      <c r="DH110" s="228">
        <v>26.39</v>
      </c>
      <c r="DI110" s="228">
        <v>28.55</v>
      </c>
      <c r="DJ110" s="228">
        <v>-2.16</v>
      </c>
      <c r="DK110" s="228">
        <v>-2.16</v>
      </c>
      <c r="DL110" s="228">
        <v>30.12</v>
      </c>
      <c r="DM110" s="228">
        <v>31.16</v>
      </c>
      <c r="DN110" s="228">
        <v>-1.04</v>
      </c>
      <c r="DO110" s="228">
        <v>-1.04</v>
      </c>
      <c r="DP110" s="228">
        <v>0.96</v>
      </c>
      <c r="DQ110" s="228">
        <v>0.82</v>
      </c>
      <c r="DR110" s="228">
        <v>0.14000000000000001</v>
      </c>
      <c r="DS110" s="229">
        <v>0.17069999999999999</v>
      </c>
      <c r="DT110" s="231">
        <v>1300</v>
      </c>
      <c r="DU110" s="231">
        <v>1100</v>
      </c>
      <c r="DV110" s="228">
        <v>0.5</v>
      </c>
      <c r="DW110" s="228">
        <v>0.47</v>
      </c>
      <c r="DX110" s="228">
        <v>0.03</v>
      </c>
      <c r="DY110" s="229">
        <v>6.3799999999999996E-2</v>
      </c>
      <c r="DZ110" s="229">
        <v>0.12790000000000001</v>
      </c>
      <c r="EA110" s="230">
        <v>5049000</v>
      </c>
      <c r="EB110" s="229">
        <v>6.0000000000000001E-3</v>
      </c>
      <c r="EC110" s="229">
        <v>0.12790000000000001</v>
      </c>
      <c r="ED110" s="228">
        <v>10.44</v>
      </c>
      <c r="EE110" s="229">
        <v>8.5000000000000006E-3</v>
      </c>
      <c r="EF110" s="230">
        <v>890179</v>
      </c>
      <c r="EG110" s="230">
        <v>1535729</v>
      </c>
      <c r="EH110" s="229">
        <v>-0.4204</v>
      </c>
      <c r="EI110" s="229">
        <v>0.45850000000000002</v>
      </c>
      <c r="EJ110" s="231">
        <v>136108.03</v>
      </c>
      <c r="EK110" s="231">
        <v>64051.040000000001</v>
      </c>
      <c r="EL110" s="231">
        <v>66649.919999999998</v>
      </c>
      <c r="EM110" s="231">
        <v>4211</v>
      </c>
      <c r="EN110" s="231">
        <v>266808.99</v>
      </c>
      <c r="EO110" s="231">
        <v>203111.97</v>
      </c>
      <c r="EP110" s="231">
        <v>63697.02</v>
      </c>
      <c r="EQ110" s="229">
        <v>0.31359999999999999</v>
      </c>
      <c r="ER110" s="231">
        <v>71412</v>
      </c>
      <c r="ES110" s="231">
        <v>62507</v>
      </c>
      <c r="ET110" s="231">
        <v>620152</v>
      </c>
      <c r="EU110" s="231">
        <v>133242960</v>
      </c>
      <c r="EV110" s="231">
        <v>754071</v>
      </c>
      <c r="EW110" s="231">
        <v>754329</v>
      </c>
      <c r="EX110" s="228">
        <v>-258</v>
      </c>
      <c r="EY110" s="229">
        <v>-2.9999999999999997E-4</v>
      </c>
      <c r="EZ110" s="229">
        <v>0.46</v>
      </c>
      <c r="FA110" s="227" t="s">
        <v>693</v>
      </c>
      <c r="FB110" s="161">
        <f t="shared" si="1"/>
        <v>6391575</v>
      </c>
    </row>
    <row r="111" spans="1:158" ht="17.25" thickBot="1" x14ac:dyDescent="0.3">
      <c r="A111" s="226">
        <v>46129</v>
      </c>
      <c r="B111" s="227" t="s">
        <v>168</v>
      </c>
      <c r="C111" s="227" t="s">
        <v>245</v>
      </c>
      <c r="D111" s="228">
        <v>1250</v>
      </c>
      <c r="E111" s="228">
        <v>458.8</v>
      </c>
      <c r="F111" s="228">
        <v>458.95</v>
      </c>
      <c r="G111" s="228">
        <v>-0.15</v>
      </c>
      <c r="H111" s="229">
        <v>-2.9999999999999997E-4</v>
      </c>
      <c r="I111" s="228">
        <v>458.95</v>
      </c>
      <c r="J111" s="228">
        <v>459.65</v>
      </c>
      <c r="K111" s="228">
        <v>-0.7</v>
      </c>
      <c r="L111" s="229">
        <v>-1.5E-3</v>
      </c>
      <c r="M111" s="228">
        <v>458.8</v>
      </c>
      <c r="N111" s="228">
        <v>458.95</v>
      </c>
      <c r="O111" s="228">
        <v>-0.15</v>
      </c>
      <c r="P111" s="229">
        <v>-2.9999999999999997E-4</v>
      </c>
      <c r="Q111" s="228">
        <v>446.15</v>
      </c>
      <c r="R111" s="228">
        <v>447</v>
      </c>
      <c r="S111" s="228">
        <v>-0.85</v>
      </c>
      <c r="T111" s="229">
        <v>-1.9E-3</v>
      </c>
      <c r="U111" s="228">
        <v>436.85</v>
      </c>
      <c r="V111" s="228">
        <v>439.5</v>
      </c>
      <c r="W111" s="228">
        <v>-2.65</v>
      </c>
      <c r="X111" s="229">
        <v>-6.0000000000000001E-3</v>
      </c>
      <c r="Y111" s="228">
        <v>-0.15</v>
      </c>
      <c r="Z111" s="228">
        <v>-0.7</v>
      </c>
      <c r="AA111" s="228">
        <v>0.55000000000000004</v>
      </c>
      <c r="AB111" s="229">
        <v>-2.9999999999999997E-4</v>
      </c>
      <c r="AC111" s="228">
        <v>-0.15</v>
      </c>
      <c r="AD111" s="228">
        <v>-0.7</v>
      </c>
      <c r="AE111" s="228">
        <v>0.55000000000000004</v>
      </c>
      <c r="AF111" s="229">
        <v>-2.9999999999999997E-4</v>
      </c>
      <c r="AG111" s="228">
        <v>-12.8</v>
      </c>
      <c r="AH111" s="228">
        <v>-12.65</v>
      </c>
      <c r="AI111" s="228">
        <v>-0.15</v>
      </c>
      <c r="AJ111" s="229">
        <v>-2.7900000000000001E-2</v>
      </c>
      <c r="AK111" s="228">
        <v>-22.1</v>
      </c>
      <c r="AL111" s="228">
        <v>-20.149999999999999</v>
      </c>
      <c r="AM111" s="228">
        <v>-1.95</v>
      </c>
      <c r="AN111" s="229">
        <v>-4.82E-2</v>
      </c>
      <c r="AO111" s="228">
        <v>457.73</v>
      </c>
      <c r="AP111" s="228">
        <v>444.75</v>
      </c>
      <c r="AQ111" s="228">
        <v>0</v>
      </c>
      <c r="AR111" s="230">
        <v>9136250</v>
      </c>
      <c r="AS111" s="230">
        <v>10613750</v>
      </c>
      <c r="AT111" s="230">
        <v>-1477500</v>
      </c>
      <c r="AU111" s="229">
        <v>-0.13919999999999999</v>
      </c>
      <c r="AV111" s="230">
        <v>6611250</v>
      </c>
      <c r="AW111" s="230">
        <v>6760000</v>
      </c>
      <c r="AX111" s="230">
        <v>-148750</v>
      </c>
      <c r="AY111" s="229">
        <v>-2.1999999999999999E-2</v>
      </c>
      <c r="AZ111" s="230">
        <v>2271250</v>
      </c>
      <c r="BA111" s="230">
        <v>3691250</v>
      </c>
      <c r="BB111" s="230">
        <v>-1420000</v>
      </c>
      <c r="BC111" s="229">
        <v>-0.38469999999999999</v>
      </c>
      <c r="BD111" s="230">
        <v>253750</v>
      </c>
      <c r="BE111" s="230">
        <v>162500</v>
      </c>
      <c r="BF111" s="230">
        <v>91250</v>
      </c>
      <c r="BG111" s="229">
        <v>0.5615</v>
      </c>
      <c r="BH111" s="230">
        <v>21892500</v>
      </c>
      <c r="BI111" s="230">
        <v>14230000</v>
      </c>
      <c r="BJ111" s="230">
        <v>7662500</v>
      </c>
      <c r="BK111" s="229">
        <v>0.53849999999999998</v>
      </c>
      <c r="BL111" s="230">
        <v>8592500</v>
      </c>
      <c r="BM111" s="230">
        <v>5586250</v>
      </c>
      <c r="BN111" s="230">
        <v>3006250</v>
      </c>
      <c r="BO111" s="229">
        <v>0.53820000000000001</v>
      </c>
      <c r="BP111" s="230">
        <v>39621250</v>
      </c>
      <c r="BQ111" s="230">
        <v>30430000</v>
      </c>
      <c r="BR111" s="230">
        <v>9191250</v>
      </c>
      <c r="BS111" s="229">
        <v>0.30199999999999999</v>
      </c>
      <c r="BT111" s="230">
        <v>2866144</v>
      </c>
      <c r="BU111" s="230">
        <v>2196468</v>
      </c>
      <c r="BV111" s="230">
        <v>669676</v>
      </c>
      <c r="BW111" s="229">
        <v>0.3049</v>
      </c>
      <c r="BX111" s="230">
        <v>51273750</v>
      </c>
      <c r="BY111" s="230">
        <v>50150000</v>
      </c>
      <c r="BZ111" s="230">
        <v>1123750</v>
      </c>
      <c r="CA111" s="229">
        <v>2.24E-2</v>
      </c>
      <c r="CB111" s="230">
        <v>36798750</v>
      </c>
      <c r="CC111" s="230">
        <v>36656250</v>
      </c>
      <c r="CD111" s="230">
        <v>142500</v>
      </c>
      <c r="CE111" s="229">
        <v>3.8999999999999998E-3</v>
      </c>
      <c r="CF111" s="230">
        <v>13838750</v>
      </c>
      <c r="CG111" s="230">
        <v>12915000</v>
      </c>
      <c r="CH111" s="230">
        <v>923750</v>
      </c>
      <c r="CI111" s="229">
        <v>7.1499999999999994E-2</v>
      </c>
      <c r="CJ111" s="230">
        <v>636250</v>
      </c>
      <c r="CK111" s="230">
        <v>578750</v>
      </c>
      <c r="CL111" s="230">
        <v>57500</v>
      </c>
      <c r="CM111" s="229">
        <v>9.9400000000000002E-2</v>
      </c>
      <c r="CN111" s="230">
        <v>15147500</v>
      </c>
      <c r="CO111" s="230">
        <v>13818750</v>
      </c>
      <c r="CP111" s="230">
        <v>1328750</v>
      </c>
      <c r="CQ111" s="229">
        <v>9.6199999999999994E-2</v>
      </c>
      <c r="CR111" s="230">
        <v>9751250</v>
      </c>
      <c r="CS111" s="230">
        <v>9063750</v>
      </c>
      <c r="CT111" s="230">
        <v>687500</v>
      </c>
      <c r="CU111" s="229">
        <v>7.5899999999999995E-2</v>
      </c>
      <c r="CV111" s="230">
        <v>76172500</v>
      </c>
      <c r="CW111" s="230">
        <v>73032500</v>
      </c>
      <c r="CX111" s="230">
        <v>3140000</v>
      </c>
      <c r="CY111" s="229">
        <v>4.2999999999999997E-2</v>
      </c>
      <c r="CZ111" s="228">
        <v>34.49</v>
      </c>
      <c r="DA111" s="228">
        <v>34.86</v>
      </c>
      <c r="DB111" s="228">
        <v>-0.37</v>
      </c>
      <c r="DC111" s="228">
        <v>-0.37</v>
      </c>
      <c r="DD111" s="228">
        <v>38.11</v>
      </c>
      <c r="DE111" s="228">
        <v>38.21</v>
      </c>
      <c r="DF111" s="228">
        <v>-3.62</v>
      </c>
      <c r="DG111" s="228">
        <v>-0.1</v>
      </c>
      <c r="DH111" s="228">
        <v>33.81</v>
      </c>
      <c r="DI111" s="228">
        <v>33.79</v>
      </c>
      <c r="DJ111" s="228">
        <v>0.02</v>
      </c>
      <c r="DK111" s="228">
        <v>0.02</v>
      </c>
      <c r="DL111" s="228">
        <v>36.200000000000003</v>
      </c>
      <c r="DM111" s="228">
        <v>37.57</v>
      </c>
      <c r="DN111" s="228">
        <v>-1.37</v>
      </c>
      <c r="DO111" s="228">
        <v>-1.37</v>
      </c>
      <c r="DP111" s="228">
        <v>0.64</v>
      </c>
      <c r="DQ111" s="228">
        <v>0.66</v>
      </c>
      <c r="DR111" s="228">
        <v>-0.02</v>
      </c>
      <c r="DS111" s="229">
        <v>-3.0300000000000001E-2</v>
      </c>
      <c r="DT111" s="228">
        <v>500</v>
      </c>
      <c r="DU111" s="228">
        <v>420</v>
      </c>
      <c r="DV111" s="228">
        <v>0.39</v>
      </c>
      <c r="DW111" s="228">
        <v>0.39</v>
      </c>
      <c r="DX111" s="228">
        <v>0</v>
      </c>
      <c r="DY111" s="229">
        <v>0</v>
      </c>
      <c r="DZ111" s="229">
        <v>0.2823</v>
      </c>
      <c r="EA111" s="230">
        <v>13493750</v>
      </c>
      <c r="EB111" s="229">
        <v>-2.76E-2</v>
      </c>
      <c r="EC111" s="229">
        <v>0.2823</v>
      </c>
      <c r="ED111" s="228">
        <v>-12.98</v>
      </c>
      <c r="EE111" s="229">
        <v>-2.8400000000000002E-2</v>
      </c>
      <c r="EF111" s="230">
        <v>754300</v>
      </c>
      <c r="EG111" s="230">
        <v>771212</v>
      </c>
      <c r="EH111" s="229">
        <v>-2.1899999999999999E-2</v>
      </c>
      <c r="EI111" s="229">
        <v>0.26319999999999999</v>
      </c>
      <c r="EJ111" s="231">
        <v>105168.28</v>
      </c>
      <c r="EK111" s="231">
        <v>38807.050000000003</v>
      </c>
      <c r="EL111" s="231">
        <v>41467.54</v>
      </c>
      <c r="EM111" s="231">
        <v>7295</v>
      </c>
      <c r="EN111" s="231">
        <v>185442.87</v>
      </c>
      <c r="EO111" s="231">
        <v>141439.76</v>
      </c>
      <c r="EP111" s="231">
        <v>44003.11</v>
      </c>
      <c r="EQ111" s="229">
        <v>0.31109999999999999</v>
      </c>
      <c r="ER111" s="231">
        <v>71326</v>
      </c>
      <c r="ES111" s="231">
        <v>42198</v>
      </c>
      <c r="ET111" s="231">
        <v>233354</v>
      </c>
      <c r="EU111" s="231">
        <v>58777851</v>
      </c>
      <c r="EV111" s="231">
        <v>346878</v>
      </c>
      <c r="EW111" s="231">
        <v>332693</v>
      </c>
      <c r="EX111" s="231">
        <v>14185</v>
      </c>
      <c r="EY111" s="229">
        <v>4.2599999999999999E-2</v>
      </c>
      <c r="EZ111" s="229">
        <v>1.2959000000000001</v>
      </c>
      <c r="FA111" s="227" t="s">
        <v>566</v>
      </c>
      <c r="FB111" s="161">
        <f t="shared" si="1"/>
        <v>14475000</v>
      </c>
    </row>
    <row r="112" spans="1:158" ht="17.25" thickBot="1" x14ac:dyDescent="0.3">
      <c r="A112" s="226">
        <v>46129</v>
      </c>
      <c r="B112" s="227" t="s">
        <v>168</v>
      </c>
      <c r="C112" s="227" t="s">
        <v>581</v>
      </c>
      <c r="D112" s="228">
        <v>1175</v>
      </c>
      <c r="E112" s="228">
        <v>427.95</v>
      </c>
      <c r="F112" s="228">
        <v>441.8</v>
      </c>
      <c r="G112" s="228">
        <v>-13.85</v>
      </c>
      <c r="H112" s="229">
        <v>-3.1300000000000001E-2</v>
      </c>
      <c r="I112" s="228">
        <v>426.85</v>
      </c>
      <c r="J112" s="228">
        <v>440.3</v>
      </c>
      <c r="K112" s="228">
        <v>-13.45</v>
      </c>
      <c r="L112" s="229">
        <v>-3.0499999999999999E-2</v>
      </c>
      <c r="M112" s="228">
        <v>427.95</v>
      </c>
      <c r="N112" s="228">
        <v>441.8</v>
      </c>
      <c r="O112" s="228">
        <v>-13.85</v>
      </c>
      <c r="P112" s="229">
        <v>-3.1300000000000001E-2</v>
      </c>
      <c r="Q112" s="228">
        <v>429.8</v>
      </c>
      <c r="R112" s="228">
        <v>444</v>
      </c>
      <c r="S112" s="228">
        <v>-14.2</v>
      </c>
      <c r="T112" s="229">
        <v>-3.2000000000000001E-2</v>
      </c>
      <c r="U112" s="228">
        <v>432.6</v>
      </c>
      <c r="V112" s="228">
        <v>448.15</v>
      </c>
      <c r="W112" s="228">
        <v>-15.55</v>
      </c>
      <c r="X112" s="229">
        <v>-3.4700000000000002E-2</v>
      </c>
      <c r="Y112" s="228">
        <v>1.1000000000000001</v>
      </c>
      <c r="Z112" s="228">
        <v>1.5</v>
      </c>
      <c r="AA112" s="228">
        <v>-0.4</v>
      </c>
      <c r="AB112" s="229">
        <v>2.5999999999999999E-3</v>
      </c>
      <c r="AC112" s="228">
        <v>1.1000000000000001</v>
      </c>
      <c r="AD112" s="228">
        <v>1.5</v>
      </c>
      <c r="AE112" s="228">
        <v>-0.4</v>
      </c>
      <c r="AF112" s="229">
        <v>2.5999999999999999E-3</v>
      </c>
      <c r="AG112" s="228">
        <v>2.95</v>
      </c>
      <c r="AH112" s="228">
        <v>3.7</v>
      </c>
      <c r="AI112" s="228">
        <v>-0.75</v>
      </c>
      <c r="AJ112" s="229">
        <v>6.8999999999999999E-3</v>
      </c>
      <c r="AK112" s="228">
        <v>5.75</v>
      </c>
      <c r="AL112" s="228">
        <v>7.85</v>
      </c>
      <c r="AM112" s="228">
        <v>-2.1</v>
      </c>
      <c r="AN112" s="229">
        <v>1.35E-2</v>
      </c>
      <c r="AO112" s="228">
        <v>425.75</v>
      </c>
      <c r="AP112" s="228">
        <v>426.22</v>
      </c>
      <c r="AQ112" s="228">
        <v>0</v>
      </c>
      <c r="AR112" s="230">
        <v>17582700</v>
      </c>
      <c r="AS112" s="230">
        <v>3608425</v>
      </c>
      <c r="AT112" s="230">
        <v>13974275</v>
      </c>
      <c r="AU112" s="229">
        <v>3.8727</v>
      </c>
      <c r="AV112" s="230">
        <v>15135175</v>
      </c>
      <c r="AW112" s="230">
        <v>2918700</v>
      </c>
      <c r="AX112" s="230">
        <v>12216475</v>
      </c>
      <c r="AY112" s="229">
        <v>4.1856</v>
      </c>
      <c r="AZ112" s="230">
        <v>2217225</v>
      </c>
      <c r="BA112" s="230">
        <v>649775</v>
      </c>
      <c r="BB112" s="230">
        <v>1567450</v>
      </c>
      <c r="BC112" s="229">
        <v>2.4123000000000001</v>
      </c>
      <c r="BD112" s="230">
        <v>230300</v>
      </c>
      <c r="BE112" s="230">
        <v>39950</v>
      </c>
      <c r="BF112" s="230">
        <v>190350</v>
      </c>
      <c r="BG112" s="229">
        <v>4.7647000000000004</v>
      </c>
      <c r="BH112" s="230">
        <v>75230550</v>
      </c>
      <c r="BI112" s="230">
        <v>9637350</v>
      </c>
      <c r="BJ112" s="230">
        <v>65593200</v>
      </c>
      <c r="BK112" s="229">
        <v>6.8060999999999998</v>
      </c>
      <c r="BL112" s="230">
        <v>55222650</v>
      </c>
      <c r="BM112" s="230">
        <v>7307325</v>
      </c>
      <c r="BN112" s="230">
        <v>47915325</v>
      </c>
      <c r="BO112" s="229">
        <v>6.5571999999999999</v>
      </c>
      <c r="BP112" s="230">
        <v>148035900</v>
      </c>
      <c r="BQ112" s="230">
        <v>20553100</v>
      </c>
      <c r="BR112" s="230">
        <v>127482800</v>
      </c>
      <c r="BS112" s="229">
        <v>6.2026000000000003</v>
      </c>
      <c r="BT112" s="230">
        <v>17746306</v>
      </c>
      <c r="BU112" s="230">
        <v>5342087</v>
      </c>
      <c r="BV112" s="230">
        <v>12404219</v>
      </c>
      <c r="BW112" s="229">
        <v>2.3220000000000001</v>
      </c>
      <c r="BX112" s="230">
        <v>26277700</v>
      </c>
      <c r="BY112" s="230">
        <v>24651500</v>
      </c>
      <c r="BZ112" s="230">
        <v>1626200</v>
      </c>
      <c r="CA112" s="229">
        <v>6.6000000000000003E-2</v>
      </c>
      <c r="CB112" s="230">
        <v>24541050</v>
      </c>
      <c r="CC112" s="230">
        <v>23642175</v>
      </c>
      <c r="CD112" s="230">
        <v>898875</v>
      </c>
      <c r="CE112" s="229">
        <v>3.7999999999999999E-2</v>
      </c>
      <c r="CF112" s="230">
        <v>1608575</v>
      </c>
      <c r="CG112" s="230">
        <v>937650</v>
      </c>
      <c r="CH112" s="230">
        <v>670925</v>
      </c>
      <c r="CI112" s="229">
        <v>0.71550000000000002</v>
      </c>
      <c r="CJ112" s="230">
        <v>128075</v>
      </c>
      <c r="CK112" s="230">
        <v>71675</v>
      </c>
      <c r="CL112" s="230">
        <v>56400</v>
      </c>
      <c r="CM112" s="229">
        <v>0.78690000000000004</v>
      </c>
      <c r="CN112" s="230">
        <v>13987200</v>
      </c>
      <c r="CO112" s="230">
        <v>7082900</v>
      </c>
      <c r="CP112" s="230">
        <v>6904300</v>
      </c>
      <c r="CQ112" s="229">
        <v>0.9748</v>
      </c>
      <c r="CR112" s="230">
        <v>7438925</v>
      </c>
      <c r="CS112" s="230">
        <v>5657625</v>
      </c>
      <c r="CT112" s="230">
        <v>1781300</v>
      </c>
      <c r="CU112" s="229">
        <v>0.31480000000000002</v>
      </c>
      <c r="CV112" s="230">
        <v>47703825</v>
      </c>
      <c r="CW112" s="230">
        <v>37392025</v>
      </c>
      <c r="CX112" s="230">
        <v>10311800</v>
      </c>
      <c r="CY112" s="229">
        <v>0.27579999999999999</v>
      </c>
      <c r="CZ112" s="228">
        <v>41.1</v>
      </c>
      <c r="DA112" s="228">
        <v>37.229999999999997</v>
      </c>
      <c r="DB112" s="228">
        <v>3.87</v>
      </c>
      <c r="DC112" s="228">
        <v>3.87</v>
      </c>
      <c r="DD112" s="228">
        <v>52.46</v>
      </c>
      <c r="DE112" s="228">
        <v>52.42</v>
      </c>
      <c r="DF112" s="228">
        <v>-11.36</v>
      </c>
      <c r="DG112" s="228">
        <v>0.04</v>
      </c>
      <c r="DH112" s="228">
        <v>40.15</v>
      </c>
      <c r="DI112" s="228">
        <v>36.93</v>
      </c>
      <c r="DJ112" s="228">
        <v>3.22</v>
      </c>
      <c r="DK112" s="228">
        <v>3.22</v>
      </c>
      <c r="DL112" s="228">
        <v>42.38</v>
      </c>
      <c r="DM112" s="228">
        <v>37.619999999999997</v>
      </c>
      <c r="DN112" s="228">
        <v>4.76</v>
      </c>
      <c r="DO112" s="228">
        <v>4.76</v>
      </c>
      <c r="DP112" s="228">
        <v>0.53</v>
      </c>
      <c r="DQ112" s="228">
        <v>0.8</v>
      </c>
      <c r="DR112" s="228">
        <v>-0.27</v>
      </c>
      <c r="DS112" s="229">
        <v>-0.33750000000000002</v>
      </c>
      <c r="DT112" s="228">
        <v>450</v>
      </c>
      <c r="DU112" s="228">
        <v>420</v>
      </c>
      <c r="DV112" s="228">
        <v>0.73</v>
      </c>
      <c r="DW112" s="228">
        <v>0.76</v>
      </c>
      <c r="DX112" s="228">
        <v>-0.03</v>
      </c>
      <c r="DY112" s="229">
        <v>-3.95E-2</v>
      </c>
      <c r="DZ112" s="229">
        <v>6.6100000000000006E-2</v>
      </c>
      <c r="EA112" s="230">
        <v>1009325</v>
      </c>
      <c r="EB112" s="229">
        <v>4.3E-3</v>
      </c>
      <c r="EC112" s="229">
        <v>6.6100000000000006E-2</v>
      </c>
      <c r="ED112" s="228">
        <v>0.47</v>
      </c>
      <c r="EE112" s="229">
        <v>1.1000000000000001E-3</v>
      </c>
      <c r="EF112" s="230">
        <v>4303003</v>
      </c>
      <c r="EG112" s="230">
        <v>1866158</v>
      </c>
      <c r="EH112" s="229">
        <v>1.3058000000000001</v>
      </c>
      <c r="EI112" s="229">
        <v>0.24249999999999999</v>
      </c>
      <c r="EJ112" s="231">
        <v>338085.46</v>
      </c>
      <c r="EK112" s="231">
        <v>233276.47</v>
      </c>
      <c r="EL112" s="231">
        <v>74875.240000000005</v>
      </c>
      <c r="EM112" s="231">
        <v>2323</v>
      </c>
      <c r="EN112" s="231">
        <v>646237.17000000004</v>
      </c>
      <c r="EO112" s="231">
        <v>92633.35</v>
      </c>
      <c r="EP112" s="231">
        <v>553603.81999999995</v>
      </c>
      <c r="EQ112" s="229">
        <v>5.9763000000000002</v>
      </c>
      <c r="ER112" s="231">
        <v>61966</v>
      </c>
      <c r="ES112" s="231">
        <v>30483</v>
      </c>
      <c r="ET112" s="231">
        <v>112491</v>
      </c>
      <c r="EU112" s="231">
        <v>57686748</v>
      </c>
      <c r="EV112" s="231">
        <v>204940</v>
      </c>
      <c r="EW112" s="231">
        <v>163467</v>
      </c>
      <c r="EX112" s="231">
        <v>41473</v>
      </c>
      <c r="EY112" s="229">
        <v>0.25369999999999998</v>
      </c>
      <c r="EZ112" s="229">
        <v>0.82689999999999997</v>
      </c>
      <c r="FA112" s="227" t="s">
        <v>566</v>
      </c>
      <c r="FB112" s="161">
        <f t="shared" si="1"/>
        <v>1736650</v>
      </c>
    </row>
    <row r="113" spans="1:158" ht="17.25" thickBot="1" x14ac:dyDescent="0.3">
      <c r="A113" s="226">
        <v>46129</v>
      </c>
      <c r="B113" s="227" t="s">
        <v>184</v>
      </c>
      <c r="C113" s="227" t="s">
        <v>674</v>
      </c>
      <c r="D113" s="228">
        <v>100</v>
      </c>
      <c r="E113" s="231">
        <v>4208.7</v>
      </c>
      <c r="F113" s="231">
        <v>4211.6000000000004</v>
      </c>
      <c r="G113" s="228">
        <v>-2.9</v>
      </c>
      <c r="H113" s="229">
        <v>-6.9999999999999999E-4</v>
      </c>
      <c r="I113" s="231">
        <v>4214.3999999999996</v>
      </c>
      <c r="J113" s="231">
        <v>4202.2</v>
      </c>
      <c r="K113" s="228">
        <v>12.2</v>
      </c>
      <c r="L113" s="229">
        <v>2.8999999999999998E-3</v>
      </c>
      <c r="M113" s="231">
        <v>4208.7</v>
      </c>
      <c r="N113" s="231">
        <v>4211.6000000000004</v>
      </c>
      <c r="O113" s="228">
        <v>-2.9</v>
      </c>
      <c r="P113" s="229">
        <v>-6.9999999999999999E-4</v>
      </c>
      <c r="Q113" s="231">
        <v>4173.1000000000004</v>
      </c>
      <c r="R113" s="231">
        <v>4172.6000000000004</v>
      </c>
      <c r="S113" s="228">
        <v>0.5</v>
      </c>
      <c r="T113" s="229">
        <v>1E-4</v>
      </c>
      <c r="U113" s="231">
        <v>4157.1000000000004</v>
      </c>
      <c r="V113" s="231">
        <v>4160.7</v>
      </c>
      <c r="W113" s="228">
        <v>-3.6</v>
      </c>
      <c r="X113" s="229">
        <v>-8.9999999999999998E-4</v>
      </c>
      <c r="Y113" s="228">
        <v>-5.7</v>
      </c>
      <c r="Z113" s="228">
        <v>9.4</v>
      </c>
      <c r="AA113" s="228">
        <v>-15.1</v>
      </c>
      <c r="AB113" s="229">
        <v>-1.4E-3</v>
      </c>
      <c r="AC113" s="228">
        <v>-5.7</v>
      </c>
      <c r="AD113" s="228">
        <v>9.4</v>
      </c>
      <c r="AE113" s="228">
        <v>-15.1</v>
      </c>
      <c r="AF113" s="229">
        <v>-1.4E-3</v>
      </c>
      <c r="AG113" s="228">
        <v>-41.3</v>
      </c>
      <c r="AH113" s="228">
        <v>-29.6</v>
      </c>
      <c r="AI113" s="228">
        <v>-11.7</v>
      </c>
      <c r="AJ113" s="229">
        <v>-9.7999999999999997E-3</v>
      </c>
      <c r="AK113" s="228">
        <v>-57.3</v>
      </c>
      <c r="AL113" s="228">
        <v>-41.5</v>
      </c>
      <c r="AM113" s="228">
        <v>-15.8</v>
      </c>
      <c r="AN113" s="229">
        <v>-1.3599999999999999E-2</v>
      </c>
      <c r="AO113" s="231">
        <v>4196.96</v>
      </c>
      <c r="AP113" s="231">
        <v>4154.7</v>
      </c>
      <c r="AQ113" s="228">
        <v>0</v>
      </c>
      <c r="AR113" s="230">
        <v>711200</v>
      </c>
      <c r="AS113" s="230">
        <v>1512000</v>
      </c>
      <c r="AT113" s="230">
        <v>-800800</v>
      </c>
      <c r="AU113" s="229">
        <v>-0.52959999999999996</v>
      </c>
      <c r="AV113" s="230">
        <v>537800</v>
      </c>
      <c r="AW113" s="230">
        <v>1247700</v>
      </c>
      <c r="AX113" s="230">
        <v>-709900</v>
      </c>
      <c r="AY113" s="229">
        <v>-0.56899999999999995</v>
      </c>
      <c r="AZ113" s="230">
        <v>154400</v>
      </c>
      <c r="BA113" s="230">
        <v>237200</v>
      </c>
      <c r="BB113" s="230">
        <v>-82800</v>
      </c>
      <c r="BC113" s="229">
        <v>-0.34910000000000002</v>
      </c>
      <c r="BD113" s="230">
        <v>19000</v>
      </c>
      <c r="BE113" s="230">
        <v>27100</v>
      </c>
      <c r="BF113" s="230">
        <v>-8100</v>
      </c>
      <c r="BG113" s="229">
        <v>-0.2989</v>
      </c>
      <c r="BH113" s="230">
        <v>2470300</v>
      </c>
      <c r="BI113" s="230">
        <v>7504600</v>
      </c>
      <c r="BJ113" s="230">
        <v>-5034300</v>
      </c>
      <c r="BK113" s="229">
        <v>-0.67079999999999995</v>
      </c>
      <c r="BL113" s="230">
        <v>1596700</v>
      </c>
      <c r="BM113" s="230">
        <v>3367900</v>
      </c>
      <c r="BN113" s="230">
        <v>-1771200</v>
      </c>
      <c r="BO113" s="229">
        <v>-0.52590000000000003</v>
      </c>
      <c r="BP113" s="230">
        <v>4778200</v>
      </c>
      <c r="BQ113" s="230">
        <v>12384500</v>
      </c>
      <c r="BR113" s="230">
        <v>-7606300</v>
      </c>
      <c r="BS113" s="229">
        <v>-0.61419999999999997</v>
      </c>
      <c r="BT113" s="230">
        <v>1287216</v>
      </c>
      <c r="BU113" s="230">
        <v>2436656</v>
      </c>
      <c r="BV113" s="230">
        <v>-1149440</v>
      </c>
      <c r="BW113" s="229">
        <v>-0.47170000000000001</v>
      </c>
      <c r="BX113" s="230">
        <v>3419800</v>
      </c>
      <c r="BY113" s="230">
        <v>3374600</v>
      </c>
      <c r="BZ113" s="230">
        <v>45200</v>
      </c>
      <c r="CA113" s="229">
        <v>1.34E-2</v>
      </c>
      <c r="CB113" s="230">
        <v>2875800</v>
      </c>
      <c r="CC113" s="230">
        <v>2880100</v>
      </c>
      <c r="CD113" s="230">
        <v>-4300</v>
      </c>
      <c r="CE113" s="229">
        <v>-1.5E-3</v>
      </c>
      <c r="CF113" s="230">
        <v>485200</v>
      </c>
      <c r="CG113" s="230">
        <v>442800</v>
      </c>
      <c r="CH113" s="230">
        <v>42400</v>
      </c>
      <c r="CI113" s="229">
        <v>9.5799999999999996E-2</v>
      </c>
      <c r="CJ113" s="230">
        <v>58800</v>
      </c>
      <c r="CK113" s="230">
        <v>51700</v>
      </c>
      <c r="CL113" s="230">
        <v>7100</v>
      </c>
      <c r="CM113" s="229">
        <v>0.13730000000000001</v>
      </c>
      <c r="CN113" s="230">
        <v>1513300</v>
      </c>
      <c r="CO113" s="230">
        <v>1444900</v>
      </c>
      <c r="CP113" s="230">
        <v>68400</v>
      </c>
      <c r="CQ113" s="229">
        <v>4.7300000000000002E-2</v>
      </c>
      <c r="CR113" s="230">
        <v>1208000</v>
      </c>
      <c r="CS113" s="230">
        <v>1216600</v>
      </c>
      <c r="CT113" s="230">
        <v>-8600</v>
      </c>
      <c r="CU113" s="229">
        <v>-7.1000000000000004E-3</v>
      </c>
      <c r="CV113" s="230">
        <v>6141100</v>
      </c>
      <c r="CW113" s="230">
        <v>6036100</v>
      </c>
      <c r="CX113" s="230">
        <v>105000</v>
      </c>
      <c r="CY113" s="229">
        <v>1.7399999999999999E-2</v>
      </c>
      <c r="CZ113" s="228">
        <v>48.16</v>
      </c>
      <c r="DA113" s="228">
        <v>46.64</v>
      </c>
      <c r="DB113" s="228">
        <v>1.52</v>
      </c>
      <c r="DC113" s="228">
        <v>1.52</v>
      </c>
      <c r="DD113" s="228">
        <v>61.15</v>
      </c>
      <c r="DE113" s="228">
        <v>61.3</v>
      </c>
      <c r="DF113" s="228">
        <v>-12.99</v>
      </c>
      <c r="DG113" s="228">
        <v>-0.15</v>
      </c>
      <c r="DH113" s="228">
        <v>44.41</v>
      </c>
      <c r="DI113" s="228">
        <v>45.09</v>
      </c>
      <c r="DJ113" s="228">
        <v>-0.68</v>
      </c>
      <c r="DK113" s="228">
        <v>-0.68</v>
      </c>
      <c r="DL113" s="228">
        <v>53.97</v>
      </c>
      <c r="DM113" s="228">
        <v>50.09</v>
      </c>
      <c r="DN113" s="228">
        <v>3.88</v>
      </c>
      <c r="DO113" s="228">
        <v>3.88</v>
      </c>
      <c r="DP113" s="228">
        <v>0.8</v>
      </c>
      <c r="DQ113" s="228">
        <v>0.84</v>
      </c>
      <c r="DR113" s="228">
        <v>-0.04</v>
      </c>
      <c r="DS113" s="229">
        <v>-4.7600000000000003E-2</v>
      </c>
      <c r="DT113" s="231">
        <v>4200</v>
      </c>
      <c r="DU113" s="231">
        <v>4000</v>
      </c>
      <c r="DV113" s="228">
        <v>0.65</v>
      </c>
      <c r="DW113" s="228">
        <v>0.45</v>
      </c>
      <c r="DX113" s="228">
        <v>0.2</v>
      </c>
      <c r="DY113" s="229">
        <v>0.44440000000000002</v>
      </c>
      <c r="DZ113" s="229">
        <v>0.15909999999999999</v>
      </c>
      <c r="EA113" s="230">
        <v>494500</v>
      </c>
      <c r="EB113" s="229">
        <v>-8.5000000000000006E-3</v>
      </c>
      <c r="EC113" s="229">
        <v>0.15909999999999999</v>
      </c>
      <c r="ED113" s="228">
        <v>-42.26</v>
      </c>
      <c r="EE113" s="229">
        <v>-1.01E-2</v>
      </c>
      <c r="EF113" s="230">
        <v>269383</v>
      </c>
      <c r="EG113" s="230">
        <v>480921</v>
      </c>
      <c r="EH113" s="229">
        <v>-0.43990000000000001</v>
      </c>
      <c r="EI113" s="229">
        <v>0.20930000000000001</v>
      </c>
      <c r="EJ113" s="231">
        <v>108894.83</v>
      </c>
      <c r="EK113" s="231">
        <v>62265.26</v>
      </c>
      <c r="EL113" s="231">
        <v>29773.99</v>
      </c>
      <c r="EM113" s="231">
        <v>10206</v>
      </c>
      <c r="EN113" s="231">
        <v>200934.08</v>
      </c>
      <c r="EO113" s="231">
        <v>524709.81000000006</v>
      </c>
      <c r="EP113" s="231">
        <v>-323775.73</v>
      </c>
      <c r="EQ113" s="229">
        <v>-0.61709999999999998</v>
      </c>
      <c r="ER113" s="231">
        <v>61380</v>
      </c>
      <c r="ES113" s="231">
        <v>44901</v>
      </c>
      <c r="ET113" s="231">
        <v>143726</v>
      </c>
      <c r="EU113" s="231">
        <v>4679418</v>
      </c>
      <c r="EV113" s="231">
        <v>250007</v>
      </c>
      <c r="EW113" s="231">
        <v>245235</v>
      </c>
      <c r="EX113" s="231">
        <v>4772</v>
      </c>
      <c r="EY113" s="229">
        <v>1.95E-2</v>
      </c>
      <c r="EZ113" s="229">
        <v>1.3124</v>
      </c>
      <c r="FA113" s="227" t="s">
        <v>566</v>
      </c>
      <c r="FB113" s="161">
        <f t="shared" si="1"/>
        <v>544000</v>
      </c>
    </row>
    <row r="114" spans="1:158" ht="17.25" thickBot="1" x14ac:dyDescent="0.3">
      <c r="A114" s="226">
        <v>46129</v>
      </c>
      <c r="B114" s="227" t="s">
        <v>161</v>
      </c>
      <c r="C114" s="227" t="s">
        <v>609</v>
      </c>
      <c r="D114" s="228">
        <v>175</v>
      </c>
      <c r="E114" s="231">
        <v>4823.5</v>
      </c>
      <c r="F114" s="231">
        <v>4648.8999999999996</v>
      </c>
      <c r="G114" s="228">
        <v>174.6</v>
      </c>
      <c r="H114" s="229">
        <v>3.7600000000000001E-2</v>
      </c>
      <c r="I114" s="231">
        <v>4839.3</v>
      </c>
      <c r="J114" s="231">
        <v>4647.3999999999996</v>
      </c>
      <c r="K114" s="228">
        <v>191.9</v>
      </c>
      <c r="L114" s="229">
        <v>4.1300000000000003E-2</v>
      </c>
      <c r="M114" s="231">
        <v>4823.5</v>
      </c>
      <c r="N114" s="231">
        <v>4648.8999999999996</v>
      </c>
      <c r="O114" s="228">
        <v>174.6</v>
      </c>
      <c r="P114" s="229">
        <v>3.7600000000000001E-2</v>
      </c>
      <c r="Q114" s="231">
        <v>4732.8</v>
      </c>
      <c r="R114" s="231">
        <v>4566.6000000000004</v>
      </c>
      <c r="S114" s="228">
        <v>166.2</v>
      </c>
      <c r="T114" s="229">
        <v>3.6400000000000002E-2</v>
      </c>
      <c r="U114" s="231">
        <v>4719</v>
      </c>
      <c r="V114" s="231">
        <v>4545.3999999999996</v>
      </c>
      <c r="W114" s="228">
        <v>173.6</v>
      </c>
      <c r="X114" s="229">
        <v>3.8199999999999998E-2</v>
      </c>
      <c r="Y114" s="228">
        <v>-15.8</v>
      </c>
      <c r="Z114" s="228">
        <v>1.5</v>
      </c>
      <c r="AA114" s="228">
        <v>-17.3</v>
      </c>
      <c r="AB114" s="229">
        <v>-3.3E-3</v>
      </c>
      <c r="AC114" s="228">
        <v>-15.8</v>
      </c>
      <c r="AD114" s="228">
        <v>1.5</v>
      </c>
      <c r="AE114" s="228">
        <v>-17.3</v>
      </c>
      <c r="AF114" s="229">
        <v>-3.3E-3</v>
      </c>
      <c r="AG114" s="228">
        <v>-106.5</v>
      </c>
      <c r="AH114" s="228">
        <v>-80.8</v>
      </c>
      <c r="AI114" s="228">
        <v>-25.7</v>
      </c>
      <c r="AJ114" s="229">
        <v>-2.1999999999999999E-2</v>
      </c>
      <c r="AK114" s="228">
        <v>-120.3</v>
      </c>
      <c r="AL114" s="228">
        <v>-102</v>
      </c>
      <c r="AM114" s="228">
        <v>-18.3</v>
      </c>
      <c r="AN114" s="229">
        <v>-2.4899999999999999E-2</v>
      </c>
      <c r="AO114" s="231">
        <v>4791.3100000000004</v>
      </c>
      <c r="AP114" s="231">
        <v>4699.12</v>
      </c>
      <c r="AQ114" s="228">
        <v>0</v>
      </c>
      <c r="AR114" s="230">
        <v>772275</v>
      </c>
      <c r="AS114" s="230">
        <v>746025</v>
      </c>
      <c r="AT114" s="230">
        <v>26250</v>
      </c>
      <c r="AU114" s="229">
        <v>3.5200000000000002E-2</v>
      </c>
      <c r="AV114" s="230">
        <v>585025</v>
      </c>
      <c r="AW114" s="230">
        <v>538125</v>
      </c>
      <c r="AX114" s="230">
        <v>46900</v>
      </c>
      <c r="AY114" s="229">
        <v>8.72E-2</v>
      </c>
      <c r="AZ114" s="230">
        <v>181300</v>
      </c>
      <c r="BA114" s="230">
        <v>205275</v>
      </c>
      <c r="BB114" s="230">
        <v>-23975</v>
      </c>
      <c r="BC114" s="229">
        <v>-0.1168</v>
      </c>
      <c r="BD114" s="230">
        <v>5950</v>
      </c>
      <c r="BE114" s="230">
        <v>2625</v>
      </c>
      <c r="BF114" s="230">
        <v>3325</v>
      </c>
      <c r="BG114" s="229">
        <v>1.2666999999999999</v>
      </c>
      <c r="BH114" s="230">
        <v>3695300</v>
      </c>
      <c r="BI114" s="230">
        <v>1405775</v>
      </c>
      <c r="BJ114" s="230">
        <v>2289525</v>
      </c>
      <c r="BK114" s="229">
        <v>1.6287</v>
      </c>
      <c r="BL114" s="230">
        <v>1045625</v>
      </c>
      <c r="BM114" s="230">
        <v>297325</v>
      </c>
      <c r="BN114" s="230">
        <v>748300</v>
      </c>
      <c r="BO114" s="229">
        <v>2.5167999999999999</v>
      </c>
      <c r="BP114" s="230">
        <v>5513200</v>
      </c>
      <c r="BQ114" s="230">
        <v>2449125</v>
      </c>
      <c r="BR114" s="230">
        <v>3064075</v>
      </c>
      <c r="BS114" s="229">
        <v>1.2511000000000001</v>
      </c>
      <c r="BT114" s="230">
        <v>513070</v>
      </c>
      <c r="BU114" s="230">
        <v>350059</v>
      </c>
      <c r="BV114" s="230">
        <v>163011</v>
      </c>
      <c r="BW114" s="229">
        <v>0.4657</v>
      </c>
      <c r="BX114" s="230">
        <v>2330475</v>
      </c>
      <c r="BY114" s="230">
        <v>2311050</v>
      </c>
      <c r="BZ114" s="230">
        <v>19425</v>
      </c>
      <c r="CA114" s="229">
        <v>8.3999999999999995E-3</v>
      </c>
      <c r="CB114" s="230">
        <v>1837325</v>
      </c>
      <c r="CC114" s="230">
        <v>1885800</v>
      </c>
      <c r="CD114" s="230">
        <v>-48475</v>
      </c>
      <c r="CE114" s="229">
        <v>-2.5700000000000001E-2</v>
      </c>
      <c r="CF114" s="230">
        <v>489125</v>
      </c>
      <c r="CG114" s="230">
        <v>418600</v>
      </c>
      <c r="CH114" s="230">
        <v>70525</v>
      </c>
      <c r="CI114" s="229">
        <v>0.16850000000000001</v>
      </c>
      <c r="CJ114" s="230">
        <v>4025</v>
      </c>
      <c r="CK114" s="230">
        <v>6650</v>
      </c>
      <c r="CL114" s="230">
        <v>-2625</v>
      </c>
      <c r="CM114" s="229">
        <v>-0.3947</v>
      </c>
      <c r="CN114" s="230">
        <v>694575</v>
      </c>
      <c r="CO114" s="230">
        <v>635425</v>
      </c>
      <c r="CP114" s="230">
        <v>59150</v>
      </c>
      <c r="CQ114" s="229">
        <v>9.3100000000000002E-2</v>
      </c>
      <c r="CR114" s="230">
        <v>483875</v>
      </c>
      <c r="CS114" s="230">
        <v>458675</v>
      </c>
      <c r="CT114" s="230">
        <v>25200</v>
      </c>
      <c r="CU114" s="229">
        <v>5.4899999999999997E-2</v>
      </c>
      <c r="CV114" s="230">
        <v>3508925</v>
      </c>
      <c r="CW114" s="230">
        <v>3405150</v>
      </c>
      <c r="CX114" s="230">
        <v>103775</v>
      </c>
      <c r="CY114" s="229">
        <v>3.0499999999999999E-2</v>
      </c>
      <c r="CZ114" s="228">
        <v>37.26</v>
      </c>
      <c r="DA114" s="228">
        <v>39.47</v>
      </c>
      <c r="DB114" s="228">
        <v>-2.21</v>
      </c>
      <c r="DC114" s="228">
        <v>-2.21</v>
      </c>
      <c r="DD114" s="228">
        <v>46.63</v>
      </c>
      <c r="DE114" s="228">
        <v>46.48</v>
      </c>
      <c r="DF114" s="228">
        <v>-9.3699999999999992</v>
      </c>
      <c r="DG114" s="228">
        <v>0.15</v>
      </c>
      <c r="DH114" s="228">
        <v>36.229999999999997</v>
      </c>
      <c r="DI114" s="228">
        <v>38.97</v>
      </c>
      <c r="DJ114" s="228">
        <v>-2.74</v>
      </c>
      <c r="DK114" s="228">
        <v>-2.74</v>
      </c>
      <c r="DL114" s="228">
        <v>40.92</v>
      </c>
      <c r="DM114" s="228">
        <v>41.84</v>
      </c>
      <c r="DN114" s="228">
        <v>-0.92</v>
      </c>
      <c r="DO114" s="228">
        <v>-0.92</v>
      </c>
      <c r="DP114" s="228">
        <v>0.7</v>
      </c>
      <c r="DQ114" s="228">
        <v>0.72</v>
      </c>
      <c r="DR114" s="228">
        <v>-0.02</v>
      </c>
      <c r="DS114" s="229">
        <v>-2.7799999999999998E-2</v>
      </c>
      <c r="DT114" s="231">
        <v>5000</v>
      </c>
      <c r="DU114" s="231">
        <v>4500</v>
      </c>
      <c r="DV114" s="228">
        <v>0.28000000000000003</v>
      </c>
      <c r="DW114" s="228">
        <v>0.21</v>
      </c>
      <c r="DX114" s="228">
        <v>7.0000000000000007E-2</v>
      </c>
      <c r="DY114" s="229">
        <v>0.33329999999999999</v>
      </c>
      <c r="DZ114" s="229">
        <v>0.21160000000000001</v>
      </c>
      <c r="EA114" s="230">
        <v>425250</v>
      </c>
      <c r="EB114" s="229">
        <v>-1.8800000000000001E-2</v>
      </c>
      <c r="EC114" s="229">
        <v>0.21160000000000001</v>
      </c>
      <c r="ED114" s="228">
        <v>-92.19</v>
      </c>
      <c r="EE114" s="229">
        <v>-1.9199999999999998E-2</v>
      </c>
      <c r="EF114" s="230">
        <v>170840</v>
      </c>
      <c r="EG114" s="230">
        <v>141377</v>
      </c>
      <c r="EH114" s="229">
        <v>0.2084</v>
      </c>
      <c r="EI114" s="229">
        <v>0.33300000000000002</v>
      </c>
      <c r="EJ114" s="231">
        <v>183823.37</v>
      </c>
      <c r="EK114" s="231">
        <v>49008.97</v>
      </c>
      <c r="EL114" s="231">
        <v>36825</v>
      </c>
      <c r="EM114" s="231">
        <v>3106</v>
      </c>
      <c r="EN114" s="231">
        <v>269657.34000000003</v>
      </c>
      <c r="EO114" s="231">
        <v>115856.05</v>
      </c>
      <c r="EP114" s="231">
        <v>153801.29</v>
      </c>
      <c r="EQ114" s="229">
        <v>1.3274999999999999</v>
      </c>
      <c r="ER114" s="231">
        <v>32189</v>
      </c>
      <c r="ES114" s="231">
        <v>21000</v>
      </c>
      <c r="ET114" s="231">
        <v>111963</v>
      </c>
      <c r="EU114" s="231">
        <v>9320940</v>
      </c>
      <c r="EV114" s="231">
        <v>165151</v>
      </c>
      <c r="EW114" s="231">
        <v>155385</v>
      </c>
      <c r="EX114" s="231">
        <v>9766</v>
      </c>
      <c r="EY114" s="229">
        <v>6.2899999999999998E-2</v>
      </c>
      <c r="EZ114" s="229">
        <v>0.3765</v>
      </c>
      <c r="FA114" s="227" t="s">
        <v>555</v>
      </c>
      <c r="FB114" s="161">
        <f t="shared" si="1"/>
        <v>493150</v>
      </c>
    </row>
    <row r="115" spans="1:158" ht="17.25" thickBot="1" x14ac:dyDescent="0.3">
      <c r="A115" s="226">
        <v>46129</v>
      </c>
      <c r="B115" s="227" t="s">
        <v>175</v>
      </c>
      <c r="C115" s="227" t="s">
        <v>681</v>
      </c>
      <c r="D115" s="228">
        <v>500</v>
      </c>
      <c r="E115" s="228">
        <v>977.6</v>
      </c>
      <c r="F115" s="228">
        <v>953.35</v>
      </c>
      <c r="G115" s="228">
        <v>24.25</v>
      </c>
      <c r="H115" s="229">
        <v>2.5399999999999999E-2</v>
      </c>
      <c r="I115" s="228">
        <v>976</v>
      </c>
      <c r="J115" s="228">
        <v>955.9</v>
      </c>
      <c r="K115" s="228">
        <v>20.100000000000001</v>
      </c>
      <c r="L115" s="229">
        <v>2.1000000000000001E-2</v>
      </c>
      <c r="M115" s="228">
        <v>977.6</v>
      </c>
      <c r="N115" s="228">
        <v>953.35</v>
      </c>
      <c r="O115" s="228">
        <v>24.25</v>
      </c>
      <c r="P115" s="229">
        <v>2.5399999999999999E-2</v>
      </c>
      <c r="Q115" s="228">
        <v>957.5</v>
      </c>
      <c r="R115" s="228">
        <v>935.3</v>
      </c>
      <c r="S115" s="228">
        <v>22.2</v>
      </c>
      <c r="T115" s="229">
        <v>2.3699999999999999E-2</v>
      </c>
      <c r="U115" s="228">
        <v>947.7</v>
      </c>
      <c r="V115" s="228">
        <v>930</v>
      </c>
      <c r="W115" s="228">
        <v>17.7</v>
      </c>
      <c r="X115" s="229">
        <v>1.9E-2</v>
      </c>
      <c r="Y115" s="228">
        <v>1.6</v>
      </c>
      <c r="Z115" s="228">
        <v>-2.5499999999999998</v>
      </c>
      <c r="AA115" s="228">
        <v>4.1500000000000004</v>
      </c>
      <c r="AB115" s="229">
        <v>1.6000000000000001E-3</v>
      </c>
      <c r="AC115" s="228">
        <v>1.6</v>
      </c>
      <c r="AD115" s="228">
        <v>-2.5499999999999998</v>
      </c>
      <c r="AE115" s="228">
        <v>4.1500000000000004</v>
      </c>
      <c r="AF115" s="229">
        <v>1.6000000000000001E-3</v>
      </c>
      <c r="AG115" s="228">
        <v>-18.5</v>
      </c>
      <c r="AH115" s="228">
        <v>-20.6</v>
      </c>
      <c r="AI115" s="228">
        <v>2.1</v>
      </c>
      <c r="AJ115" s="229">
        <v>-1.9E-2</v>
      </c>
      <c r="AK115" s="228">
        <v>-28.3</v>
      </c>
      <c r="AL115" s="228">
        <v>-25.9</v>
      </c>
      <c r="AM115" s="228">
        <v>-2.4</v>
      </c>
      <c r="AN115" s="229">
        <v>-2.9000000000000001E-2</v>
      </c>
      <c r="AO115" s="228">
        <v>968.32</v>
      </c>
      <c r="AP115" s="228">
        <v>946.55</v>
      </c>
      <c r="AQ115" s="228">
        <v>0</v>
      </c>
      <c r="AR115" s="230">
        <v>1804500</v>
      </c>
      <c r="AS115" s="230">
        <v>2500000</v>
      </c>
      <c r="AT115" s="230">
        <v>-695500</v>
      </c>
      <c r="AU115" s="229">
        <v>-0.2782</v>
      </c>
      <c r="AV115" s="230">
        <v>1344500</v>
      </c>
      <c r="AW115" s="230">
        <v>1980500</v>
      </c>
      <c r="AX115" s="230">
        <v>-636000</v>
      </c>
      <c r="AY115" s="229">
        <v>-0.3211</v>
      </c>
      <c r="AZ115" s="230">
        <v>424500</v>
      </c>
      <c r="BA115" s="230">
        <v>468500</v>
      </c>
      <c r="BB115" s="230">
        <v>-44000</v>
      </c>
      <c r="BC115" s="229">
        <v>-9.3899999999999997E-2</v>
      </c>
      <c r="BD115" s="230">
        <v>35500</v>
      </c>
      <c r="BE115" s="230">
        <v>51000</v>
      </c>
      <c r="BF115" s="230">
        <v>-15500</v>
      </c>
      <c r="BG115" s="229">
        <v>-0.3039</v>
      </c>
      <c r="BH115" s="230">
        <v>6310000</v>
      </c>
      <c r="BI115" s="230">
        <v>6739500</v>
      </c>
      <c r="BJ115" s="230">
        <v>-429500</v>
      </c>
      <c r="BK115" s="229">
        <v>-6.3700000000000007E-2</v>
      </c>
      <c r="BL115" s="230">
        <v>1611500</v>
      </c>
      <c r="BM115" s="230">
        <v>1339000</v>
      </c>
      <c r="BN115" s="230">
        <v>272500</v>
      </c>
      <c r="BO115" s="229">
        <v>0.20349999999999999</v>
      </c>
      <c r="BP115" s="230">
        <v>9726000</v>
      </c>
      <c r="BQ115" s="230">
        <v>10578500</v>
      </c>
      <c r="BR115" s="230">
        <v>-852500</v>
      </c>
      <c r="BS115" s="229">
        <v>-8.0600000000000005E-2</v>
      </c>
      <c r="BT115" s="230">
        <v>2169365</v>
      </c>
      <c r="BU115" s="230">
        <v>1754053</v>
      </c>
      <c r="BV115" s="230">
        <v>415312</v>
      </c>
      <c r="BW115" s="229">
        <v>0.23680000000000001</v>
      </c>
      <c r="BX115" s="230">
        <v>3644500</v>
      </c>
      <c r="BY115" s="230">
        <v>3440000</v>
      </c>
      <c r="BZ115" s="230">
        <v>204500</v>
      </c>
      <c r="CA115" s="229">
        <v>5.9400000000000001E-2</v>
      </c>
      <c r="CB115" s="230">
        <v>2943500</v>
      </c>
      <c r="CC115" s="230">
        <v>2843500</v>
      </c>
      <c r="CD115" s="230">
        <v>100000</v>
      </c>
      <c r="CE115" s="229">
        <v>3.5200000000000002E-2</v>
      </c>
      <c r="CF115" s="230">
        <v>630000</v>
      </c>
      <c r="CG115" s="230">
        <v>542500</v>
      </c>
      <c r="CH115" s="230">
        <v>87500</v>
      </c>
      <c r="CI115" s="229">
        <v>0.1613</v>
      </c>
      <c r="CJ115" s="230">
        <v>71000</v>
      </c>
      <c r="CK115" s="230">
        <v>54000</v>
      </c>
      <c r="CL115" s="230">
        <v>17000</v>
      </c>
      <c r="CM115" s="229">
        <v>0.31480000000000002</v>
      </c>
      <c r="CN115" s="230">
        <v>2499000</v>
      </c>
      <c r="CO115" s="230">
        <v>1891000</v>
      </c>
      <c r="CP115" s="230">
        <v>608000</v>
      </c>
      <c r="CQ115" s="229">
        <v>0.32150000000000001</v>
      </c>
      <c r="CR115" s="230">
        <v>1249000</v>
      </c>
      <c r="CS115" s="230">
        <v>970000</v>
      </c>
      <c r="CT115" s="230">
        <v>279000</v>
      </c>
      <c r="CU115" s="229">
        <v>0.28760000000000002</v>
      </c>
      <c r="CV115" s="230">
        <v>7392500</v>
      </c>
      <c r="CW115" s="230">
        <v>6301000</v>
      </c>
      <c r="CX115" s="230">
        <v>1091500</v>
      </c>
      <c r="CY115" s="229">
        <v>0.17319999999999999</v>
      </c>
      <c r="CZ115" s="228">
        <v>38.229999999999997</v>
      </c>
      <c r="DA115" s="228">
        <v>39.74</v>
      </c>
      <c r="DB115" s="228">
        <v>-1.51</v>
      </c>
      <c r="DC115" s="228">
        <v>-1.51</v>
      </c>
      <c r="DD115" s="228">
        <v>50.35</v>
      </c>
      <c r="DE115" s="228">
        <v>50.36</v>
      </c>
      <c r="DF115" s="228">
        <v>-12.12</v>
      </c>
      <c r="DG115" s="228">
        <v>-0.01</v>
      </c>
      <c r="DH115" s="228">
        <v>37.76</v>
      </c>
      <c r="DI115" s="228">
        <v>39.1</v>
      </c>
      <c r="DJ115" s="228">
        <v>-1.34</v>
      </c>
      <c r="DK115" s="228">
        <v>-1.34</v>
      </c>
      <c r="DL115" s="228">
        <v>40.07</v>
      </c>
      <c r="DM115" s="228">
        <v>42.92</v>
      </c>
      <c r="DN115" s="228">
        <v>-2.85</v>
      </c>
      <c r="DO115" s="228">
        <v>-2.85</v>
      </c>
      <c r="DP115" s="228">
        <v>0.5</v>
      </c>
      <c r="DQ115" s="228">
        <v>0.51</v>
      </c>
      <c r="DR115" s="228">
        <v>-0.01</v>
      </c>
      <c r="DS115" s="229">
        <v>-1.9599999999999999E-2</v>
      </c>
      <c r="DT115" s="231">
        <v>1000</v>
      </c>
      <c r="DU115" s="228">
        <v>920</v>
      </c>
      <c r="DV115" s="228">
        <v>0.26</v>
      </c>
      <c r="DW115" s="228">
        <v>0.2</v>
      </c>
      <c r="DX115" s="228">
        <v>0.06</v>
      </c>
      <c r="DY115" s="229">
        <v>0.3</v>
      </c>
      <c r="DZ115" s="229">
        <v>0.1923</v>
      </c>
      <c r="EA115" s="230">
        <v>596500</v>
      </c>
      <c r="EB115" s="229">
        <v>-2.06E-2</v>
      </c>
      <c r="EC115" s="229">
        <v>0.1923</v>
      </c>
      <c r="ED115" s="228">
        <v>-21.77</v>
      </c>
      <c r="EE115" s="229">
        <v>-2.2499999999999999E-2</v>
      </c>
      <c r="EF115" s="230">
        <v>876764</v>
      </c>
      <c r="EG115" s="230">
        <v>504692</v>
      </c>
      <c r="EH115" s="229">
        <v>0.73719999999999997</v>
      </c>
      <c r="EI115" s="229">
        <v>0.4042</v>
      </c>
      <c r="EJ115" s="231">
        <v>63884.36</v>
      </c>
      <c r="EK115" s="231">
        <v>15141.57</v>
      </c>
      <c r="EL115" s="231">
        <v>17371.650000000001</v>
      </c>
      <c r="EM115" s="231">
        <v>2932</v>
      </c>
      <c r="EN115" s="231">
        <v>96397.58</v>
      </c>
      <c r="EO115" s="231">
        <v>103446.46</v>
      </c>
      <c r="EP115" s="231">
        <v>-7048.88</v>
      </c>
      <c r="EQ115" s="229">
        <v>-6.8099999999999994E-2</v>
      </c>
      <c r="ER115" s="231">
        <v>24715</v>
      </c>
      <c r="ES115" s="231">
        <v>11456</v>
      </c>
      <c r="ET115" s="231">
        <v>35481</v>
      </c>
      <c r="EU115" s="231">
        <v>19953342</v>
      </c>
      <c r="EV115" s="231">
        <v>71653</v>
      </c>
      <c r="EW115" s="231">
        <v>59821</v>
      </c>
      <c r="EX115" s="231">
        <v>11832</v>
      </c>
      <c r="EY115" s="229">
        <v>0.1978</v>
      </c>
      <c r="EZ115" s="229">
        <v>0.3705</v>
      </c>
      <c r="FA115" s="227" t="s">
        <v>555</v>
      </c>
      <c r="FB115" s="161">
        <f t="shared" si="1"/>
        <v>701000</v>
      </c>
    </row>
    <row r="116" spans="1:158" ht="17.25" thickBot="1" x14ac:dyDescent="0.3">
      <c r="A116" s="226">
        <v>46129</v>
      </c>
      <c r="B116" s="227" t="s">
        <v>172</v>
      </c>
      <c r="C116" s="227" t="s">
        <v>246</v>
      </c>
      <c r="D116" s="228">
        <v>2000</v>
      </c>
      <c r="E116" s="228">
        <v>383.6</v>
      </c>
      <c r="F116" s="228">
        <v>379.1</v>
      </c>
      <c r="G116" s="228">
        <v>4.5</v>
      </c>
      <c r="H116" s="229">
        <v>1.1900000000000001E-2</v>
      </c>
      <c r="I116" s="228">
        <v>383.6</v>
      </c>
      <c r="J116" s="228">
        <v>379.15</v>
      </c>
      <c r="K116" s="228">
        <v>4.45</v>
      </c>
      <c r="L116" s="229">
        <v>1.17E-2</v>
      </c>
      <c r="M116" s="228">
        <v>383.6</v>
      </c>
      <c r="N116" s="228">
        <v>379.1</v>
      </c>
      <c r="O116" s="228">
        <v>4.5</v>
      </c>
      <c r="P116" s="229">
        <v>1.1900000000000001E-2</v>
      </c>
      <c r="Q116" s="228">
        <v>385.35</v>
      </c>
      <c r="R116" s="228">
        <v>381.5</v>
      </c>
      <c r="S116" s="228">
        <v>3.85</v>
      </c>
      <c r="T116" s="229">
        <v>1.01E-2</v>
      </c>
      <c r="U116" s="228">
        <v>388.45</v>
      </c>
      <c r="V116" s="228">
        <v>383.45</v>
      </c>
      <c r="W116" s="228">
        <v>5</v>
      </c>
      <c r="X116" s="229">
        <v>1.2999999999999999E-2</v>
      </c>
      <c r="Y116" s="228">
        <v>0</v>
      </c>
      <c r="Z116" s="228">
        <v>-0.05</v>
      </c>
      <c r="AA116" s="228">
        <v>0.05</v>
      </c>
      <c r="AB116" s="229">
        <v>0</v>
      </c>
      <c r="AC116" s="228">
        <v>0</v>
      </c>
      <c r="AD116" s="228">
        <v>-0.05</v>
      </c>
      <c r="AE116" s="228">
        <v>0.05</v>
      </c>
      <c r="AF116" s="229">
        <v>0</v>
      </c>
      <c r="AG116" s="228">
        <v>1.75</v>
      </c>
      <c r="AH116" s="228">
        <v>2.35</v>
      </c>
      <c r="AI116" s="228">
        <v>-0.6</v>
      </c>
      <c r="AJ116" s="229">
        <v>4.5999999999999999E-3</v>
      </c>
      <c r="AK116" s="228">
        <v>4.8499999999999996</v>
      </c>
      <c r="AL116" s="228">
        <v>4.3</v>
      </c>
      <c r="AM116" s="228">
        <v>0.55000000000000004</v>
      </c>
      <c r="AN116" s="229">
        <v>1.26E-2</v>
      </c>
      <c r="AO116" s="228">
        <v>383.4</v>
      </c>
      <c r="AP116" s="228">
        <v>385.24</v>
      </c>
      <c r="AQ116" s="228">
        <v>0</v>
      </c>
      <c r="AR116" s="230">
        <v>23902000</v>
      </c>
      <c r="AS116" s="230">
        <v>23542000</v>
      </c>
      <c r="AT116" s="230">
        <v>360000</v>
      </c>
      <c r="AU116" s="229">
        <v>1.5299999999999999E-2</v>
      </c>
      <c r="AV116" s="230">
        <v>17592000</v>
      </c>
      <c r="AW116" s="230">
        <v>17930000</v>
      </c>
      <c r="AX116" s="230">
        <v>-338000</v>
      </c>
      <c r="AY116" s="229">
        <v>-1.89E-2</v>
      </c>
      <c r="AZ116" s="230">
        <v>2172000</v>
      </c>
      <c r="BA116" s="230">
        <v>2338000</v>
      </c>
      <c r="BB116" s="230">
        <v>-166000</v>
      </c>
      <c r="BC116" s="229">
        <v>-7.0999999999999994E-2</v>
      </c>
      <c r="BD116" s="230">
        <v>4138000</v>
      </c>
      <c r="BE116" s="230">
        <v>3274000</v>
      </c>
      <c r="BF116" s="230">
        <v>864000</v>
      </c>
      <c r="BG116" s="229">
        <v>0.26390000000000002</v>
      </c>
      <c r="BH116" s="230">
        <v>28040000</v>
      </c>
      <c r="BI116" s="230">
        <v>36658000</v>
      </c>
      <c r="BJ116" s="230">
        <v>-8618000</v>
      </c>
      <c r="BK116" s="229">
        <v>-0.2351</v>
      </c>
      <c r="BL116" s="230">
        <v>17038000</v>
      </c>
      <c r="BM116" s="230">
        <v>19474000</v>
      </c>
      <c r="BN116" s="230">
        <v>-2436000</v>
      </c>
      <c r="BO116" s="229">
        <v>-0.12509999999999999</v>
      </c>
      <c r="BP116" s="230">
        <v>68980000</v>
      </c>
      <c r="BQ116" s="230">
        <v>79674000</v>
      </c>
      <c r="BR116" s="230">
        <v>-10694000</v>
      </c>
      <c r="BS116" s="229">
        <v>-0.13420000000000001</v>
      </c>
      <c r="BT116" s="230">
        <v>11976142</v>
      </c>
      <c r="BU116" s="230">
        <v>13945459</v>
      </c>
      <c r="BV116" s="230">
        <v>-1969317</v>
      </c>
      <c r="BW116" s="229">
        <v>-0.14119999999999999</v>
      </c>
      <c r="BX116" s="230">
        <v>217516000</v>
      </c>
      <c r="BY116" s="230">
        <v>221414000</v>
      </c>
      <c r="BZ116" s="230">
        <v>-3898000</v>
      </c>
      <c r="CA116" s="229">
        <v>-1.7600000000000001E-2</v>
      </c>
      <c r="CB116" s="230">
        <v>171224000</v>
      </c>
      <c r="CC116" s="230">
        <v>180262000</v>
      </c>
      <c r="CD116" s="230">
        <v>-9038000</v>
      </c>
      <c r="CE116" s="229">
        <v>-5.0099999999999999E-2</v>
      </c>
      <c r="CF116" s="230">
        <v>33820000</v>
      </c>
      <c r="CG116" s="230">
        <v>32714000</v>
      </c>
      <c r="CH116" s="230">
        <v>1106000</v>
      </c>
      <c r="CI116" s="229">
        <v>3.3799999999999997E-2</v>
      </c>
      <c r="CJ116" s="230">
        <v>12472000</v>
      </c>
      <c r="CK116" s="230">
        <v>8438000</v>
      </c>
      <c r="CL116" s="230">
        <v>4034000</v>
      </c>
      <c r="CM116" s="229">
        <v>0.47810000000000002</v>
      </c>
      <c r="CN116" s="230">
        <v>30824000</v>
      </c>
      <c r="CO116" s="230">
        <v>31950000</v>
      </c>
      <c r="CP116" s="230">
        <v>-1126000</v>
      </c>
      <c r="CQ116" s="229">
        <v>-3.5200000000000002E-2</v>
      </c>
      <c r="CR116" s="230">
        <v>27720000</v>
      </c>
      <c r="CS116" s="230">
        <v>26800000</v>
      </c>
      <c r="CT116" s="230">
        <v>920000</v>
      </c>
      <c r="CU116" s="229">
        <v>3.4299999999999997E-2</v>
      </c>
      <c r="CV116" s="230">
        <v>276060000</v>
      </c>
      <c r="CW116" s="230">
        <v>280164000</v>
      </c>
      <c r="CX116" s="230">
        <v>-4104000</v>
      </c>
      <c r="CY116" s="229">
        <v>-1.46E-2</v>
      </c>
      <c r="CZ116" s="228">
        <v>27.3</v>
      </c>
      <c r="DA116" s="228">
        <v>27.95</v>
      </c>
      <c r="DB116" s="228">
        <v>-0.65</v>
      </c>
      <c r="DC116" s="228">
        <v>-0.65</v>
      </c>
      <c r="DD116" s="228">
        <v>27.35</v>
      </c>
      <c r="DE116" s="228">
        <v>27.38</v>
      </c>
      <c r="DF116" s="228">
        <v>-0.05</v>
      </c>
      <c r="DG116" s="228">
        <v>-0.03</v>
      </c>
      <c r="DH116" s="228">
        <v>26.74</v>
      </c>
      <c r="DI116" s="228">
        <v>28.23</v>
      </c>
      <c r="DJ116" s="228">
        <v>-1.49</v>
      </c>
      <c r="DK116" s="228">
        <v>-1.49</v>
      </c>
      <c r="DL116" s="228">
        <v>28.23</v>
      </c>
      <c r="DM116" s="228">
        <v>27.41</v>
      </c>
      <c r="DN116" s="228">
        <v>0.82</v>
      </c>
      <c r="DO116" s="228">
        <v>0.82</v>
      </c>
      <c r="DP116" s="228">
        <v>0.9</v>
      </c>
      <c r="DQ116" s="228">
        <v>0.84</v>
      </c>
      <c r="DR116" s="228">
        <v>0.06</v>
      </c>
      <c r="DS116" s="229">
        <v>7.1400000000000005E-2</v>
      </c>
      <c r="DT116" s="228">
        <v>370</v>
      </c>
      <c r="DU116" s="228">
        <v>335</v>
      </c>
      <c r="DV116" s="228">
        <v>0.61</v>
      </c>
      <c r="DW116" s="228">
        <v>0.53</v>
      </c>
      <c r="DX116" s="228">
        <v>0.08</v>
      </c>
      <c r="DY116" s="229">
        <v>0.15090000000000001</v>
      </c>
      <c r="DZ116" s="229">
        <v>0.21279999999999999</v>
      </c>
      <c r="EA116" s="230">
        <v>41152000</v>
      </c>
      <c r="EB116" s="229">
        <v>4.5999999999999999E-3</v>
      </c>
      <c r="EC116" s="229">
        <v>0.21279999999999999</v>
      </c>
      <c r="ED116" s="228">
        <v>1.84</v>
      </c>
      <c r="EE116" s="229">
        <v>4.7999999999999996E-3</v>
      </c>
      <c r="EF116" s="230">
        <v>8135992</v>
      </c>
      <c r="EG116" s="230">
        <v>7092092</v>
      </c>
      <c r="EH116" s="229">
        <v>0.1472</v>
      </c>
      <c r="EI116" s="229">
        <v>0.67930000000000001</v>
      </c>
      <c r="EJ116" s="231">
        <v>110916.57</v>
      </c>
      <c r="EK116" s="231">
        <v>64626.05</v>
      </c>
      <c r="EL116" s="231">
        <v>91875.83</v>
      </c>
      <c r="EM116" s="231">
        <v>12030</v>
      </c>
      <c r="EN116" s="231">
        <v>267418.45</v>
      </c>
      <c r="EO116" s="231">
        <v>310239.40999999997</v>
      </c>
      <c r="EP116" s="231">
        <v>-42820.959999999999</v>
      </c>
      <c r="EQ116" s="229">
        <v>-0.13800000000000001</v>
      </c>
      <c r="ER116" s="231">
        <v>119704</v>
      </c>
      <c r="ES116" s="231">
        <v>99391</v>
      </c>
      <c r="ET116" s="231">
        <v>835588</v>
      </c>
      <c r="EU116" s="231">
        <v>882793124</v>
      </c>
      <c r="EV116" s="231">
        <v>1054684</v>
      </c>
      <c r="EW116" s="231">
        <v>1060201</v>
      </c>
      <c r="EX116" s="231">
        <v>-5517</v>
      </c>
      <c r="EY116" s="229">
        <v>-5.1999999999999998E-3</v>
      </c>
      <c r="EZ116" s="229">
        <v>0.31269999999999998</v>
      </c>
      <c r="FA116" s="227" t="s">
        <v>693</v>
      </c>
      <c r="FB116" s="161">
        <f t="shared" si="1"/>
        <v>46292000</v>
      </c>
    </row>
    <row r="117" spans="1:158" ht="17.25" thickBot="1" x14ac:dyDescent="0.3">
      <c r="A117" s="226">
        <v>46129</v>
      </c>
      <c r="B117" s="227" t="s">
        <v>221</v>
      </c>
      <c r="C117" s="227" t="s">
        <v>576</v>
      </c>
      <c r="D117" s="228">
        <v>425</v>
      </c>
      <c r="E117" s="228">
        <v>747.85</v>
      </c>
      <c r="F117" s="228">
        <v>748.3</v>
      </c>
      <c r="G117" s="228">
        <v>-0.45</v>
      </c>
      <c r="H117" s="229">
        <v>-5.9999999999999995E-4</v>
      </c>
      <c r="I117" s="228">
        <v>747.8</v>
      </c>
      <c r="J117" s="228">
        <v>746.25</v>
      </c>
      <c r="K117" s="228">
        <v>1.55</v>
      </c>
      <c r="L117" s="229">
        <v>2.0999999999999999E-3</v>
      </c>
      <c r="M117" s="228">
        <v>747.85</v>
      </c>
      <c r="N117" s="228">
        <v>748.3</v>
      </c>
      <c r="O117" s="228">
        <v>-0.45</v>
      </c>
      <c r="P117" s="229">
        <v>-5.9999999999999995E-4</v>
      </c>
      <c r="Q117" s="228">
        <v>751.2</v>
      </c>
      <c r="R117" s="228">
        <v>751.95</v>
      </c>
      <c r="S117" s="228">
        <v>-0.75</v>
      </c>
      <c r="T117" s="229">
        <v>-1E-3</v>
      </c>
      <c r="U117" s="228">
        <v>755.8</v>
      </c>
      <c r="V117" s="228">
        <v>755.6</v>
      </c>
      <c r="W117" s="228">
        <v>0.2</v>
      </c>
      <c r="X117" s="229">
        <v>2.9999999999999997E-4</v>
      </c>
      <c r="Y117" s="228">
        <v>0.05</v>
      </c>
      <c r="Z117" s="228">
        <v>2.0499999999999998</v>
      </c>
      <c r="AA117" s="228">
        <v>-2</v>
      </c>
      <c r="AB117" s="229">
        <v>1E-4</v>
      </c>
      <c r="AC117" s="228">
        <v>0.05</v>
      </c>
      <c r="AD117" s="228">
        <v>2.0499999999999998</v>
      </c>
      <c r="AE117" s="228">
        <v>-2</v>
      </c>
      <c r="AF117" s="229">
        <v>1E-4</v>
      </c>
      <c r="AG117" s="228">
        <v>3.4</v>
      </c>
      <c r="AH117" s="228">
        <v>5.7</v>
      </c>
      <c r="AI117" s="228">
        <v>-2.2999999999999998</v>
      </c>
      <c r="AJ117" s="229">
        <v>4.4999999999999997E-3</v>
      </c>
      <c r="AK117" s="228">
        <v>8</v>
      </c>
      <c r="AL117" s="228">
        <v>9.35</v>
      </c>
      <c r="AM117" s="228">
        <v>-1.35</v>
      </c>
      <c r="AN117" s="229">
        <v>1.0699999999999999E-2</v>
      </c>
      <c r="AO117" s="228">
        <v>747.43</v>
      </c>
      <c r="AP117" s="228">
        <v>751.54</v>
      </c>
      <c r="AQ117" s="228">
        <v>0</v>
      </c>
      <c r="AR117" s="230">
        <v>1365950</v>
      </c>
      <c r="AS117" s="230">
        <v>2298825</v>
      </c>
      <c r="AT117" s="230">
        <v>-932875</v>
      </c>
      <c r="AU117" s="229">
        <v>-0.40579999999999999</v>
      </c>
      <c r="AV117" s="230">
        <v>1133900</v>
      </c>
      <c r="AW117" s="230">
        <v>1984325</v>
      </c>
      <c r="AX117" s="230">
        <v>-850425</v>
      </c>
      <c r="AY117" s="229">
        <v>-0.42859999999999998</v>
      </c>
      <c r="AZ117" s="230">
        <v>200600</v>
      </c>
      <c r="BA117" s="230">
        <v>289425</v>
      </c>
      <c r="BB117" s="230">
        <v>-88825</v>
      </c>
      <c r="BC117" s="229">
        <v>-0.30690000000000001</v>
      </c>
      <c r="BD117" s="230">
        <v>31450</v>
      </c>
      <c r="BE117" s="230">
        <v>25075</v>
      </c>
      <c r="BF117" s="230">
        <v>6375</v>
      </c>
      <c r="BG117" s="229">
        <v>0.25419999999999998</v>
      </c>
      <c r="BH117" s="230">
        <v>4512225</v>
      </c>
      <c r="BI117" s="230">
        <v>8902900</v>
      </c>
      <c r="BJ117" s="230">
        <v>-4390675</v>
      </c>
      <c r="BK117" s="229">
        <v>-0.49320000000000003</v>
      </c>
      <c r="BL117" s="230">
        <v>1872975</v>
      </c>
      <c r="BM117" s="230">
        <v>3006025</v>
      </c>
      <c r="BN117" s="230">
        <v>-1133050</v>
      </c>
      <c r="BO117" s="229">
        <v>-0.37690000000000001</v>
      </c>
      <c r="BP117" s="230">
        <v>7751150</v>
      </c>
      <c r="BQ117" s="230">
        <v>14207750</v>
      </c>
      <c r="BR117" s="230">
        <v>-6456600</v>
      </c>
      <c r="BS117" s="229">
        <v>-0.45440000000000003</v>
      </c>
      <c r="BT117" s="230">
        <v>1654766</v>
      </c>
      <c r="BU117" s="230">
        <v>2716201</v>
      </c>
      <c r="BV117" s="230">
        <v>-1061435</v>
      </c>
      <c r="BW117" s="229">
        <v>-0.39079999999999998</v>
      </c>
      <c r="BX117" s="230">
        <v>6921550</v>
      </c>
      <c r="BY117" s="230">
        <v>6919000</v>
      </c>
      <c r="BZ117" s="230">
        <v>2550</v>
      </c>
      <c r="CA117" s="229">
        <v>4.0000000000000002E-4</v>
      </c>
      <c r="CB117" s="230">
        <v>6441300</v>
      </c>
      <c r="CC117" s="230">
        <v>6480400</v>
      </c>
      <c r="CD117" s="230">
        <v>-39100</v>
      </c>
      <c r="CE117" s="229">
        <v>-6.0000000000000001E-3</v>
      </c>
      <c r="CF117" s="230">
        <v>395250</v>
      </c>
      <c r="CG117" s="230">
        <v>368050</v>
      </c>
      <c r="CH117" s="230">
        <v>27200</v>
      </c>
      <c r="CI117" s="229">
        <v>7.3899999999999993E-2</v>
      </c>
      <c r="CJ117" s="230">
        <v>85000</v>
      </c>
      <c r="CK117" s="230">
        <v>70550</v>
      </c>
      <c r="CL117" s="230">
        <v>14450</v>
      </c>
      <c r="CM117" s="229">
        <v>0.20480000000000001</v>
      </c>
      <c r="CN117" s="230">
        <v>3639700</v>
      </c>
      <c r="CO117" s="230">
        <v>3391075</v>
      </c>
      <c r="CP117" s="230">
        <v>248625</v>
      </c>
      <c r="CQ117" s="229">
        <v>7.3300000000000004E-2</v>
      </c>
      <c r="CR117" s="230">
        <v>2312000</v>
      </c>
      <c r="CS117" s="230">
        <v>2177275</v>
      </c>
      <c r="CT117" s="230">
        <v>134725</v>
      </c>
      <c r="CU117" s="229">
        <v>6.1899999999999997E-2</v>
      </c>
      <c r="CV117" s="230">
        <v>12873250</v>
      </c>
      <c r="CW117" s="230">
        <v>12487350</v>
      </c>
      <c r="CX117" s="230">
        <v>385900</v>
      </c>
      <c r="CY117" s="229">
        <v>3.09E-2</v>
      </c>
      <c r="CZ117" s="228">
        <v>41.25</v>
      </c>
      <c r="DA117" s="228">
        <v>41.88</v>
      </c>
      <c r="DB117" s="228">
        <v>-0.63</v>
      </c>
      <c r="DC117" s="228">
        <v>-0.63</v>
      </c>
      <c r="DD117" s="228">
        <v>45.07</v>
      </c>
      <c r="DE117" s="228">
        <v>45.19</v>
      </c>
      <c r="DF117" s="228">
        <v>-3.82</v>
      </c>
      <c r="DG117" s="228">
        <v>-0.12</v>
      </c>
      <c r="DH117" s="228">
        <v>39.96</v>
      </c>
      <c r="DI117" s="228">
        <v>41.15</v>
      </c>
      <c r="DJ117" s="228">
        <v>-1.19</v>
      </c>
      <c r="DK117" s="228">
        <v>-1.19</v>
      </c>
      <c r="DL117" s="228">
        <v>44.36</v>
      </c>
      <c r="DM117" s="228">
        <v>44.06</v>
      </c>
      <c r="DN117" s="228">
        <v>0.3</v>
      </c>
      <c r="DO117" s="228">
        <v>0.3</v>
      </c>
      <c r="DP117" s="228">
        <v>0.64</v>
      </c>
      <c r="DQ117" s="228">
        <v>0.64</v>
      </c>
      <c r="DR117" s="228">
        <v>0</v>
      </c>
      <c r="DS117" s="229">
        <v>0</v>
      </c>
      <c r="DT117" s="228">
        <v>800</v>
      </c>
      <c r="DU117" s="228">
        <v>700</v>
      </c>
      <c r="DV117" s="228">
        <v>0.42</v>
      </c>
      <c r="DW117" s="228">
        <v>0.34</v>
      </c>
      <c r="DX117" s="228">
        <v>0.08</v>
      </c>
      <c r="DY117" s="229">
        <v>0.23530000000000001</v>
      </c>
      <c r="DZ117" s="229">
        <v>6.9400000000000003E-2</v>
      </c>
      <c r="EA117" s="230">
        <v>438600</v>
      </c>
      <c r="EB117" s="229">
        <v>4.4999999999999997E-3</v>
      </c>
      <c r="EC117" s="229">
        <v>6.9400000000000003E-2</v>
      </c>
      <c r="ED117" s="228">
        <v>4.1100000000000003</v>
      </c>
      <c r="EE117" s="229">
        <v>5.4999999999999997E-3</v>
      </c>
      <c r="EF117" s="230">
        <v>602162</v>
      </c>
      <c r="EG117" s="230">
        <v>733024</v>
      </c>
      <c r="EH117" s="229">
        <v>-0.17849999999999999</v>
      </c>
      <c r="EI117" s="229">
        <v>0.3639</v>
      </c>
      <c r="EJ117" s="231">
        <v>35609.72</v>
      </c>
      <c r="EK117" s="231">
        <v>13659.61</v>
      </c>
      <c r="EL117" s="231">
        <v>10220.61</v>
      </c>
      <c r="EM117" s="231">
        <v>3325</v>
      </c>
      <c r="EN117" s="231">
        <v>59489.94</v>
      </c>
      <c r="EO117" s="231">
        <v>108468.92</v>
      </c>
      <c r="EP117" s="231">
        <v>-48978.98</v>
      </c>
      <c r="EQ117" s="229">
        <v>-0.45150000000000001</v>
      </c>
      <c r="ER117" s="231">
        <v>27385</v>
      </c>
      <c r="ES117" s="231">
        <v>15873</v>
      </c>
      <c r="ET117" s="231">
        <v>51783</v>
      </c>
      <c r="EU117" s="231">
        <v>24611073</v>
      </c>
      <c r="EV117" s="231">
        <v>95041</v>
      </c>
      <c r="EW117" s="231">
        <v>92109</v>
      </c>
      <c r="EX117" s="231">
        <v>2932</v>
      </c>
      <c r="EY117" s="229">
        <v>3.1800000000000002E-2</v>
      </c>
      <c r="EZ117" s="229">
        <v>0.52310000000000001</v>
      </c>
      <c r="FA117" s="227" t="s">
        <v>566</v>
      </c>
      <c r="FB117" s="161">
        <f t="shared" si="1"/>
        <v>480250</v>
      </c>
    </row>
    <row r="118" spans="1:158" ht="17.25" thickBot="1" x14ac:dyDescent="0.3">
      <c r="A118" s="226">
        <v>46129</v>
      </c>
      <c r="B118" s="227" t="s">
        <v>170</v>
      </c>
      <c r="C118" s="227" t="s">
        <v>535</v>
      </c>
      <c r="D118" s="228">
        <v>850</v>
      </c>
      <c r="E118" s="231">
        <v>1137.7</v>
      </c>
      <c r="F118" s="231">
        <v>1131</v>
      </c>
      <c r="G118" s="228">
        <v>6.7</v>
      </c>
      <c r="H118" s="229">
        <v>5.8999999999999999E-3</v>
      </c>
      <c r="I118" s="231">
        <v>1135.75</v>
      </c>
      <c r="J118" s="231">
        <v>1128.3499999999999</v>
      </c>
      <c r="K118" s="228">
        <v>7.4</v>
      </c>
      <c r="L118" s="229">
        <v>6.6E-3</v>
      </c>
      <c r="M118" s="231">
        <v>1137.7</v>
      </c>
      <c r="N118" s="231">
        <v>1131</v>
      </c>
      <c r="O118" s="228">
        <v>6.7</v>
      </c>
      <c r="P118" s="229">
        <v>5.8999999999999999E-3</v>
      </c>
      <c r="Q118" s="231">
        <v>1144.0999999999999</v>
      </c>
      <c r="R118" s="231">
        <v>1137.05</v>
      </c>
      <c r="S118" s="228">
        <v>7.05</v>
      </c>
      <c r="T118" s="229">
        <v>6.1999999999999998E-3</v>
      </c>
      <c r="U118" s="231">
        <v>1150</v>
      </c>
      <c r="V118" s="231">
        <v>1143.55</v>
      </c>
      <c r="W118" s="228">
        <v>6.45</v>
      </c>
      <c r="X118" s="229">
        <v>5.5999999999999999E-3</v>
      </c>
      <c r="Y118" s="228">
        <v>1.95</v>
      </c>
      <c r="Z118" s="228">
        <v>2.65</v>
      </c>
      <c r="AA118" s="228">
        <v>-0.7</v>
      </c>
      <c r="AB118" s="229">
        <v>1.6999999999999999E-3</v>
      </c>
      <c r="AC118" s="228">
        <v>1.95</v>
      </c>
      <c r="AD118" s="228">
        <v>2.65</v>
      </c>
      <c r="AE118" s="228">
        <v>-0.7</v>
      </c>
      <c r="AF118" s="229">
        <v>1.6999999999999999E-3</v>
      </c>
      <c r="AG118" s="228">
        <v>8.35</v>
      </c>
      <c r="AH118" s="228">
        <v>8.6999999999999993</v>
      </c>
      <c r="AI118" s="228">
        <v>-0.35</v>
      </c>
      <c r="AJ118" s="229">
        <v>7.4000000000000003E-3</v>
      </c>
      <c r="AK118" s="228">
        <v>14.25</v>
      </c>
      <c r="AL118" s="228">
        <v>15.2</v>
      </c>
      <c r="AM118" s="228">
        <v>-0.95</v>
      </c>
      <c r="AN118" s="229">
        <v>1.2500000000000001E-2</v>
      </c>
      <c r="AO118" s="231">
        <v>1135.52</v>
      </c>
      <c r="AP118" s="231">
        <v>1141.8499999999999</v>
      </c>
      <c r="AQ118" s="228">
        <v>0</v>
      </c>
      <c r="AR118" s="230">
        <v>2152200</v>
      </c>
      <c r="AS118" s="230">
        <v>2263550</v>
      </c>
      <c r="AT118" s="230">
        <v>-111350</v>
      </c>
      <c r="AU118" s="229">
        <v>-4.9200000000000001E-2</v>
      </c>
      <c r="AV118" s="230">
        <v>1867450</v>
      </c>
      <c r="AW118" s="230">
        <v>1972000</v>
      </c>
      <c r="AX118" s="230">
        <v>-104550</v>
      </c>
      <c r="AY118" s="229">
        <v>-5.2999999999999999E-2</v>
      </c>
      <c r="AZ118" s="230">
        <v>259250</v>
      </c>
      <c r="BA118" s="230">
        <v>266900</v>
      </c>
      <c r="BB118" s="230">
        <v>-7650</v>
      </c>
      <c r="BC118" s="229">
        <v>-2.87E-2</v>
      </c>
      <c r="BD118" s="230">
        <v>25500</v>
      </c>
      <c r="BE118" s="230">
        <v>24650</v>
      </c>
      <c r="BF118" s="228">
        <v>850</v>
      </c>
      <c r="BG118" s="229">
        <v>3.4500000000000003E-2</v>
      </c>
      <c r="BH118" s="230">
        <v>6471900</v>
      </c>
      <c r="BI118" s="230">
        <v>5219000</v>
      </c>
      <c r="BJ118" s="230">
        <v>1252900</v>
      </c>
      <c r="BK118" s="229">
        <v>0.24010000000000001</v>
      </c>
      <c r="BL118" s="230">
        <v>3572550</v>
      </c>
      <c r="BM118" s="230">
        <v>3085500</v>
      </c>
      <c r="BN118" s="230">
        <v>487050</v>
      </c>
      <c r="BO118" s="229">
        <v>0.15790000000000001</v>
      </c>
      <c r="BP118" s="230">
        <v>12196650</v>
      </c>
      <c r="BQ118" s="230">
        <v>10568050</v>
      </c>
      <c r="BR118" s="230">
        <v>1628600</v>
      </c>
      <c r="BS118" s="229">
        <v>0.15409999999999999</v>
      </c>
      <c r="BT118" s="230">
        <v>1300161</v>
      </c>
      <c r="BU118" s="230">
        <v>1282216</v>
      </c>
      <c r="BV118" s="230">
        <v>17945</v>
      </c>
      <c r="BW118" s="229">
        <v>1.4E-2</v>
      </c>
      <c r="BX118" s="230">
        <v>17786250</v>
      </c>
      <c r="BY118" s="230">
        <v>17887400</v>
      </c>
      <c r="BZ118" s="230">
        <v>-101150</v>
      </c>
      <c r="CA118" s="229">
        <v>-5.7000000000000002E-3</v>
      </c>
      <c r="CB118" s="230">
        <v>16822350</v>
      </c>
      <c r="CC118" s="230">
        <v>17001700</v>
      </c>
      <c r="CD118" s="230">
        <v>-179350</v>
      </c>
      <c r="CE118" s="229">
        <v>-1.0500000000000001E-2</v>
      </c>
      <c r="CF118" s="230">
        <v>907800</v>
      </c>
      <c r="CG118" s="230">
        <v>835550</v>
      </c>
      <c r="CH118" s="230">
        <v>72250</v>
      </c>
      <c r="CI118" s="229">
        <v>8.6499999999999994E-2</v>
      </c>
      <c r="CJ118" s="230">
        <v>56100</v>
      </c>
      <c r="CK118" s="230">
        <v>50150</v>
      </c>
      <c r="CL118" s="230">
        <v>5950</v>
      </c>
      <c r="CM118" s="229">
        <v>0.1186</v>
      </c>
      <c r="CN118" s="230">
        <v>5406000</v>
      </c>
      <c r="CO118" s="230">
        <v>5257250</v>
      </c>
      <c r="CP118" s="230">
        <v>148750</v>
      </c>
      <c r="CQ118" s="229">
        <v>2.8299999999999999E-2</v>
      </c>
      <c r="CR118" s="230">
        <v>4783800</v>
      </c>
      <c r="CS118" s="230">
        <v>4649500</v>
      </c>
      <c r="CT118" s="230">
        <v>134300</v>
      </c>
      <c r="CU118" s="229">
        <v>2.8899999999999999E-2</v>
      </c>
      <c r="CV118" s="230">
        <v>27976050</v>
      </c>
      <c r="CW118" s="230">
        <v>27794150</v>
      </c>
      <c r="CX118" s="230">
        <v>181900</v>
      </c>
      <c r="CY118" s="229">
        <v>6.4999999999999997E-3</v>
      </c>
      <c r="CZ118" s="228">
        <v>29.86</v>
      </c>
      <c r="DA118" s="228">
        <v>31.62</v>
      </c>
      <c r="DB118" s="228">
        <v>-1.76</v>
      </c>
      <c r="DC118" s="228">
        <v>-1.76</v>
      </c>
      <c r="DD118" s="228">
        <v>39.46</v>
      </c>
      <c r="DE118" s="228">
        <v>39.549999999999997</v>
      </c>
      <c r="DF118" s="228">
        <v>-9.6</v>
      </c>
      <c r="DG118" s="228">
        <v>-0.09</v>
      </c>
      <c r="DH118" s="228">
        <v>28.29</v>
      </c>
      <c r="DI118" s="228">
        <v>30.34</v>
      </c>
      <c r="DJ118" s="228">
        <v>-2.0499999999999998</v>
      </c>
      <c r="DK118" s="228">
        <v>-2.0499999999999998</v>
      </c>
      <c r="DL118" s="228">
        <v>32.700000000000003</v>
      </c>
      <c r="DM118" s="228">
        <v>33.770000000000003</v>
      </c>
      <c r="DN118" s="228">
        <v>-1.07</v>
      </c>
      <c r="DO118" s="228">
        <v>-1.07</v>
      </c>
      <c r="DP118" s="228">
        <v>0.88</v>
      </c>
      <c r="DQ118" s="228">
        <v>0.88</v>
      </c>
      <c r="DR118" s="228">
        <v>0</v>
      </c>
      <c r="DS118" s="229">
        <v>0</v>
      </c>
      <c r="DT118" s="231">
        <v>1100</v>
      </c>
      <c r="DU118" s="231">
        <v>1050</v>
      </c>
      <c r="DV118" s="228">
        <v>0.55000000000000004</v>
      </c>
      <c r="DW118" s="228">
        <v>0.59</v>
      </c>
      <c r="DX118" s="228">
        <v>-0.04</v>
      </c>
      <c r="DY118" s="229">
        <v>-6.7799999999999999E-2</v>
      </c>
      <c r="DZ118" s="229">
        <v>5.4199999999999998E-2</v>
      </c>
      <c r="EA118" s="230">
        <v>885700</v>
      </c>
      <c r="EB118" s="229">
        <v>5.5999999999999999E-3</v>
      </c>
      <c r="EC118" s="229">
        <v>5.4199999999999998E-2</v>
      </c>
      <c r="ED118" s="228">
        <v>6.33</v>
      </c>
      <c r="EE118" s="229">
        <v>5.5999999999999999E-3</v>
      </c>
      <c r="EF118" s="230">
        <v>614579</v>
      </c>
      <c r="EG118" s="230">
        <v>567307</v>
      </c>
      <c r="EH118" s="229">
        <v>8.3299999999999999E-2</v>
      </c>
      <c r="EI118" s="229">
        <v>0.47270000000000001</v>
      </c>
      <c r="EJ118" s="231">
        <v>76163.98</v>
      </c>
      <c r="EK118" s="231">
        <v>39427.08</v>
      </c>
      <c r="EL118" s="231">
        <v>24458.74</v>
      </c>
      <c r="EM118" s="231">
        <v>2923</v>
      </c>
      <c r="EN118" s="231">
        <v>140049.79999999999</v>
      </c>
      <c r="EO118" s="231">
        <v>120700.11</v>
      </c>
      <c r="EP118" s="231">
        <v>19349.689999999999</v>
      </c>
      <c r="EQ118" s="229">
        <v>0.1603</v>
      </c>
      <c r="ER118" s="231">
        <v>60563</v>
      </c>
      <c r="ES118" s="231">
        <v>49357</v>
      </c>
      <c r="ET118" s="231">
        <v>202419</v>
      </c>
      <c r="EU118" s="231">
        <v>58713729</v>
      </c>
      <c r="EV118" s="231">
        <v>312339</v>
      </c>
      <c r="EW118" s="231">
        <v>308690</v>
      </c>
      <c r="EX118" s="231">
        <v>3649</v>
      </c>
      <c r="EY118" s="229">
        <v>1.18E-2</v>
      </c>
      <c r="EZ118" s="229">
        <v>0.47649999999999998</v>
      </c>
      <c r="FA118" s="227" t="s">
        <v>693</v>
      </c>
      <c r="FB118" s="161">
        <f t="shared" si="1"/>
        <v>963900</v>
      </c>
    </row>
    <row r="119" spans="1:158" ht="17.25" thickBot="1" x14ac:dyDescent="0.3">
      <c r="A119" s="226">
        <v>46129</v>
      </c>
      <c r="B119" s="227" t="s">
        <v>175</v>
      </c>
      <c r="C119" s="227" t="s">
        <v>248</v>
      </c>
      <c r="D119" s="228">
        <v>1000</v>
      </c>
      <c r="E119" s="228">
        <v>539.75</v>
      </c>
      <c r="F119" s="228">
        <v>534.79999999999995</v>
      </c>
      <c r="G119" s="228">
        <v>4.95</v>
      </c>
      <c r="H119" s="229">
        <v>9.2999999999999992E-3</v>
      </c>
      <c r="I119" s="228">
        <v>540</v>
      </c>
      <c r="J119" s="228">
        <v>534.85</v>
      </c>
      <c r="K119" s="228">
        <v>5.15</v>
      </c>
      <c r="L119" s="229">
        <v>9.5999999999999992E-3</v>
      </c>
      <c r="M119" s="228">
        <v>539.75</v>
      </c>
      <c r="N119" s="228">
        <v>534.79999999999995</v>
      </c>
      <c r="O119" s="228">
        <v>4.95</v>
      </c>
      <c r="P119" s="229">
        <v>9.2999999999999992E-3</v>
      </c>
      <c r="Q119" s="228">
        <v>543.15</v>
      </c>
      <c r="R119" s="228">
        <v>537.9</v>
      </c>
      <c r="S119" s="228">
        <v>5.25</v>
      </c>
      <c r="T119" s="229">
        <v>9.7999999999999997E-3</v>
      </c>
      <c r="U119" s="228">
        <v>545.45000000000005</v>
      </c>
      <c r="V119" s="228">
        <v>541.25</v>
      </c>
      <c r="W119" s="228">
        <v>4.2</v>
      </c>
      <c r="X119" s="229">
        <v>7.7999999999999996E-3</v>
      </c>
      <c r="Y119" s="228">
        <v>-0.25</v>
      </c>
      <c r="Z119" s="228">
        <v>-0.05</v>
      </c>
      <c r="AA119" s="228">
        <v>-0.2</v>
      </c>
      <c r="AB119" s="229">
        <v>-5.0000000000000001E-4</v>
      </c>
      <c r="AC119" s="228">
        <v>-0.25</v>
      </c>
      <c r="AD119" s="228">
        <v>-0.05</v>
      </c>
      <c r="AE119" s="228">
        <v>-0.2</v>
      </c>
      <c r="AF119" s="229">
        <v>-5.0000000000000001E-4</v>
      </c>
      <c r="AG119" s="228">
        <v>3.15</v>
      </c>
      <c r="AH119" s="228">
        <v>3.05</v>
      </c>
      <c r="AI119" s="228">
        <v>0.1</v>
      </c>
      <c r="AJ119" s="229">
        <v>5.7999999999999996E-3</v>
      </c>
      <c r="AK119" s="228">
        <v>5.45</v>
      </c>
      <c r="AL119" s="228">
        <v>6.4</v>
      </c>
      <c r="AM119" s="228">
        <v>-0.95</v>
      </c>
      <c r="AN119" s="229">
        <v>1.01E-2</v>
      </c>
      <c r="AO119" s="228">
        <v>538.22</v>
      </c>
      <c r="AP119" s="228">
        <v>540.9</v>
      </c>
      <c r="AQ119" s="228">
        <v>0</v>
      </c>
      <c r="AR119" s="230">
        <v>2244000</v>
      </c>
      <c r="AS119" s="230">
        <v>2618000</v>
      </c>
      <c r="AT119" s="230">
        <v>-374000</v>
      </c>
      <c r="AU119" s="229">
        <v>-0.1429</v>
      </c>
      <c r="AV119" s="230">
        <v>1905000</v>
      </c>
      <c r="AW119" s="230">
        <v>2366000</v>
      </c>
      <c r="AX119" s="230">
        <v>-461000</v>
      </c>
      <c r="AY119" s="229">
        <v>-0.1948</v>
      </c>
      <c r="AZ119" s="230">
        <v>327000</v>
      </c>
      <c r="BA119" s="230">
        <v>239000</v>
      </c>
      <c r="BB119" s="230">
        <v>88000</v>
      </c>
      <c r="BC119" s="229">
        <v>0.36820000000000003</v>
      </c>
      <c r="BD119" s="230">
        <v>12000</v>
      </c>
      <c r="BE119" s="230">
        <v>13000</v>
      </c>
      <c r="BF119" s="230">
        <v>-1000</v>
      </c>
      <c r="BG119" s="229">
        <v>-7.6899999999999996E-2</v>
      </c>
      <c r="BH119" s="230">
        <v>5478000</v>
      </c>
      <c r="BI119" s="230">
        <v>7706000</v>
      </c>
      <c r="BJ119" s="230">
        <v>-2228000</v>
      </c>
      <c r="BK119" s="229">
        <v>-0.28910000000000002</v>
      </c>
      <c r="BL119" s="230">
        <v>1837000</v>
      </c>
      <c r="BM119" s="230">
        <v>2749000</v>
      </c>
      <c r="BN119" s="230">
        <v>-912000</v>
      </c>
      <c r="BO119" s="229">
        <v>-0.33179999999999998</v>
      </c>
      <c r="BP119" s="230">
        <v>9559000</v>
      </c>
      <c r="BQ119" s="230">
        <v>13073000</v>
      </c>
      <c r="BR119" s="230">
        <v>-3514000</v>
      </c>
      <c r="BS119" s="229">
        <v>-0.26879999999999998</v>
      </c>
      <c r="BT119" s="230">
        <v>1230527</v>
      </c>
      <c r="BU119" s="230">
        <v>1558081</v>
      </c>
      <c r="BV119" s="230">
        <v>-327554</v>
      </c>
      <c r="BW119" s="229">
        <v>-0.2102</v>
      </c>
      <c r="BX119" s="230">
        <v>32167000</v>
      </c>
      <c r="BY119" s="230">
        <v>32536000</v>
      </c>
      <c r="BZ119" s="230">
        <v>-369000</v>
      </c>
      <c r="CA119" s="229">
        <v>-1.1299999999999999E-2</v>
      </c>
      <c r="CB119" s="230">
        <v>31108000</v>
      </c>
      <c r="CC119" s="230">
        <v>31624000</v>
      </c>
      <c r="CD119" s="230">
        <v>-516000</v>
      </c>
      <c r="CE119" s="229">
        <v>-1.6299999999999999E-2</v>
      </c>
      <c r="CF119" s="230">
        <v>1022000</v>
      </c>
      <c r="CG119" s="230">
        <v>879000</v>
      </c>
      <c r="CH119" s="230">
        <v>143000</v>
      </c>
      <c r="CI119" s="229">
        <v>0.16270000000000001</v>
      </c>
      <c r="CJ119" s="230">
        <v>37000</v>
      </c>
      <c r="CK119" s="230">
        <v>33000</v>
      </c>
      <c r="CL119" s="230">
        <v>4000</v>
      </c>
      <c r="CM119" s="229">
        <v>0.1212</v>
      </c>
      <c r="CN119" s="230">
        <v>5866000</v>
      </c>
      <c r="CO119" s="230">
        <v>5826000</v>
      </c>
      <c r="CP119" s="230">
        <v>40000</v>
      </c>
      <c r="CQ119" s="229">
        <v>6.8999999999999999E-3</v>
      </c>
      <c r="CR119" s="230">
        <v>5700000</v>
      </c>
      <c r="CS119" s="230">
        <v>5503000</v>
      </c>
      <c r="CT119" s="230">
        <v>197000</v>
      </c>
      <c r="CU119" s="229">
        <v>3.5799999999999998E-2</v>
      </c>
      <c r="CV119" s="230">
        <v>43733000</v>
      </c>
      <c r="CW119" s="230">
        <v>43865000</v>
      </c>
      <c r="CX119" s="230">
        <v>-132000</v>
      </c>
      <c r="CY119" s="229">
        <v>-3.0000000000000001E-3</v>
      </c>
      <c r="CZ119" s="228">
        <v>27.05</v>
      </c>
      <c r="DA119" s="228">
        <v>29.55</v>
      </c>
      <c r="DB119" s="228">
        <v>-2.5</v>
      </c>
      <c r="DC119" s="228">
        <v>-2.5</v>
      </c>
      <c r="DD119" s="228">
        <v>33.19</v>
      </c>
      <c r="DE119" s="228">
        <v>33.25</v>
      </c>
      <c r="DF119" s="228">
        <v>-6.14</v>
      </c>
      <c r="DG119" s="228">
        <v>-0.06</v>
      </c>
      <c r="DH119" s="228">
        <v>26.28</v>
      </c>
      <c r="DI119" s="228">
        <v>29.19</v>
      </c>
      <c r="DJ119" s="228">
        <v>-2.91</v>
      </c>
      <c r="DK119" s="228">
        <v>-2.91</v>
      </c>
      <c r="DL119" s="228">
        <v>29.35</v>
      </c>
      <c r="DM119" s="228">
        <v>30.56</v>
      </c>
      <c r="DN119" s="228">
        <v>-1.21</v>
      </c>
      <c r="DO119" s="228">
        <v>-1.21</v>
      </c>
      <c r="DP119" s="228">
        <v>0.97</v>
      </c>
      <c r="DQ119" s="228">
        <v>0.94</v>
      </c>
      <c r="DR119" s="228">
        <v>0.03</v>
      </c>
      <c r="DS119" s="229">
        <v>3.1899999999999998E-2</v>
      </c>
      <c r="DT119" s="228">
        <v>550</v>
      </c>
      <c r="DU119" s="228">
        <v>480</v>
      </c>
      <c r="DV119" s="228">
        <v>0.34</v>
      </c>
      <c r="DW119" s="228">
        <v>0.36</v>
      </c>
      <c r="DX119" s="228">
        <v>-0.02</v>
      </c>
      <c r="DY119" s="229">
        <v>-5.5599999999999997E-2</v>
      </c>
      <c r="DZ119" s="229">
        <v>3.2899999999999999E-2</v>
      </c>
      <c r="EA119" s="230">
        <v>912000</v>
      </c>
      <c r="EB119" s="229">
        <v>6.3E-3</v>
      </c>
      <c r="EC119" s="229">
        <v>3.2899999999999999E-2</v>
      </c>
      <c r="ED119" s="228">
        <v>2.68</v>
      </c>
      <c r="EE119" s="229">
        <v>5.0000000000000001E-3</v>
      </c>
      <c r="EF119" s="230">
        <v>641164</v>
      </c>
      <c r="EG119" s="230">
        <v>863183</v>
      </c>
      <c r="EH119" s="229">
        <v>-0.25719999999999998</v>
      </c>
      <c r="EI119" s="229">
        <v>0.52100000000000002</v>
      </c>
      <c r="EJ119" s="231">
        <v>30452.21</v>
      </c>
      <c r="EK119" s="231">
        <v>9719.61</v>
      </c>
      <c r="EL119" s="231">
        <v>12086.9</v>
      </c>
      <c r="EM119" s="231">
        <v>2383</v>
      </c>
      <c r="EN119" s="231">
        <v>52258.720000000001</v>
      </c>
      <c r="EO119" s="231">
        <v>71761.899999999994</v>
      </c>
      <c r="EP119" s="231">
        <v>-19503.18</v>
      </c>
      <c r="EQ119" s="229">
        <v>-0.27179999999999999</v>
      </c>
      <c r="ER119" s="231">
        <v>31906</v>
      </c>
      <c r="ES119" s="231">
        <v>28845</v>
      </c>
      <c r="ET119" s="231">
        <v>173658</v>
      </c>
      <c r="EU119" s="231">
        <v>45183075</v>
      </c>
      <c r="EV119" s="231">
        <v>234410</v>
      </c>
      <c r="EW119" s="231">
        <v>233451</v>
      </c>
      <c r="EX119" s="228">
        <v>959</v>
      </c>
      <c r="EY119" s="229">
        <v>4.1000000000000003E-3</v>
      </c>
      <c r="EZ119" s="229">
        <v>0.96789999999999998</v>
      </c>
      <c r="FA119" s="227" t="s">
        <v>693</v>
      </c>
      <c r="FB119" s="161">
        <f t="shared" si="1"/>
        <v>1059000</v>
      </c>
    </row>
    <row r="120" spans="1:158" ht="17.25" thickBot="1" x14ac:dyDescent="0.3">
      <c r="A120" s="226">
        <v>46129</v>
      </c>
      <c r="B120" s="227" t="s">
        <v>175</v>
      </c>
      <c r="C120" s="227" t="s">
        <v>606</v>
      </c>
      <c r="D120" s="228">
        <v>700</v>
      </c>
      <c r="E120" s="228">
        <v>844.15</v>
      </c>
      <c r="F120" s="228">
        <v>839.8</v>
      </c>
      <c r="G120" s="228">
        <v>4.3499999999999996</v>
      </c>
      <c r="H120" s="229">
        <v>5.1999999999999998E-3</v>
      </c>
      <c r="I120" s="228">
        <v>842.2</v>
      </c>
      <c r="J120" s="228">
        <v>841.65</v>
      </c>
      <c r="K120" s="228">
        <v>0.55000000000000004</v>
      </c>
      <c r="L120" s="229">
        <v>6.9999999999999999E-4</v>
      </c>
      <c r="M120" s="228">
        <v>844.15</v>
      </c>
      <c r="N120" s="228">
        <v>839.8</v>
      </c>
      <c r="O120" s="228">
        <v>4.3499999999999996</v>
      </c>
      <c r="P120" s="229">
        <v>5.1999999999999998E-3</v>
      </c>
      <c r="Q120" s="228">
        <v>840</v>
      </c>
      <c r="R120" s="228">
        <v>834.9</v>
      </c>
      <c r="S120" s="228">
        <v>5.0999999999999996</v>
      </c>
      <c r="T120" s="229">
        <v>6.1000000000000004E-3</v>
      </c>
      <c r="U120" s="228">
        <v>837.15</v>
      </c>
      <c r="V120" s="228">
        <v>833.5</v>
      </c>
      <c r="W120" s="228">
        <v>3.65</v>
      </c>
      <c r="X120" s="229">
        <v>4.4000000000000003E-3</v>
      </c>
      <c r="Y120" s="228">
        <v>1.95</v>
      </c>
      <c r="Z120" s="228">
        <v>-1.85</v>
      </c>
      <c r="AA120" s="228">
        <v>3.8</v>
      </c>
      <c r="AB120" s="229">
        <v>2.3E-3</v>
      </c>
      <c r="AC120" s="228">
        <v>1.95</v>
      </c>
      <c r="AD120" s="228">
        <v>-1.85</v>
      </c>
      <c r="AE120" s="228">
        <v>3.8</v>
      </c>
      <c r="AF120" s="229">
        <v>2.3E-3</v>
      </c>
      <c r="AG120" s="228">
        <v>-2.2000000000000002</v>
      </c>
      <c r="AH120" s="228">
        <v>-6.75</v>
      </c>
      <c r="AI120" s="228">
        <v>4.55</v>
      </c>
      <c r="AJ120" s="229">
        <v>-2.5999999999999999E-3</v>
      </c>
      <c r="AK120" s="228">
        <v>-5.05</v>
      </c>
      <c r="AL120" s="228">
        <v>-8.15</v>
      </c>
      <c r="AM120" s="228">
        <v>3.1</v>
      </c>
      <c r="AN120" s="229">
        <v>-6.0000000000000001E-3</v>
      </c>
      <c r="AO120" s="228">
        <v>838.92</v>
      </c>
      <c r="AP120" s="228">
        <v>833.78</v>
      </c>
      <c r="AQ120" s="228">
        <v>0</v>
      </c>
      <c r="AR120" s="230">
        <v>1960000</v>
      </c>
      <c r="AS120" s="230">
        <v>2426200</v>
      </c>
      <c r="AT120" s="230">
        <v>-466200</v>
      </c>
      <c r="AU120" s="229">
        <v>-0.19220000000000001</v>
      </c>
      <c r="AV120" s="230">
        <v>1267000</v>
      </c>
      <c r="AW120" s="230">
        <v>1704500</v>
      </c>
      <c r="AX120" s="230">
        <v>-437500</v>
      </c>
      <c r="AY120" s="229">
        <v>-0.25669999999999998</v>
      </c>
      <c r="AZ120" s="230">
        <v>624400</v>
      </c>
      <c r="BA120" s="230">
        <v>624400</v>
      </c>
      <c r="BB120" s="228">
        <v>0</v>
      </c>
      <c r="BC120" s="229">
        <v>0</v>
      </c>
      <c r="BD120" s="230">
        <v>68600</v>
      </c>
      <c r="BE120" s="230">
        <v>97300</v>
      </c>
      <c r="BF120" s="230">
        <v>-28700</v>
      </c>
      <c r="BG120" s="229">
        <v>-0.29499999999999998</v>
      </c>
      <c r="BH120" s="230">
        <v>5163900</v>
      </c>
      <c r="BI120" s="230">
        <v>7007000</v>
      </c>
      <c r="BJ120" s="230">
        <v>-1843100</v>
      </c>
      <c r="BK120" s="229">
        <v>-0.26300000000000001</v>
      </c>
      <c r="BL120" s="230">
        <v>2410100</v>
      </c>
      <c r="BM120" s="230">
        <v>2573200</v>
      </c>
      <c r="BN120" s="230">
        <v>-163100</v>
      </c>
      <c r="BO120" s="229">
        <v>-6.3399999999999998E-2</v>
      </c>
      <c r="BP120" s="230">
        <v>9534000</v>
      </c>
      <c r="BQ120" s="230">
        <v>12006400</v>
      </c>
      <c r="BR120" s="230">
        <v>-2472400</v>
      </c>
      <c r="BS120" s="229">
        <v>-0.2059</v>
      </c>
      <c r="BT120" s="230">
        <v>1471020</v>
      </c>
      <c r="BU120" s="230">
        <v>2649922</v>
      </c>
      <c r="BV120" s="230">
        <v>-1178902</v>
      </c>
      <c r="BW120" s="229">
        <v>-0.44490000000000002</v>
      </c>
      <c r="BX120" s="230">
        <v>10380300</v>
      </c>
      <c r="BY120" s="230">
        <v>10234000</v>
      </c>
      <c r="BZ120" s="230">
        <v>146300</v>
      </c>
      <c r="CA120" s="229">
        <v>1.43E-2</v>
      </c>
      <c r="CB120" s="230">
        <v>8417500</v>
      </c>
      <c r="CC120" s="230">
        <v>8549100</v>
      </c>
      <c r="CD120" s="230">
        <v>-131600</v>
      </c>
      <c r="CE120" s="229">
        <v>-1.54E-2</v>
      </c>
      <c r="CF120" s="230">
        <v>1748600</v>
      </c>
      <c r="CG120" s="230">
        <v>1472800</v>
      </c>
      <c r="CH120" s="230">
        <v>275800</v>
      </c>
      <c r="CI120" s="229">
        <v>0.18729999999999999</v>
      </c>
      <c r="CJ120" s="230">
        <v>214200</v>
      </c>
      <c r="CK120" s="230">
        <v>212100</v>
      </c>
      <c r="CL120" s="230">
        <v>2100</v>
      </c>
      <c r="CM120" s="229">
        <v>9.9000000000000008E-3</v>
      </c>
      <c r="CN120" s="230">
        <v>7314300</v>
      </c>
      <c r="CO120" s="230">
        <v>6258700</v>
      </c>
      <c r="CP120" s="230">
        <v>1055600</v>
      </c>
      <c r="CQ120" s="229">
        <v>0.16869999999999999</v>
      </c>
      <c r="CR120" s="230">
        <v>4316200</v>
      </c>
      <c r="CS120" s="230">
        <v>3970400</v>
      </c>
      <c r="CT120" s="230">
        <v>345800</v>
      </c>
      <c r="CU120" s="229">
        <v>8.7099999999999997E-2</v>
      </c>
      <c r="CV120" s="230">
        <v>22010800</v>
      </c>
      <c r="CW120" s="230">
        <v>20463100</v>
      </c>
      <c r="CX120" s="230">
        <v>1547700</v>
      </c>
      <c r="CY120" s="229">
        <v>7.5600000000000001E-2</v>
      </c>
      <c r="CZ120" s="228">
        <v>31.73</v>
      </c>
      <c r="DA120" s="228">
        <v>31.55</v>
      </c>
      <c r="DB120" s="228">
        <v>0.18</v>
      </c>
      <c r="DC120" s="228">
        <v>0.18</v>
      </c>
      <c r="DD120" s="228">
        <v>33.31</v>
      </c>
      <c r="DE120" s="228">
        <v>33.39</v>
      </c>
      <c r="DF120" s="228">
        <v>-1.58</v>
      </c>
      <c r="DG120" s="228">
        <v>-0.08</v>
      </c>
      <c r="DH120" s="228">
        <v>30.65</v>
      </c>
      <c r="DI120" s="228">
        <v>31.25</v>
      </c>
      <c r="DJ120" s="228">
        <v>-0.6</v>
      </c>
      <c r="DK120" s="228">
        <v>-0.6</v>
      </c>
      <c r="DL120" s="228">
        <v>34.06</v>
      </c>
      <c r="DM120" s="228">
        <v>32.369999999999997</v>
      </c>
      <c r="DN120" s="228">
        <v>1.69</v>
      </c>
      <c r="DO120" s="228">
        <v>1.69</v>
      </c>
      <c r="DP120" s="228">
        <v>0.59</v>
      </c>
      <c r="DQ120" s="228">
        <v>0.63</v>
      </c>
      <c r="DR120" s="228">
        <v>-0.04</v>
      </c>
      <c r="DS120" s="229">
        <v>-6.3500000000000001E-2</v>
      </c>
      <c r="DT120" s="228">
        <v>840</v>
      </c>
      <c r="DU120" s="228">
        <v>800</v>
      </c>
      <c r="DV120" s="228">
        <v>0.47</v>
      </c>
      <c r="DW120" s="228">
        <v>0.37</v>
      </c>
      <c r="DX120" s="228">
        <v>0.1</v>
      </c>
      <c r="DY120" s="229">
        <v>0.27029999999999998</v>
      </c>
      <c r="DZ120" s="229">
        <v>0.18909999999999999</v>
      </c>
      <c r="EA120" s="230">
        <v>1684900</v>
      </c>
      <c r="EB120" s="229">
        <v>-4.8999999999999998E-3</v>
      </c>
      <c r="EC120" s="229">
        <v>0.18909999999999999</v>
      </c>
      <c r="ED120" s="228">
        <v>-5.14</v>
      </c>
      <c r="EE120" s="229">
        <v>-6.1000000000000004E-3</v>
      </c>
      <c r="EF120" s="230">
        <v>590697</v>
      </c>
      <c r="EG120" s="230">
        <v>1132196</v>
      </c>
      <c r="EH120" s="229">
        <v>-0.4783</v>
      </c>
      <c r="EI120" s="229">
        <v>0.40160000000000001</v>
      </c>
      <c r="EJ120" s="231">
        <v>45273.25</v>
      </c>
      <c r="EK120" s="231">
        <v>19508.91</v>
      </c>
      <c r="EL120" s="231">
        <v>16406.47</v>
      </c>
      <c r="EM120" s="231">
        <v>4263</v>
      </c>
      <c r="EN120" s="231">
        <v>81188.63</v>
      </c>
      <c r="EO120" s="231">
        <v>103844.12</v>
      </c>
      <c r="EP120" s="231">
        <v>-22655.49</v>
      </c>
      <c r="EQ120" s="229">
        <v>-0.21820000000000001</v>
      </c>
      <c r="ER120" s="231">
        <v>61872</v>
      </c>
      <c r="ES120" s="231">
        <v>33815</v>
      </c>
      <c r="ET120" s="231">
        <v>87538</v>
      </c>
      <c r="EU120" s="231">
        <v>33206238</v>
      </c>
      <c r="EV120" s="231">
        <v>183224</v>
      </c>
      <c r="EW120" s="231">
        <v>169640</v>
      </c>
      <c r="EX120" s="231">
        <v>13584</v>
      </c>
      <c r="EY120" s="229">
        <v>8.0100000000000005E-2</v>
      </c>
      <c r="EZ120" s="229">
        <v>0.66290000000000004</v>
      </c>
      <c r="FA120" s="227" t="s">
        <v>555</v>
      </c>
      <c r="FB120" s="161">
        <f t="shared" si="1"/>
        <v>1962800</v>
      </c>
    </row>
    <row r="121" spans="1:158" ht="17.25" thickBot="1" x14ac:dyDescent="0.3">
      <c r="A121" s="226">
        <v>46129</v>
      </c>
      <c r="B121" s="227" t="s">
        <v>206</v>
      </c>
      <c r="C121" s="227" t="s">
        <v>587</v>
      </c>
      <c r="D121" s="228">
        <v>450</v>
      </c>
      <c r="E121" s="228">
        <v>872.85</v>
      </c>
      <c r="F121" s="228">
        <v>875.65</v>
      </c>
      <c r="G121" s="228">
        <v>-2.8</v>
      </c>
      <c r="H121" s="229">
        <v>-3.2000000000000002E-3</v>
      </c>
      <c r="I121" s="228">
        <v>872.55</v>
      </c>
      <c r="J121" s="228">
        <v>873.5</v>
      </c>
      <c r="K121" s="228">
        <v>-0.95</v>
      </c>
      <c r="L121" s="229">
        <v>-1.1000000000000001E-3</v>
      </c>
      <c r="M121" s="228">
        <v>872.85</v>
      </c>
      <c r="N121" s="228">
        <v>875.65</v>
      </c>
      <c r="O121" s="228">
        <v>-2.8</v>
      </c>
      <c r="P121" s="229">
        <v>-3.2000000000000002E-3</v>
      </c>
      <c r="Q121" s="228">
        <v>877.4</v>
      </c>
      <c r="R121" s="228">
        <v>880.25</v>
      </c>
      <c r="S121" s="228">
        <v>-2.85</v>
      </c>
      <c r="T121" s="229">
        <v>-3.2000000000000002E-3</v>
      </c>
      <c r="U121" s="228">
        <v>883.2</v>
      </c>
      <c r="V121" s="228">
        <v>884</v>
      </c>
      <c r="W121" s="228">
        <v>-0.8</v>
      </c>
      <c r="X121" s="229">
        <v>-8.9999999999999998E-4</v>
      </c>
      <c r="Y121" s="228">
        <v>0.3</v>
      </c>
      <c r="Z121" s="228">
        <v>2.15</v>
      </c>
      <c r="AA121" s="228">
        <v>-1.85</v>
      </c>
      <c r="AB121" s="229">
        <v>2.9999999999999997E-4</v>
      </c>
      <c r="AC121" s="228">
        <v>0.3</v>
      </c>
      <c r="AD121" s="228">
        <v>2.15</v>
      </c>
      <c r="AE121" s="228">
        <v>-1.85</v>
      </c>
      <c r="AF121" s="229">
        <v>2.9999999999999997E-4</v>
      </c>
      <c r="AG121" s="228">
        <v>4.8499999999999996</v>
      </c>
      <c r="AH121" s="228">
        <v>6.75</v>
      </c>
      <c r="AI121" s="228">
        <v>-1.9</v>
      </c>
      <c r="AJ121" s="229">
        <v>5.5999999999999999E-3</v>
      </c>
      <c r="AK121" s="228">
        <v>10.65</v>
      </c>
      <c r="AL121" s="228">
        <v>10.5</v>
      </c>
      <c r="AM121" s="228">
        <v>0.15</v>
      </c>
      <c r="AN121" s="229">
        <v>1.2200000000000001E-2</v>
      </c>
      <c r="AO121" s="228">
        <v>867.82</v>
      </c>
      <c r="AP121" s="228">
        <v>869.52</v>
      </c>
      <c r="AQ121" s="228">
        <v>0</v>
      </c>
      <c r="AR121" s="230">
        <v>3090150</v>
      </c>
      <c r="AS121" s="230">
        <v>5546250</v>
      </c>
      <c r="AT121" s="230">
        <v>-2456100</v>
      </c>
      <c r="AU121" s="229">
        <v>-0.44280000000000003</v>
      </c>
      <c r="AV121" s="230">
        <v>2804400</v>
      </c>
      <c r="AW121" s="230">
        <v>4677750</v>
      </c>
      <c r="AX121" s="230">
        <v>-1873350</v>
      </c>
      <c r="AY121" s="229">
        <v>-0.40050000000000002</v>
      </c>
      <c r="AZ121" s="230">
        <v>267750</v>
      </c>
      <c r="BA121" s="230">
        <v>210600</v>
      </c>
      <c r="BB121" s="230">
        <v>57150</v>
      </c>
      <c r="BC121" s="229">
        <v>0.27139999999999997</v>
      </c>
      <c r="BD121" s="230">
        <v>18000</v>
      </c>
      <c r="BE121" s="230">
        <v>657900</v>
      </c>
      <c r="BF121" s="230">
        <v>-639900</v>
      </c>
      <c r="BG121" s="229">
        <v>-0.97260000000000002</v>
      </c>
      <c r="BH121" s="230">
        <v>6562350</v>
      </c>
      <c r="BI121" s="230">
        <v>6767100</v>
      </c>
      <c r="BJ121" s="230">
        <v>-204750</v>
      </c>
      <c r="BK121" s="229">
        <v>-3.0300000000000001E-2</v>
      </c>
      <c r="BL121" s="230">
        <v>5393250</v>
      </c>
      <c r="BM121" s="230">
        <v>5302800</v>
      </c>
      <c r="BN121" s="230">
        <v>90450</v>
      </c>
      <c r="BO121" s="229">
        <v>1.7100000000000001E-2</v>
      </c>
      <c r="BP121" s="230">
        <v>15045750</v>
      </c>
      <c r="BQ121" s="230">
        <v>17616150</v>
      </c>
      <c r="BR121" s="230">
        <v>-2570400</v>
      </c>
      <c r="BS121" s="229">
        <v>-0.1459</v>
      </c>
      <c r="BT121" s="230">
        <v>2488053</v>
      </c>
      <c r="BU121" s="230">
        <v>3757227</v>
      </c>
      <c r="BV121" s="230">
        <v>-1269174</v>
      </c>
      <c r="BW121" s="229">
        <v>-0.33779999999999999</v>
      </c>
      <c r="BX121" s="230">
        <v>19268100</v>
      </c>
      <c r="BY121" s="230">
        <v>19966050</v>
      </c>
      <c r="BZ121" s="230">
        <v>-697950</v>
      </c>
      <c r="CA121" s="229">
        <v>-3.5000000000000003E-2</v>
      </c>
      <c r="CB121" s="230">
        <v>17279100</v>
      </c>
      <c r="CC121" s="230">
        <v>18064800</v>
      </c>
      <c r="CD121" s="230">
        <v>-785700</v>
      </c>
      <c r="CE121" s="229">
        <v>-4.3499999999999997E-2</v>
      </c>
      <c r="CF121" s="230">
        <v>1315800</v>
      </c>
      <c r="CG121" s="230">
        <v>1233450</v>
      </c>
      <c r="CH121" s="230">
        <v>82350</v>
      </c>
      <c r="CI121" s="229">
        <v>6.6799999999999998E-2</v>
      </c>
      <c r="CJ121" s="230">
        <v>673200</v>
      </c>
      <c r="CK121" s="230">
        <v>667800</v>
      </c>
      <c r="CL121" s="230">
        <v>5400</v>
      </c>
      <c r="CM121" s="229">
        <v>8.0999999999999996E-3</v>
      </c>
      <c r="CN121" s="230">
        <v>6134850</v>
      </c>
      <c r="CO121" s="230">
        <v>6007500</v>
      </c>
      <c r="CP121" s="230">
        <v>127350</v>
      </c>
      <c r="CQ121" s="229">
        <v>2.12E-2</v>
      </c>
      <c r="CR121" s="230">
        <v>5165550</v>
      </c>
      <c r="CS121" s="230">
        <v>5584950</v>
      </c>
      <c r="CT121" s="230">
        <v>-419400</v>
      </c>
      <c r="CU121" s="229">
        <v>-7.51E-2</v>
      </c>
      <c r="CV121" s="230">
        <v>30568500</v>
      </c>
      <c r="CW121" s="230">
        <v>31558500</v>
      </c>
      <c r="CX121" s="230">
        <v>-990000</v>
      </c>
      <c r="CY121" s="229">
        <v>-3.1399999999999997E-2</v>
      </c>
      <c r="CZ121" s="228">
        <v>43.8</v>
      </c>
      <c r="DA121" s="228">
        <v>44.86</v>
      </c>
      <c r="DB121" s="228">
        <v>-1.06</v>
      </c>
      <c r="DC121" s="228">
        <v>-1.06</v>
      </c>
      <c r="DD121" s="228">
        <v>47.79</v>
      </c>
      <c r="DE121" s="228">
        <v>47.91</v>
      </c>
      <c r="DF121" s="228">
        <v>-3.99</v>
      </c>
      <c r="DG121" s="228">
        <v>-0.12</v>
      </c>
      <c r="DH121" s="228">
        <v>42.01</v>
      </c>
      <c r="DI121" s="228">
        <v>43.53</v>
      </c>
      <c r="DJ121" s="228">
        <v>-1.52</v>
      </c>
      <c r="DK121" s="228">
        <v>-1.52</v>
      </c>
      <c r="DL121" s="228">
        <v>45.98</v>
      </c>
      <c r="DM121" s="228">
        <v>46.57</v>
      </c>
      <c r="DN121" s="228">
        <v>-0.59</v>
      </c>
      <c r="DO121" s="228">
        <v>-0.59</v>
      </c>
      <c r="DP121" s="228">
        <v>0.84</v>
      </c>
      <c r="DQ121" s="228">
        <v>0.93</v>
      </c>
      <c r="DR121" s="228">
        <v>-0.09</v>
      </c>
      <c r="DS121" s="229">
        <v>-9.6799999999999997E-2</v>
      </c>
      <c r="DT121" s="228">
        <v>720</v>
      </c>
      <c r="DU121" s="228">
        <v>800</v>
      </c>
      <c r="DV121" s="228">
        <v>0.82</v>
      </c>
      <c r="DW121" s="228">
        <v>0.78</v>
      </c>
      <c r="DX121" s="228">
        <v>0.04</v>
      </c>
      <c r="DY121" s="229">
        <v>5.1299999999999998E-2</v>
      </c>
      <c r="DZ121" s="229">
        <v>0.1032</v>
      </c>
      <c r="EA121" s="230">
        <v>1901250</v>
      </c>
      <c r="EB121" s="229">
        <v>5.1999999999999998E-3</v>
      </c>
      <c r="EC121" s="229">
        <v>0.1032</v>
      </c>
      <c r="ED121" s="228">
        <v>1.7</v>
      </c>
      <c r="EE121" s="229">
        <v>2E-3</v>
      </c>
      <c r="EF121" s="230">
        <v>987011</v>
      </c>
      <c r="EG121" s="230">
        <v>1747458</v>
      </c>
      <c r="EH121" s="229">
        <v>-0.43519999999999998</v>
      </c>
      <c r="EI121" s="229">
        <v>0.3967</v>
      </c>
      <c r="EJ121" s="231">
        <v>59387.87</v>
      </c>
      <c r="EK121" s="231">
        <v>45605.43</v>
      </c>
      <c r="EL121" s="231">
        <v>26823.14</v>
      </c>
      <c r="EM121" s="231">
        <v>10862</v>
      </c>
      <c r="EN121" s="231">
        <v>131816.44</v>
      </c>
      <c r="EO121" s="231">
        <v>153868.92000000001</v>
      </c>
      <c r="EP121" s="231">
        <v>-22052.48</v>
      </c>
      <c r="EQ121" s="229">
        <v>-0.14330000000000001</v>
      </c>
      <c r="ER121" s="231">
        <v>50903</v>
      </c>
      <c r="ES121" s="231">
        <v>39753</v>
      </c>
      <c r="ET121" s="231">
        <v>168311</v>
      </c>
      <c r="EU121" s="231">
        <v>42165698</v>
      </c>
      <c r="EV121" s="231">
        <v>258967</v>
      </c>
      <c r="EW121" s="231">
        <v>267148</v>
      </c>
      <c r="EX121" s="231">
        <v>-8181</v>
      </c>
      <c r="EY121" s="229">
        <v>-3.0599999999999999E-2</v>
      </c>
      <c r="EZ121" s="229">
        <v>0.72499999999999998</v>
      </c>
      <c r="FA121" s="227" t="s">
        <v>567</v>
      </c>
      <c r="FB121" s="161">
        <f t="shared" si="1"/>
        <v>1989000</v>
      </c>
    </row>
    <row r="122" spans="1:158" ht="17.25" thickBot="1" x14ac:dyDescent="0.3">
      <c r="A122" s="226">
        <v>46129</v>
      </c>
      <c r="B122" s="227" t="s">
        <v>184</v>
      </c>
      <c r="C122" s="227" t="s">
        <v>249</v>
      </c>
      <c r="D122" s="228">
        <v>175</v>
      </c>
      <c r="E122" s="231">
        <v>4106.8999999999996</v>
      </c>
      <c r="F122" s="231">
        <v>4118</v>
      </c>
      <c r="G122" s="228">
        <v>-11.1</v>
      </c>
      <c r="H122" s="229">
        <v>-2.7000000000000001E-3</v>
      </c>
      <c r="I122" s="231">
        <v>4096.1000000000004</v>
      </c>
      <c r="J122" s="231">
        <v>4119.8</v>
      </c>
      <c r="K122" s="228">
        <v>-23.7</v>
      </c>
      <c r="L122" s="229">
        <v>-5.7999999999999996E-3</v>
      </c>
      <c r="M122" s="231">
        <v>4106.8999999999996</v>
      </c>
      <c r="N122" s="231">
        <v>4118</v>
      </c>
      <c r="O122" s="228">
        <v>-11.1</v>
      </c>
      <c r="P122" s="229">
        <v>-2.7000000000000001E-3</v>
      </c>
      <c r="Q122" s="231">
        <v>4128.7</v>
      </c>
      <c r="R122" s="231">
        <v>4140.7</v>
      </c>
      <c r="S122" s="228">
        <v>-12</v>
      </c>
      <c r="T122" s="229">
        <v>-2.8999999999999998E-3</v>
      </c>
      <c r="U122" s="231">
        <v>4124.8999999999996</v>
      </c>
      <c r="V122" s="231">
        <v>4133.1000000000004</v>
      </c>
      <c r="W122" s="228">
        <v>-8.1999999999999993</v>
      </c>
      <c r="X122" s="229">
        <v>-2E-3</v>
      </c>
      <c r="Y122" s="228">
        <v>10.8</v>
      </c>
      <c r="Z122" s="228">
        <v>-1.8</v>
      </c>
      <c r="AA122" s="228">
        <v>12.6</v>
      </c>
      <c r="AB122" s="229">
        <v>2.5999999999999999E-3</v>
      </c>
      <c r="AC122" s="228">
        <v>10.8</v>
      </c>
      <c r="AD122" s="228">
        <v>-1.8</v>
      </c>
      <c r="AE122" s="228">
        <v>12.6</v>
      </c>
      <c r="AF122" s="229">
        <v>2.5999999999999999E-3</v>
      </c>
      <c r="AG122" s="228">
        <v>32.6</v>
      </c>
      <c r="AH122" s="228">
        <v>20.9</v>
      </c>
      <c r="AI122" s="228">
        <v>11.7</v>
      </c>
      <c r="AJ122" s="229">
        <v>8.0000000000000002E-3</v>
      </c>
      <c r="AK122" s="228">
        <v>28.8</v>
      </c>
      <c r="AL122" s="228">
        <v>13.3</v>
      </c>
      <c r="AM122" s="228">
        <v>15.5</v>
      </c>
      <c r="AN122" s="229">
        <v>7.0000000000000001E-3</v>
      </c>
      <c r="AO122" s="231">
        <v>4110.46</v>
      </c>
      <c r="AP122" s="231">
        <v>4129.63</v>
      </c>
      <c r="AQ122" s="228">
        <v>0</v>
      </c>
      <c r="AR122" s="230">
        <v>1954400</v>
      </c>
      <c r="AS122" s="230">
        <v>2822925</v>
      </c>
      <c r="AT122" s="230">
        <v>-868525</v>
      </c>
      <c r="AU122" s="229">
        <v>-0.30769999999999997</v>
      </c>
      <c r="AV122" s="230">
        <v>1471400</v>
      </c>
      <c r="AW122" s="230">
        <v>2504250</v>
      </c>
      <c r="AX122" s="230">
        <v>-1032850</v>
      </c>
      <c r="AY122" s="229">
        <v>-0.41239999999999999</v>
      </c>
      <c r="AZ122" s="230">
        <v>457450</v>
      </c>
      <c r="BA122" s="230">
        <v>265300</v>
      </c>
      <c r="BB122" s="230">
        <v>192150</v>
      </c>
      <c r="BC122" s="229">
        <v>0.72430000000000005</v>
      </c>
      <c r="BD122" s="230">
        <v>25550</v>
      </c>
      <c r="BE122" s="230">
        <v>53375</v>
      </c>
      <c r="BF122" s="230">
        <v>-27825</v>
      </c>
      <c r="BG122" s="229">
        <v>-0.52129999999999999</v>
      </c>
      <c r="BH122" s="230">
        <v>6176625</v>
      </c>
      <c r="BI122" s="230">
        <v>10843525</v>
      </c>
      <c r="BJ122" s="230">
        <v>-4666900</v>
      </c>
      <c r="BK122" s="229">
        <v>-0.4304</v>
      </c>
      <c r="BL122" s="230">
        <v>5552925</v>
      </c>
      <c r="BM122" s="230">
        <v>6346200</v>
      </c>
      <c r="BN122" s="230">
        <v>-793275</v>
      </c>
      <c r="BO122" s="229">
        <v>-0.125</v>
      </c>
      <c r="BP122" s="230">
        <v>13683950</v>
      </c>
      <c r="BQ122" s="230">
        <v>20012650</v>
      </c>
      <c r="BR122" s="230">
        <v>-6328700</v>
      </c>
      <c r="BS122" s="229">
        <v>-0.31619999999999998</v>
      </c>
      <c r="BT122" s="230">
        <v>2940508</v>
      </c>
      <c r="BU122" s="230">
        <v>5526361</v>
      </c>
      <c r="BV122" s="230">
        <v>-2585853</v>
      </c>
      <c r="BW122" s="229">
        <v>-0.46789999999999998</v>
      </c>
      <c r="BX122" s="230">
        <v>14843850</v>
      </c>
      <c r="BY122" s="230">
        <v>14944300</v>
      </c>
      <c r="BZ122" s="230">
        <v>-100450</v>
      </c>
      <c r="CA122" s="229">
        <v>-6.7000000000000002E-3</v>
      </c>
      <c r="CB122" s="230">
        <v>12165825</v>
      </c>
      <c r="CC122" s="230">
        <v>12492900</v>
      </c>
      <c r="CD122" s="230">
        <v>-327075</v>
      </c>
      <c r="CE122" s="229">
        <v>-2.6200000000000001E-2</v>
      </c>
      <c r="CF122" s="230">
        <v>2468900</v>
      </c>
      <c r="CG122" s="230">
        <v>2244025</v>
      </c>
      <c r="CH122" s="230">
        <v>224875</v>
      </c>
      <c r="CI122" s="229">
        <v>0.1002</v>
      </c>
      <c r="CJ122" s="230">
        <v>209125</v>
      </c>
      <c r="CK122" s="230">
        <v>207375</v>
      </c>
      <c r="CL122" s="230">
        <v>1750</v>
      </c>
      <c r="CM122" s="229">
        <v>8.3999999999999995E-3</v>
      </c>
      <c r="CN122" s="230">
        <v>9248225</v>
      </c>
      <c r="CO122" s="230">
        <v>9193800</v>
      </c>
      <c r="CP122" s="230">
        <v>54425</v>
      </c>
      <c r="CQ122" s="229">
        <v>5.8999999999999999E-3</v>
      </c>
      <c r="CR122" s="230">
        <v>8221150</v>
      </c>
      <c r="CS122" s="230">
        <v>8005550</v>
      </c>
      <c r="CT122" s="230">
        <v>215600</v>
      </c>
      <c r="CU122" s="229">
        <v>2.69E-2</v>
      </c>
      <c r="CV122" s="230">
        <v>32313225</v>
      </c>
      <c r="CW122" s="230">
        <v>32143650</v>
      </c>
      <c r="CX122" s="230">
        <v>169575</v>
      </c>
      <c r="CY122" s="229">
        <v>5.3E-3</v>
      </c>
      <c r="CZ122" s="228">
        <v>29.77</v>
      </c>
      <c r="DA122" s="228">
        <v>29.28</v>
      </c>
      <c r="DB122" s="228">
        <v>0.49</v>
      </c>
      <c r="DC122" s="228">
        <v>0.49</v>
      </c>
      <c r="DD122" s="228">
        <v>34.020000000000003</v>
      </c>
      <c r="DE122" s="228">
        <v>34.090000000000003</v>
      </c>
      <c r="DF122" s="228">
        <v>-4.25</v>
      </c>
      <c r="DG122" s="228">
        <v>-7.0000000000000007E-2</v>
      </c>
      <c r="DH122" s="228">
        <v>27.83</v>
      </c>
      <c r="DI122" s="228">
        <v>27.45</v>
      </c>
      <c r="DJ122" s="228">
        <v>0.38</v>
      </c>
      <c r="DK122" s="228">
        <v>0.38</v>
      </c>
      <c r="DL122" s="228">
        <v>31.92</v>
      </c>
      <c r="DM122" s="228">
        <v>32.409999999999997</v>
      </c>
      <c r="DN122" s="228">
        <v>-0.49</v>
      </c>
      <c r="DO122" s="228">
        <v>-0.49</v>
      </c>
      <c r="DP122" s="228">
        <v>0.89</v>
      </c>
      <c r="DQ122" s="228">
        <v>0.87</v>
      </c>
      <c r="DR122" s="228">
        <v>0.02</v>
      </c>
      <c r="DS122" s="229">
        <v>2.3E-2</v>
      </c>
      <c r="DT122" s="231">
        <v>4000</v>
      </c>
      <c r="DU122" s="231">
        <v>4000</v>
      </c>
      <c r="DV122" s="228">
        <v>0.9</v>
      </c>
      <c r="DW122" s="228">
        <v>0.59</v>
      </c>
      <c r="DX122" s="228">
        <v>0.31</v>
      </c>
      <c r="DY122" s="229">
        <v>0.52539999999999998</v>
      </c>
      <c r="DZ122" s="229">
        <v>0.1804</v>
      </c>
      <c r="EA122" s="230">
        <v>2451400</v>
      </c>
      <c r="EB122" s="229">
        <v>5.3E-3</v>
      </c>
      <c r="EC122" s="229">
        <v>0.1804</v>
      </c>
      <c r="ED122" s="228">
        <v>19.170000000000002</v>
      </c>
      <c r="EE122" s="229">
        <v>4.7000000000000002E-3</v>
      </c>
      <c r="EF122" s="230">
        <v>1808575</v>
      </c>
      <c r="EG122" s="230">
        <v>3027847</v>
      </c>
      <c r="EH122" s="229">
        <v>-0.4027</v>
      </c>
      <c r="EI122" s="229">
        <v>0.61509999999999998</v>
      </c>
      <c r="EJ122" s="231">
        <v>263022.18</v>
      </c>
      <c r="EK122" s="231">
        <v>220399.71</v>
      </c>
      <c r="EL122" s="231">
        <v>80426.64</v>
      </c>
      <c r="EM122" s="231">
        <v>16381</v>
      </c>
      <c r="EN122" s="231">
        <v>563848.53</v>
      </c>
      <c r="EO122" s="231">
        <v>832108.38</v>
      </c>
      <c r="EP122" s="231">
        <v>-268259.84999999998</v>
      </c>
      <c r="EQ122" s="229">
        <v>-0.32240000000000002</v>
      </c>
      <c r="ER122" s="231">
        <v>371722</v>
      </c>
      <c r="ES122" s="231">
        <v>311943</v>
      </c>
      <c r="ET122" s="231">
        <v>610198</v>
      </c>
      <c r="EU122" s="231">
        <v>136099497</v>
      </c>
      <c r="EV122" s="231">
        <v>1293863</v>
      </c>
      <c r="EW122" s="231">
        <v>1288517</v>
      </c>
      <c r="EX122" s="231">
        <v>5346</v>
      </c>
      <c r="EY122" s="229">
        <v>4.1000000000000003E-3</v>
      </c>
      <c r="EZ122" s="229">
        <v>0.2374</v>
      </c>
      <c r="FA122" s="227" t="s">
        <v>567</v>
      </c>
      <c r="FB122" s="161">
        <f t="shared" si="1"/>
        <v>2678025</v>
      </c>
    </row>
    <row r="123" spans="1:158" ht="17.25" thickBot="1" x14ac:dyDescent="0.3">
      <c r="A123" s="226">
        <v>46129</v>
      </c>
      <c r="B123" s="227" t="s">
        <v>175</v>
      </c>
      <c r="C123" s="227" t="s">
        <v>564</v>
      </c>
      <c r="D123" s="228">
        <v>2250</v>
      </c>
      <c r="E123" s="228">
        <v>287.35000000000002</v>
      </c>
      <c r="F123" s="228">
        <v>280.79000000000002</v>
      </c>
      <c r="G123" s="228">
        <v>6.56</v>
      </c>
      <c r="H123" s="229">
        <v>2.3400000000000001E-2</v>
      </c>
      <c r="I123" s="228">
        <v>287.14</v>
      </c>
      <c r="J123" s="228">
        <v>280.41000000000003</v>
      </c>
      <c r="K123" s="228">
        <v>6.73</v>
      </c>
      <c r="L123" s="229">
        <v>2.4E-2</v>
      </c>
      <c r="M123" s="228">
        <v>287.35000000000002</v>
      </c>
      <c r="N123" s="228">
        <v>280.79000000000002</v>
      </c>
      <c r="O123" s="228">
        <v>6.56</v>
      </c>
      <c r="P123" s="229">
        <v>2.3400000000000001E-2</v>
      </c>
      <c r="Q123" s="228">
        <v>285.02999999999997</v>
      </c>
      <c r="R123" s="228">
        <v>279</v>
      </c>
      <c r="S123" s="228">
        <v>6.03</v>
      </c>
      <c r="T123" s="229">
        <v>2.1600000000000001E-2</v>
      </c>
      <c r="U123" s="228">
        <v>284.07</v>
      </c>
      <c r="V123" s="228">
        <v>277.99</v>
      </c>
      <c r="W123" s="228">
        <v>6.08</v>
      </c>
      <c r="X123" s="229">
        <v>2.1899999999999999E-2</v>
      </c>
      <c r="Y123" s="228">
        <v>0.21</v>
      </c>
      <c r="Z123" s="228">
        <v>0.38</v>
      </c>
      <c r="AA123" s="228">
        <v>-0.17</v>
      </c>
      <c r="AB123" s="229">
        <v>6.9999999999999999E-4</v>
      </c>
      <c r="AC123" s="228">
        <v>0.21</v>
      </c>
      <c r="AD123" s="228">
        <v>0.38</v>
      </c>
      <c r="AE123" s="228">
        <v>-0.17</v>
      </c>
      <c r="AF123" s="229">
        <v>6.9999999999999999E-4</v>
      </c>
      <c r="AG123" s="228">
        <v>-2.11</v>
      </c>
      <c r="AH123" s="228">
        <v>-1.41</v>
      </c>
      <c r="AI123" s="228">
        <v>-0.7</v>
      </c>
      <c r="AJ123" s="229">
        <v>-7.3000000000000001E-3</v>
      </c>
      <c r="AK123" s="228">
        <v>-3.07</v>
      </c>
      <c r="AL123" s="228">
        <v>-2.42</v>
      </c>
      <c r="AM123" s="228">
        <v>-0.65</v>
      </c>
      <c r="AN123" s="229">
        <v>-1.0699999999999999E-2</v>
      </c>
      <c r="AO123" s="228">
        <v>285.18</v>
      </c>
      <c r="AP123" s="228">
        <v>282.63</v>
      </c>
      <c r="AQ123" s="228">
        <v>0</v>
      </c>
      <c r="AR123" s="230">
        <v>10811250</v>
      </c>
      <c r="AS123" s="230">
        <v>9276750</v>
      </c>
      <c r="AT123" s="230">
        <v>1534500</v>
      </c>
      <c r="AU123" s="229">
        <v>0.16539999999999999</v>
      </c>
      <c r="AV123" s="230">
        <v>8979750</v>
      </c>
      <c r="AW123" s="230">
        <v>7992000</v>
      </c>
      <c r="AX123" s="230">
        <v>987750</v>
      </c>
      <c r="AY123" s="229">
        <v>0.1236</v>
      </c>
      <c r="AZ123" s="230">
        <v>1721250</v>
      </c>
      <c r="BA123" s="230">
        <v>1158750</v>
      </c>
      <c r="BB123" s="230">
        <v>562500</v>
      </c>
      <c r="BC123" s="229">
        <v>0.4854</v>
      </c>
      <c r="BD123" s="230">
        <v>110250</v>
      </c>
      <c r="BE123" s="230">
        <v>126000</v>
      </c>
      <c r="BF123" s="230">
        <v>-15750</v>
      </c>
      <c r="BG123" s="229">
        <v>-0.125</v>
      </c>
      <c r="BH123" s="230">
        <v>21343500</v>
      </c>
      <c r="BI123" s="230">
        <v>18526500</v>
      </c>
      <c r="BJ123" s="230">
        <v>2817000</v>
      </c>
      <c r="BK123" s="229">
        <v>0.15210000000000001</v>
      </c>
      <c r="BL123" s="230">
        <v>12969000</v>
      </c>
      <c r="BM123" s="230">
        <v>6372000</v>
      </c>
      <c r="BN123" s="230">
        <v>6597000</v>
      </c>
      <c r="BO123" s="229">
        <v>1.0353000000000001</v>
      </c>
      <c r="BP123" s="230">
        <v>45123750</v>
      </c>
      <c r="BQ123" s="230">
        <v>34175250</v>
      </c>
      <c r="BR123" s="230">
        <v>10948500</v>
      </c>
      <c r="BS123" s="229">
        <v>0.32040000000000002</v>
      </c>
      <c r="BT123" s="230">
        <v>3565619</v>
      </c>
      <c r="BU123" s="230">
        <v>5594260</v>
      </c>
      <c r="BV123" s="230">
        <v>-2028641</v>
      </c>
      <c r="BW123" s="229">
        <v>-0.36259999999999998</v>
      </c>
      <c r="BX123" s="230">
        <v>52863750</v>
      </c>
      <c r="BY123" s="230">
        <v>54504000</v>
      </c>
      <c r="BZ123" s="230">
        <v>-1640250</v>
      </c>
      <c r="CA123" s="229">
        <v>-3.0099999999999998E-2</v>
      </c>
      <c r="CB123" s="230">
        <v>49007250</v>
      </c>
      <c r="CC123" s="230">
        <v>51288750</v>
      </c>
      <c r="CD123" s="230">
        <v>-2281500</v>
      </c>
      <c r="CE123" s="229">
        <v>-4.4499999999999998E-2</v>
      </c>
      <c r="CF123" s="230">
        <v>3597750</v>
      </c>
      <c r="CG123" s="230">
        <v>2979000</v>
      </c>
      <c r="CH123" s="230">
        <v>618750</v>
      </c>
      <c r="CI123" s="229">
        <v>0.2077</v>
      </c>
      <c r="CJ123" s="230">
        <v>258750</v>
      </c>
      <c r="CK123" s="230">
        <v>236250</v>
      </c>
      <c r="CL123" s="230">
        <v>22500</v>
      </c>
      <c r="CM123" s="229">
        <v>9.5200000000000007E-2</v>
      </c>
      <c r="CN123" s="230">
        <v>18911250</v>
      </c>
      <c r="CO123" s="230">
        <v>19680750</v>
      </c>
      <c r="CP123" s="230">
        <v>-769500</v>
      </c>
      <c r="CQ123" s="229">
        <v>-3.9100000000000003E-2</v>
      </c>
      <c r="CR123" s="230">
        <v>16436250</v>
      </c>
      <c r="CS123" s="230">
        <v>15399000</v>
      </c>
      <c r="CT123" s="230">
        <v>1037250</v>
      </c>
      <c r="CU123" s="229">
        <v>6.7400000000000002E-2</v>
      </c>
      <c r="CV123" s="230">
        <v>88211250</v>
      </c>
      <c r="CW123" s="230">
        <v>89583750</v>
      </c>
      <c r="CX123" s="230">
        <v>-1372500</v>
      </c>
      <c r="CY123" s="229">
        <v>-1.5299999999999999E-2</v>
      </c>
      <c r="CZ123" s="228">
        <v>40.04</v>
      </c>
      <c r="DA123" s="228">
        <v>42.06</v>
      </c>
      <c r="DB123" s="228">
        <v>-2.02</v>
      </c>
      <c r="DC123" s="228">
        <v>-2.02</v>
      </c>
      <c r="DD123" s="228">
        <v>41.7</v>
      </c>
      <c r="DE123" s="228">
        <v>41.69</v>
      </c>
      <c r="DF123" s="228">
        <v>-1.66</v>
      </c>
      <c r="DG123" s="228">
        <v>0.01</v>
      </c>
      <c r="DH123" s="228">
        <v>37.85</v>
      </c>
      <c r="DI123" s="228">
        <v>41.01</v>
      </c>
      <c r="DJ123" s="228">
        <v>-3.16</v>
      </c>
      <c r="DK123" s="228">
        <v>-3.16</v>
      </c>
      <c r="DL123" s="228">
        <v>43.65</v>
      </c>
      <c r="DM123" s="228">
        <v>45.12</v>
      </c>
      <c r="DN123" s="228">
        <v>-1.47</v>
      </c>
      <c r="DO123" s="228">
        <v>-1.47</v>
      </c>
      <c r="DP123" s="228">
        <v>0.87</v>
      </c>
      <c r="DQ123" s="228">
        <v>0.78</v>
      </c>
      <c r="DR123" s="228">
        <v>0.09</v>
      </c>
      <c r="DS123" s="229">
        <v>0.1154</v>
      </c>
      <c r="DT123" s="228">
        <v>300</v>
      </c>
      <c r="DU123" s="228">
        <v>300</v>
      </c>
      <c r="DV123" s="228">
        <v>0.61</v>
      </c>
      <c r="DW123" s="228">
        <v>0.34</v>
      </c>
      <c r="DX123" s="228">
        <v>0.27</v>
      </c>
      <c r="DY123" s="229">
        <v>0.79410000000000003</v>
      </c>
      <c r="DZ123" s="229">
        <v>7.2999999999999995E-2</v>
      </c>
      <c r="EA123" s="230">
        <v>3215250</v>
      </c>
      <c r="EB123" s="229">
        <v>-8.0999999999999996E-3</v>
      </c>
      <c r="EC123" s="229">
        <v>7.2999999999999995E-2</v>
      </c>
      <c r="ED123" s="228">
        <v>-2.5499999999999998</v>
      </c>
      <c r="EE123" s="229">
        <v>-8.8999999999999999E-3</v>
      </c>
      <c r="EF123" s="230">
        <v>1310818</v>
      </c>
      <c r="EG123" s="230">
        <v>2320823</v>
      </c>
      <c r="EH123" s="229">
        <v>-0.43519999999999998</v>
      </c>
      <c r="EI123" s="229">
        <v>0.36759999999999998</v>
      </c>
      <c r="EJ123" s="231">
        <v>63950.61</v>
      </c>
      <c r="EK123" s="231">
        <v>35768.53</v>
      </c>
      <c r="EL123" s="231">
        <v>30783.43</v>
      </c>
      <c r="EM123" s="231">
        <v>3997</v>
      </c>
      <c r="EN123" s="231">
        <v>130502.57</v>
      </c>
      <c r="EO123" s="231">
        <v>98895.41</v>
      </c>
      <c r="EP123" s="231">
        <v>31607.16</v>
      </c>
      <c r="EQ123" s="229">
        <v>0.3196</v>
      </c>
      <c r="ER123" s="231">
        <v>52945</v>
      </c>
      <c r="ES123" s="231">
        <v>44164</v>
      </c>
      <c r="ET123" s="231">
        <v>151812</v>
      </c>
      <c r="EU123" s="231">
        <v>127514625</v>
      </c>
      <c r="EV123" s="231">
        <v>248921</v>
      </c>
      <c r="EW123" s="231">
        <v>249042</v>
      </c>
      <c r="EX123" s="228">
        <v>-121</v>
      </c>
      <c r="EY123" s="229">
        <v>-5.0000000000000001E-4</v>
      </c>
      <c r="EZ123" s="229">
        <v>0.69179999999999997</v>
      </c>
      <c r="FA123" s="227" t="s">
        <v>693</v>
      </c>
      <c r="FB123" s="161">
        <f t="shared" si="1"/>
        <v>3856500</v>
      </c>
    </row>
    <row r="124" spans="1:158" ht="17.25" thickBot="1" x14ac:dyDescent="0.3">
      <c r="A124" s="226">
        <v>46129</v>
      </c>
      <c r="B124" s="227" t="s">
        <v>221</v>
      </c>
      <c r="C124" s="227" t="s">
        <v>692</v>
      </c>
      <c r="D124" s="228">
        <v>150</v>
      </c>
      <c r="E124" s="231">
        <v>4691.8</v>
      </c>
      <c r="F124" s="231">
        <v>4633</v>
      </c>
      <c r="G124" s="228">
        <v>58.8</v>
      </c>
      <c r="H124" s="229">
        <v>1.2699999999999999E-2</v>
      </c>
      <c r="I124" s="231">
        <v>4753.6000000000004</v>
      </c>
      <c r="J124" s="231">
        <v>4730</v>
      </c>
      <c r="K124" s="228">
        <v>23.6</v>
      </c>
      <c r="L124" s="229">
        <v>5.0000000000000001E-3</v>
      </c>
      <c r="M124" s="231">
        <v>4691.8</v>
      </c>
      <c r="N124" s="231">
        <v>4633</v>
      </c>
      <c r="O124" s="228">
        <v>58.8</v>
      </c>
      <c r="P124" s="229">
        <v>1.2699999999999999E-2</v>
      </c>
      <c r="Q124" s="231">
        <v>4571.8999999999996</v>
      </c>
      <c r="R124" s="231">
        <v>4508.3999999999996</v>
      </c>
      <c r="S124" s="228">
        <v>63.5</v>
      </c>
      <c r="T124" s="229">
        <v>1.41E-2</v>
      </c>
      <c r="U124" s="231">
        <v>4492.3999999999996</v>
      </c>
      <c r="V124" s="231">
        <v>4434.8</v>
      </c>
      <c r="W124" s="228">
        <v>57.6</v>
      </c>
      <c r="X124" s="229">
        <v>1.2999999999999999E-2</v>
      </c>
      <c r="Y124" s="228">
        <v>-61.8</v>
      </c>
      <c r="Z124" s="228">
        <v>-97</v>
      </c>
      <c r="AA124" s="228">
        <v>35.200000000000003</v>
      </c>
      <c r="AB124" s="229">
        <v>-1.2999999999999999E-2</v>
      </c>
      <c r="AC124" s="228">
        <v>-61.8</v>
      </c>
      <c r="AD124" s="228">
        <v>-97</v>
      </c>
      <c r="AE124" s="228">
        <v>35.200000000000003</v>
      </c>
      <c r="AF124" s="229">
        <v>-1.2999999999999999E-2</v>
      </c>
      <c r="AG124" s="228">
        <v>-181.7</v>
      </c>
      <c r="AH124" s="228">
        <v>-221.6</v>
      </c>
      <c r="AI124" s="228">
        <v>39.9</v>
      </c>
      <c r="AJ124" s="229">
        <v>-3.8199999999999998E-2</v>
      </c>
      <c r="AK124" s="228">
        <v>-261.2</v>
      </c>
      <c r="AL124" s="228">
        <v>-295.2</v>
      </c>
      <c r="AM124" s="228">
        <v>34</v>
      </c>
      <c r="AN124" s="229">
        <v>-5.4899999999999997E-2</v>
      </c>
      <c r="AO124" s="231">
        <v>4661.28</v>
      </c>
      <c r="AP124" s="231">
        <v>4531.09</v>
      </c>
      <c r="AQ124" s="228">
        <v>0</v>
      </c>
      <c r="AR124" s="230">
        <v>621450</v>
      </c>
      <c r="AS124" s="230">
        <v>1105200</v>
      </c>
      <c r="AT124" s="230">
        <v>-483750</v>
      </c>
      <c r="AU124" s="229">
        <v>-0.43769999999999998</v>
      </c>
      <c r="AV124" s="230">
        <v>448950</v>
      </c>
      <c r="AW124" s="230">
        <v>707700</v>
      </c>
      <c r="AX124" s="230">
        <v>-258750</v>
      </c>
      <c r="AY124" s="229">
        <v>-0.36559999999999998</v>
      </c>
      <c r="AZ124" s="230">
        <v>167250</v>
      </c>
      <c r="BA124" s="230">
        <v>387450</v>
      </c>
      <c r="BB124" s="230">
        <v>-220200</v>
      </c>
      <c r="BC124" s="229">
        <v>-0.56830000000000003</v>
      </c>
      <c r="BD124" s="230">
        <v>5250</v>
      </c>
      <c r="BE124" s="230">
        <v>10050</v>
      </c>
      <c r="BF124" s="230">
        <v>-4800</v>
      </c>
      <c r="BG124" s="229">
        <v>-0.47760000000000002</v>
      </c>
      <c r="BH124" s="230">
        <v>1382400</v>
      </c>
      <c r="BI124" s="230">
        <v>2641500</v>
      </c>
      <c r="BJ124" s="230">
        <v>-1259100</v>
      </c>
      <c r="BK124" s="229">
        <v>-0.47670000000000001</v>
      </c>
      <c r="BL124" s="230">
        <v>689700</v>
      </c>
      <c r="BM124" s="230">
        <v>745800</v>
      </c>
      <c r="BN124" s="230">
        <v>-56100</v>
      </c>
      <c r="BO124" s="229">
        <v>-7.5200000000000003E-2</v>
      </c>
      <c r="BP124" s="230">
        <v>2693550</v>
      </c>
      <c r="BQ124" s="230">
        <v>4492500</v>
      </c>
      <c r="BR124" s="230">
        <v>-1798950</v>
      </c>
      <c r="BS124" s="229">
        <v>-0.40039999999999998</v>
      </c>
      <c r="BT124" s="230">
        <v>339240</v>
      </c>
      <c r="BU124" s="230">
        <v>510162</v>
      </c>
      <c r="BV124" s="230">
        <v>-170922</v>
      </c>
      <c r="BW124" s="229">
        <v>-0.33500000000000002</v>
      </c>
      <c r="BX124" s="230">
        <v>5007150</v>
      </c>
      <c r="BY124" s="230">
        <v>4932900</v>
      </c>
      <c r="BZ124" s="230">
        <v>74250</v>
      </c>
      <c r="CA124" s="229">
        <v>1.5100000000000001E-2</v>
      </c>
      <c r="CB124" s="230">
        <v>4105650</v>
      </c>
      <c r="CC124" s="230">
        <v>4107600</v>
      </c>
      <c r="CD124" s="230">
        <v>-1950</v>
      </c>
      <c r="CE124" s="229">
        <v>-5.0000000000000001E-4</v>
      </c>
      <c r="CF124" s="230">
        <v>877200</v>
      </c>
      <c r="CG124" s="230">
        <v>800400</v>
      </c>
      <c r="CH124" s="230">
        <v>76800</v>
      </c>
      <c r="CI124" s="229">
        <v>9.6000000000000002E-2</v>
      </c>
      <c r="CJ124" s="230">
        <v>24300</v>
      </c>
      <c r="CK124" s="230">
        <v>24900</v>
      </c>
      <c r="CL124" s="228">
        <v>-600</v>
      </c>
      <c r="CM124" s="229">
        <v>-2.41E-2</v>
      </c>
      <c r="CN124" s="230">
        <v>1049550</v>
      </c>
      <c r="CO124" s="230">
        <v>1138950</v>
      </c>
      <c r="CP124" s="230">
        <v>-89400</v>
      </c>
      <c r="CQ124" s="229">
        <v>-7.85E-2</v>
      </c>
      <c r="CR124" s="230">
        <v>910800</v>
      </c>
      <c r="CS124" s="230">
        <v>872250</v>
      </c>
      <c r="CT124" s="230">
        <v>38550</v>
      </c>
      <c r="CU124" s="229">
        <v>4.4200000000000003E-2</v>
      </c>
      <c r="CV124" s="230">
        <v>6967500</v>
      </c>
      <c r="CW124" s="230">
        <v>6944100</v>
      </c>
      <c r="CX124" s="230">
        <v>23400</v>
      </c>
      <c r="CY124" s="229">
        <v>3.3999999999999998E-3</v>
      </c>
      <c r="CZ124" s="228">
        <v>35.68</v>
      </c>
      <c r="DA124" s="228">
        <v>36.83</v>
      </c>
      <c r="DB124" s="228">
        <v>-1.1499999999999999</v>
      </c>
      <c r="DC124" s="228">
        <v>-1.1499999999999999</v>
      </c>
      <c r="DD124" s="228">
        <v>35.89</v>
      </c>
      <c r="DE124" s="228">
        <v>35.97</v>
      </c>
      <c r="DF124" s="228">
        <v>-0.21</v>
      </c>
      <c r="DG124" s="228">
        <v>-0.08</v>
      </c>
      <c r="DH124" s="228">
        <v>34.159999999999997</v>
      </c>
      <c r="DI124" s="228">
        <v>36.36</v>
      </c>
      <c r="DJ124" s="228">
        <v>-2.2000000000000002</v>
      </c>
      <c r="DK124" s="228">
        <v>-2.2000000000000002</v>
      </c>
      <c r="DL124" s="228">
        <v>38.72</v>
      </c>
      <c r="DM124" s="228">
        <v>38.51</v>
      </c>
      <c r="DN124" s="228">
        <v>0.21</v>
      </c>
      <c r="DO124" s="228">
        <v>0.21</v>
      </c>
      <c r="DP124" s="228">
        <v>0.87</v>
      </c>
      <c r="DQ124" s="228">
        <v>0.77</v>
      </c>
      <c r="DR124" s="228">
        <v>0.1</v>
      </c>
      <c r="DS124" s="229">
        <v>0.12989999999999999</v>
      </c>
      <c r="DT124" s="231">
        <v>4700</v>
      </c>
      <c r="DU124" s="231">
        <v>4300</v>
      </c>
      <c r="DV124" s="228">
        <v>0.5</v>
      </c>
      <c r="DW124" s="228">
        <v>0.28000000000000003</v>
      </c>
      <c r="DX124" s="228">
        <v>0.22</v>
      </c>
      <c r="DY124" s="229">
        <v>0.78569999999999995</v>
      </c>
      <c r="DZ124" s="229">
        <v>0.18</v>
      </c>
      <c r="EA124" s="230">
        <v>825300</v>
      </c>
      <c r="EB124" s="229">
        <v>-2.5600000000000001E-2</v>
      </c>
      <c r="EC124" s="229">
        <v>0.18</v>
      </c>
      <c r="ED124" s="228">
        <v>-130.19</v>
      </c>
      <c r="EE124" s="229">
        <v>-2.7900000000000001E-2</v>
      </c>
      <c r="EF124" s="230">
        <v>185212</v>
      </c>
      <c r="EG124" s="230">
        <v>230607</v>
      </c>
      <c r="EH124" s="229">
        <v>-0.19689999999999999</v>
      </c>
      <c r="EI124" s="229">
        <v>0.54600000000000004</v>
      </c>
      <c r="EJ124" s="231">
        <v>67188.09</v>
      </c>
      <c r="EK124" s="231">
        <v>31341.95</v>
      </c>
      <c r="EL124" s="231">
        <v>28739.97</v>
      </c>
      <c r="EM124" s="231">
        <v>5800</v>
      </c>
      <c r="EN124" s="231">
        <v>127270.01</v>
      </c>
      <c r="EO124" s="231">
        <v>212833.33</v>
      </c>
      <c r="EP124" s="231">
        <v>-85563.32</v>
      </c>
      <c r="EQ124" s="229">
        <v>-0.40200000000000002</v>
      </c>
      <c r="ER124" s="231">
        <v>48350</v>
      </c>
      <c r="ES124" s="231">
        <v>39097</v>
      </c>
      <c r="ET124" s="231">
        <v>233825</v>
      </c>
      <c r="EU124" s="231">
        <v>12564965</v>
      </c>
      <c r="EV124" s="231">
        <v>321272</v>
      </c>
      <c r="EW124" s="231">
        <v>317243</v>
      </c>
      <c r="EX124" s="231">
        <v>4029</v>
      </c>
      <c r="EY124" s="229">
        <v>1.2699999999999999E-2</v>
      </c>
      <c r="EZ124" s="229">
        <v>0.55449999999999999</v>
      </c>
      <c r="FA124" s="227" t="s">
        <v>555</v>
      </c>
      <c r="FB124" s="161">
        <f t="shared" si="1"/>
        <v>901500</v>
      </c>
    </row>
    <row r="125" spans="1:158" ht="17.25" thickBot="1" x14ac:dyDescent="0.3">
      <c r="A125" s="226">
        <v>46129</v>
      </c>
      <c r="B125" s="227" t="s">
        <v>170</v>
      </c>
      <c r="C125" s="227" t="s">
        <v>250</v>
      </c>
      <c r="D125" s="228">
        <v>425</v>
      </c>
      <c r="E125" s="231">
        <v>2328.4</v>
      </c>
      <c r="F125" s="231">
        <v>2326.1999999999998</v>
      </c>
      <c r="G125" s="228">
        <v>2.2000000000000002</v>
      </c>
      <c r="H125" s="229">
        <v>8.9999999999999998E-4</v>
      </c>
      <c r="I125" s="231">
        <v>2326.1</v>
      </c>
      <c r="J125" s="231">
        <v>2327</v>
      </c>
      <c r="K125" s="228">
        <v>-0.9</v>
      </c>
      <c r="L125" s="229">
        <v>-4.0000000000000002E-4</v>
      </c>
      <c r="M125" s="231">
        <v>2328.4</v>
      </c>
      <c r="N125" s="231">
        <v>2326.1999999999998</v>
      </c>
      <c r="O125" s="228">
        <v>2.2000000000000002</v>
      </c>
      <c r="P125" s="229">
        <v>8.9999999999999998E-4</v>
      </c>
      <c r="Q125" s="231">
        <v>2335.6999999999998</v>
      </c>
      <c r="R125" s="231">
        <v>2336.5</v>
      </c>
      <c r="S125" s="228">
        <v>-0.8</v>
      </c>
      <c r="T125" s="229">
        <v>-2.9999999999999997E-4</v>
      </c>
      <c r="U125" s="231">
        <v>2348.6</v>
      </c>
      <c r="V125" s="231">
        <v>2348</v>
      </c>
      <c r="W125" s="228">
        <v>0.6</v>
      </c>
      <c r="X125" s="229">
        <v>2.9999999999999997E-4</v>
      </c>
      <c r="Y125" s="228">
        <v>2.2999999999999998</v>
      </c>
      <c r="Z125" s="228">
        <v>-0.8</v>
      </c>
      <c r="AA125" s="228">
        <v>3.1</v>
      </c>
      <c r="AB125" s="229">
        <v>1E-3</v>
      </c>
      <c r="AC125" s="228">
        <v>2.2999999999999998</v>
      </c>
      <c r="AD125" s="228">
        <v>-0.8</v>
      </c>
      <c r="AE125" s="228">
        <v>3.1</v>
      </c>
      <c r="AF125" s="229">
        <v>1E-3</v>
      </c>
      <c r="AG125" s="228">
        <v>9.6</v>
      </c>
      <c r="AH125" s="228">
        <v>9.5</v>
      </c>
      <c r="AI125" s="228">
        <v>0.1</v>
      </c>
      <c r="AJ125" s="229">
        <v>4.1000000000000003E-3</v>
      </c>
      <c r="AK125" s="228">
        <v>22.5</v>
      </c>
      <c r="AL125" s="228">
        <v>21</v>
      </c>
      <c r="AM125" s="228">
        <v>1.5</v>
      </c>
      <c r="AN125" s="229">
        <v>9.7000000000000003E-3</v>
      </c>
      <c r="AO125" s="231">
        <v>2321.71</v>
      </c>
      <c r="AP125" s="231">
        <v>2330.84</v>
      </c>
      <c r="AQ125" s="228">
        <v>0</v>
      </c>
      <c r="AR125" s="230">
        <v>1056125</v>
      </c>
      <c r="AS125" s="230">
        <v>1060800</v>
      </c>
      <c r="AT125" s="230">
        <v>-4675</v>
      </c>
      <c r="AU125" s="229">
        <v>-4.4000000000000003E-3</v>
      </c>
      <c r="AV125" s="230">
        <v>937975</v>
      </c>
      <c r="AW125" s="230">
        <v>905675</v>
      </c>
      <c r="AX125" s="230">
        <v>32300</v>
      </c>
      <c r="AY125" s="229">
        <v>3.5700000000000003E-2</v>
      </c>
      <c r="AZ125" s="230">
        <v>111350</v>
      </c>
      <c r="BA125" s="230">
        <v>144500</v>
      </c>
      <c r="BB125" s="230">
        <v>-33150</v>
      </c>
      <c r="BC125" s="229">
        <v>-0.22939999999999999</v>
      </c>
      <c r="BD125" s="230">
        <v>6800</v>
      </c>
      <c r="BE125" s="230">
        <v>10625</v>
      </c>
      <c r="BF125" s="230">
        <v>-3825</v>
      </c>
      <c r="BG125" s="229">
        <v>-0.36</v>
      </c>
      <c r="BH125" s="230">
        <v>3867075</v>
      </c>
      <c r="BI125" s="230">
        <v>4059175</v>
      </c>
      <c r="BJ125" s="230">
        <v>-192100</v>
      </c>
      <c r="BK125" s="229">
        <v>-4.7300000000000002E-2</v>
      </c>
      <c r="BL125" s="230">
        <v>1833450</v>
      </c>
      <c r="BM125" s="230">
        <v>1850875</v>
      </c>
      <c r="BN125" s="230">
        <v>-17425</v>
      </c>
      <c r="BO125" s="229">
        <v>-9.4000000000000004E-3</v>
      </c>
      <c r="BP125" s="230">
        <v>6756650</v>
      </c>
      <c r="BQ125" s="230">
        <v>6970850</v>
      </c>
      <c r="BR125" s="230">
        <v>-214200</v>
      </c>
      <c r="BS125" s="229">
        <v>-3.0700000000000002E-2</v>
      </c>
      <c r="BT125" s="230">
        <v>1038979</v>
      </c>
      <c r="BU125" s="230">
        <v>1020599</v>
      </c>
      <c r="BV125" s="230">
        <v>18380</v>
      </c>
      <c r="BW125" s="229">
        <v>1.7999999999999999E-2</v>
      </c>
      <c r="BX125" s="230">
        <v>6805950</v>
      </c>
      <c r="BY125" s="230">
        <v>6651250</v>
      </c>
      <c r="BZ125" s="230">
        <v>154700</v>
      </c>
      <c r="CA125" s="229">
        <v>2.3300000000000001E-2</v>
      </c>
      <c r="CB125" s="230">
        <v>6519075</v>
      </c>
      <c r="CC125" s="230">
        <v>6395400</v>
      </c>
      <c r="CD125" s="230">
        <v>123675</v>
      </c>
      <c r="CE125" s="229">
        <v>1.9300000000000001E-2</v>
      </c>
      <c r="CF125" s="230">
        <v>274125</v>
      </c>
      <c r="CG125" s="230">
        <v>244800</v>
      </c>
      <c r="CH125" s="230">
        <v>29325</v>
      </c>
      <c r="CI125" s="229">
        <v>0.1198</v>
      </c>
      <c r="CJ125" s="230">
        <v>12750</v>
      </c>
      <c r="CK125" s="230">
        <v>11050</v>
      </c>
      <c r="CL125" s="230">
        <v>1700</v>
      </c>
      <c r="CM125" s="229">
        <v>0.15379999999999999</v>
      </c>
      <c r="CN125" s="230">
        <v>2481150</v>
      </c>
      <c r="CO125" s="230">
        <v>2394875</v>
      </c>
      <c r="CP125" s="230">
        <v>86275</v>
      </c>
      <c r="CQ125" s="229">
        <v>3.5999999999999997E-2</v>
      </c>
      <c r="CR125" s="230">
        <v>1587800</v>
      </c>
      <c r="CS125" s="230">
        <v>1620100</v>
      </c>
      <c r="CT125" s="230">
        <v>-32300</v>
      </c>
      <c r="CU125" s="229">
        <v>-1.9900000000000001E-2</v>
      </c>
      <c r="CV125" s="230">
        <v>10874900</v>
      </c>
      <c r="CW125" s="230">
        <v>10666225</v>
      </c>
      <c r="CX125" s="230">
        <v>208675</v>
      </c>
      <c r="CY125" s="229">
        <v>1.9599999999999999E-2</v>
      </c>
      <c r="CZ125" s="228">
        <v>25.07</v>
      </c>
      <c r="DA125" s="228">
        <v>25.74</v>
      </c>
      <c r="DB125" s="228">
        <v>-0.67</v>
      </c>
      <c r="DC125" s="228">
        <v>-0.67</v>
      </c>
      <c r="DD125" s="228">
        <v>27.92</v>
      </c>
      <c r="DE125" s="228">
        <v>27.99</v>
      </c>
      <c r="DF125" s="228">
        <v>-2.85</v>
      </c>
      <c r="DG125" s="228">
        <v>-7.0000000000000007E-2</v>
      </c>
      <c r="DH125" s="228">
        <v>24.66</v>
      </c>
      <c r="DI125" s="228">
        <v>25.02</v>
      </c>
      <c r="DJ125" s="228">
        <v>-0.36</v>
      </c>
      <c r="DK125" s="228">
        <v>-0.36</v>
      </c>
      <c r="DL125" s="228">
        <v>25.93</v>
      </c>
      <c r="DM125" s="228">
        <v>27.34</v>
      </c>
      <c r="DN125" s="228">
        <v>-1.41</v>
      </c>
      <c r="DO125" s="228">
        <v>-1.41</v>
      </c>
      <c r="DP125" s="228">
        <v>0.64</v>
      </c>
      <c r="DQ125" s="228">
        <v>0.68</v>
      </c>
      <c r="DR125" s="228">
        <v>-0.04</v>
      </c>
      <c r="DS125" s="229">
        <v>-5.8799999999999998E-2</v>
      </c>
      <c r="DT125" s="231">
        <v>2500</v>
      </c>
      <c r="DU125" s="231">
        <v>2300</v>
      </c>
      <c r="DV125" s="228">
        <v>0.47</v>
      </c>
      <c r="DW125" s="228">
        <v>0.46</v>
      </c>
      <c r="DX125" s="228">
        <v>0.01</v>
      </c>
      <c r="DY125" s="229">
        <v>2.1700000000000001E-2</v>
      </c>
      <c r="DZ125" s="229">
        <v>4.2200000000000001E-2</v>
      </c>
      <c r="EA125" s="230">
        <v>255850</v>
      </c>
      <c r="EB125" s="229">
        <v>3.0999999999999999E-3</v>
      </c>
      <c r="EC125" s="229">
        <v>4.2200000000000001E-2</v>
      </c>
      <c r="ED125" s="228">
        <v>9.1300000000000008</v>
      </c>
      <c r="EE125" s="229">
        <v>3.8999999999999998E-3</v>
      </c>
      <c r="EF125" s="230">
        <v>575876</v>
      </c>
      <c r="EG125" s="230">
        <v>596757</v>
      </c>
      <c r="EH125" s="229">
        <v>-3.5000000000000003E-2</v>
      </c>
      <c r="EI125" s="229">
        <v>0.55430000000000001</v>
      </c>
      <c r="EJ125" s="231">
        <v>92829.66</v>
      </c>
      <c r="EK125" s="231">
        <v>42086.95</v>
      </c>
      <c r="EL125" s="231">
        <v>24531.54</v>
      </c>
      <c r="EM125" s="231">
        <v>2084</v>
      </c>
      <c r="EN125" s="231">
        <v>159448.15</v>
      </c>
      <c r="EO125" s="231">
        <v>164177.1</v>
      </c>
      <c r="EP125" s="231">
        <v>-4728.95</v>
      </c>
      <c r="EQ125" s="229">
        <v>-2.8799999999999999E-2</v>
      </c>
      <c r="ER125" s="231">
        <v>59533</v>
      </c>
      <c r="ES125" s="231">
        <v>35300</v>
      </c>
      <c r="ET125" s="231">
        <v>158492</v>
      </c>
      <c r="EU125" s="231">
        <v>32222448</v>
      </c>
      <c r="EV125" s="231">
        <v>253326</v>
      </c>
      <c r="EW125" s="231">
        <v>248158</v>
      </c>
      <c r="EX125" s="231">
        <v>5168</v>
      </c>
      <c r="EY125" s="229">
        <v>2.0799999999999999E-2</v>
      </c>
      <c r="EZ125" s="229">
        <v>0.33750000000000002</v>
      </c>
      <c r="FA125" s="227" t="s">
        <v>555</v>
      </c>
      <c r="FB125" s="161">
        <f t="shared" si="1"/>
        <v>286875</v>
      </c>
    </row>
    <row r="126" spans="1:158" ht="17.25" thickBot="1" x14ac:dyDescent="0.3">
      <c r="A126" s="226">
        <v>46129</v>
      </c>
      <c r="B126" s="227" t="s">
        <v>162</v>
      </c>
      <c r="C126" s="227" t="s">
        <v>251</v>
      </c>
      <c r="D126" s="228">
        <v>200</v>
      </c>
      <c r="E126" s="231">
        <v>3207.2</v>
      </c>
      <c r="F126" s="231">
        <v>3229.3</v>
      </c>
      <c r="G126" s="228">
        <v>-22.1</v>
      </c>
      <c r="H126" s="229">
        <v>-6.7999999999999996E-3</v>
      </c>
      <c r="I126" s="231">
        <v>3200.2</v>
      </c>
      <c r="J126" s="231">
        <v>3222.3</v>
      </c>
      <c r="K126" s="228">
        <v>-22.1</v>
      </c>
      <c r="L126" s="229">
        <v>-6.8999999999999999E-3</v>
      </c>
      <c r="M126" s="231">
        <v>3207.2</v>
      </c>
      <c r="N126" s="231">
        <v>3229.3</v>
      </c>
      <c r="O126" s="228">
        <v>-22.1</v>
      </c>
      <c r="P126" s="229">
        <v>-6.7999999999999996E-3</v>
      </c>
      <c r="Q126" s="231">
        <v>3225.7</v>
      </c>
      <c r="R126" s="231">
        <v>3247.8</v>
      </c>
      <c r="S126" s="228">
        <v>-22.1</v>
      </c>
      <c r="T126" s="229">
        <v>-6.7999999999999996E-3</v>
      </c>
      <c r="U126" s="231">
        <v>3244</v>
      </c>
      <c r="V126" s="231">
        <v>3267.4</v>
      </c>
      <c r="W126" s="228">
        <v>-23.4</v>
      </c>
      <c r="X126" s="229">
        <v>-7.1999999999999998E-3</v>
      </c>
      <c r="Y126" s="228">
        <v>7</v>
      </c>
      <c r="Z126" s="228">
        <v>7</v>
      </c>
      <c r="AA126" s="228">
        <v>0</v>
      </c>
      <c r="AB126" s="229">
        <v>2.2000000000000001E-3</v>
      </c>
      <c r="AC126" s="228">
        <v>7</v>
      </c>
      <c r="AD126" s="228">
        <v>7</v>
      </c>
      <c r="AE126" s="228">
        <v>0</v>
      </c>
      <c r="AF126" s="229">
        <v>2.2000000000000001E-3</v>
      </c>
      <c r="AG126" s="228">
        <v>25.5</v>
      </c>
      <c r="AH126" s="228">
        <v>25.5</v>
      </c>
      <c r="AI126" s="228">
        <v>0</v>
      </c>
      <c r="AJ126" s="229">
        <v>8.0000000000000002E-3</v>
      </c>
      <c r="AK126" s="228">
        <v>43.8</v>
      </c>
      <c r="AL126" s="228">
        <v>45.1</v>
      </c>
      <c r="AM126" s="228">
        <v>-1.3</v>
      </c>
      <c r="AN126" s="229">
        <v>1.37E-2</v>
      </c>
      <c r="AO126" s="231">
        <v>3215.18</v>
      </c>
      <c r="AP126" s="231">
        <v>3230.56</v>
      </c>
      <c r="AQ126" s="228">
        <v>0</v>
      </c>
      <c r="AR126" s="230">
        <v>2342200</v>
      </c>
      <c r="AS126" s="230">
        <v>3021200</v>
      </c>
      <c r="AT126" s="230">
        <v>-679000</v>
      </c>
      <c r="AU126" s="229">
        <v>-0.22470000000000001</v>
      </c>
      <c r="AV126" s="230">
        <v>1730800</v>
      </c>
      <c r="AW126" s="230">
        <v>2342200</v>
      </c>
      <c r="AX126" s="230">
        <v>-611400</v>
      </c>
      <c r="AY126" s="229">
        <v>-0.26100000000000001</v>
      </c>
      <c r="AZ126" s="230">
        <v>377800</v>
      </c>
      <c r="BA126" s="230">
        <v>249200</v>
      </c>
      <c r="BB126" s="230">
        <v>128600</v>
      </c>
      <c r="BC126" s="229">
        <v>0.5161</v>
      </c>
      <c r="BD126" s="230">
        <v>233600</v>
      </c>
      <c r="BE126" s="230">
        <v>429800</v>
      </c>
      <c r="BF126" s="230">
        <v>-196200</v>
      </c>
      <c r="BG126" s="229">
        <v>-0.45650000000000002</v>
      </c>
      <c r="BH126" s="230">
        <v>6127000</v>
      </c>
      <c r="BI126" s="230">
        <v>5707000</v>
      </c>
      <c r="BJ126" s="230">
        <v>420000</v>
      </c>
      <c r="BK126" s="229">
        <v>7.3599999999999999E-2</v>
      </c>
      <c r="BL126" s="230">
        <v>3387200</v>
      </c>
      <c r="BM126" s="230">
        <v>3429200</v>
      </c>
      <c r="BN126" s="230">
        <v>-42000</v>
      </c>
      <c r="BO126" s="229">
        <v>-1.2200000000000001E-2</v>
      </c>
      <c r="BP126" s="230">
        <v>11856400</v>
      </c>
      <c r="BQ126" s="230">
        <v>12157400</v>
      </c>
      <c r="BR126" s="230">
        <v>-301000</v>
      </c>
      <c r="BS126" s="229">
        <v>-2.4799999999999999E-2</v>
      </c>
      <c r="BT126" s="230">
        <v>2396669</v>
      </c>
      <c r="BU126" s="230">
        <v>3402483</v>
      </c>
      <c r="BV126" s="230">
        <v>-1005814</v>
      </c>
      <c r="BW126" s="229">
        <v>-0.29559999999999997</v>
      </c>
      <c r="BX126" s="230">
        <v>19783200</v>
      </c>
      <c r="BY126" s="230">
        <v>19299000</v>
      </c>
      <c r="BZ126" s="230">
        <v>484200</v>
      </c>
      <c r="CA126" s="229">
        <v>2.5100000000000001E-2</v>
      </c>
      <c r="CB126" s="230">
        <v>15588600</v>
      </c>
      <c r="CC126" s="230">
        <v>15551200</v>
      </c>
      <c r="CD126" s="230">
        <v>37400</v>
      </c>
      <c r="CE126" s="229">
        <v>2.3999999999999998E-3</v>
      </c>
      <c r="CF126" s="230">
        <v>3168800</v>
      </c>
      <c r="CG126" s="230">
        <v>2931400</v>
      </c>
      <c r="CH126" s="230">
        <v>237400</v>
      </c>
      <c r="CI126" s="229">
        <v>8.1000000000000003E-2</v>
      </c>
      <c r="CJ126" s="230">
        <v>1025800</v>
      </c>
      <c r="CK126" s="230">
        <v>816400</v>
      </c>
      <c r="CL126" s="230">
        <v>209400</v>
      </c>
      <c r="CM126" s="229">
        <v>0.25650000000000001</v>
      </c>
      <c r="CN126" s="230">
        <v>5522800</v>
      </c>
      <c r="CO126" s="230">
        <v>5137800</v>
      </c>
      <c r="CP126" s="230">
        <v>385000</v>
      </c>
      <c r="CQ126" s="229">
        <v>7.4899999999999994E-2</v>
      </c>
      <c r="CR126" s="230">
        <v>3581000</v>
      </c>
      <c r="CS126" s="230">
        <v>3551200</v>
      </c>
      <c r="CT126" s="230">
        <v>29800</v>
      </c>
      <c r="CU126" s="229">
        <v>8.3999999999999995E-3</v>
      </c>
      <c r="CV126" s="230">
        <v>28887000</v>
      </c>
      <c r="CW126" s="230">
        <v>27988000</v>
      </c>
      <c r="CX126" s="230">
        <v>899000</v>
      </c>
      <c r="CY126" s="229">
        <v>3.2099999999999997E-2</v>
      </c>
      <c r="CZ126" s="228">
        <v>32.299999999999997</v>
      </c>
      <c r="DA126" s="228">
        <v>32.94</v>
      </c>
      <c r="DB126" s="228">
        <v>-0.64</v>
      </c>
      <c r="DC126" s="228">
        <v>-0.64</v>
      </c>
      <c r="DD126" s="228">
        <v>35.64</v>
      </c>
      <c r="DE126" s="228">
        <v>35.72</v>
      </c>
      <c r="DF126" s="228">
        <v>-3.34</v>
      </c>
      <c r="DG126" s="228">
        <v>-0.08</v>
      </c>
      <c r="DH126" s="228">
        <v>31.76</v>
      </c>
      <c r="DI126" s="228">
        <v>32.25</v>
      </c>
      <c r="DJ126" s="228">
        <v>-0.49</v>
      </c>
      <c r="DK126" s="228">
        <v>-0.49</v>
      </c>
      <c r="DL126" s="228">
        <v>33.28</v>
      </c>
      <c r="DM126" s="228">
        <v>34.08</v>
      </c>
      <c r="DN126" s="228">
        <v>-0.8</v>
      </c>
      <c r="DO126" s="228">
        <v>-0.8</v>
      </c>
      <c r="DP126" s="228">
        <v>0.65</v>
      </c>
      <c r="DQ126" s="228">
        <v>0.69</v>
      </c>
      <c r="DR126" s="228">
        <v>-0.04</v>
      </c>
      <c r="DS126" s="229">
        <v>-5.8000000000000003E-2</v>
      </c>
      <c r="DT126" s="231">
        <v>3300</v>
      </c>
      <c r="DU126" s="231">
        <v>3100</v>
      </c>
      <c r="DV126" s="228">
        <v>0.55000000000000004</v>
      </c>
      <c r="DW126" s="228">
        <v>0.6</v>
      </c>
      <c r="DX126" s="228">
        <v>-0.05</v>
      </c>
      <c r="DY126" s="229">
        <v>-8.3299999999999999E-2</v>
      </c>
      <c r="DZ126" s="229">
        <v>0.21199999999999999</v>
      </c>
      <c r="EA126" s="230">
        <v>3747800</v>
      </c>
      <c r="EB126" s="229">
        <v>5.7999999999999996E-3</v>
      </c>
      <c r="EC126" s="229">
        <v>0.21199999999999999</v>
      </c>
      <c r="ED126" s="228">
        <v>15.38</v>
      </c>
      <c r="EE126" s="229">
        <v>4.7999999999999996E-3</v>
      </c>
      <c r="EF126" s="230">
        <v>1381871</v>
      </c>
      <c r="EG126" s="230">
        <v>1689585</v>
      </c>
      <c r="EH126" s="229">
        <v>-0.18210000000000001</v>
      </c>
      <c r="EI126" s="229">
        <v>0.5766</v>
      </c>
      <c r="EJ126" s="231">
        <v>204686.14</v>
      </c>
      <c r="EK126" s="231">
        <v>107838.16</v>
      </c>
      <c r="EL126" s="231">
        <v>75432.86</v>
      </c>
      <c r="EM126" s="231">
        <v>12669</v>
      </c>
      <c r="EN126" s="231">
        <v>387957.16</v>
      </c>
      <c r="EO126" s="231">
        <v>400456.95</v>
      </c>
      <c r="EP126" s="231">
        <v>-12499.79</v>
      </c>
      <c r="EQ126" s="229">
        <v>-3.1199999999999999E-2</v>
      </c>
      <c r="ER126" s="231">
        <v>181460</v>
      </c>
      <c r="ES126" s="231">
        <v>111211</v>
      </c>
      <c r="ET126" s="231">
        <v>635451</v>
      </c>
      <c r="EU126" s="231">
        <v>120808308</v>
      </c>
      <c r="EV126" s="231">
        <v>928121</v>
      </c>
      <c r="EW126" s="231">
        <v>903112</v>
      </c>
      <c r="EX126" s="231">
        <v>25009</v>
      </c>
      <c r="EY126" s="229">
        <v>2.7699999999999999E-2</v>
      </c>
      <c r="EZ126" s="229">
        <v>0.23910000000000001</v>
      </c>
      <c r="FA126" s="227" t="s">
        <v>566</v>
      </c>
      <c r="FB126" s="161">
        <f t="shared" si="1"/>
        <v>4194600</v>
      </c>
    </row>
    <row r="127" spans="1:158" ht="17.25" thickBot="1" x14ac:dyDescent="0.3">
      <c r="A127" s="226">
        <v>46129</v>
      </c>
      <c r="B127" s="227" t="s">
        <v>175</v>
      </c>
      <c r="C127" s="227" t="s">
        <v>253</v>
      </c>
      <c r="D127" s="228">
        <v>3000</v>
      </c>
      <c r="E127" s="228">
        <v>270.05</v>
      </c>
      <c r="F127" s="228">
        <v>269.05</v>
      </c>
      <c r="G127" s="228">
        <v>1</v>
      </c>
      <c r="H127" s="229">
        <v>3.7000000000000002E-3</v>
      </c>
      <c r="I127" s="228">
        <v>268.89999999999998</v>
      </c>
      <c r="J127" s="228">
        <v>268.14999999999998</v>
      </c>
      <c r="K127" s="228">
        <v>0.75</v>
      </c>
      <c r="L127" s="229">
        <v>2.8E-3</v>
      </c>
      <c r="M127" s="228">
        <v>270.05</v>
      </c>
      <c r="N127" s="228">
        <v>269.05</v>
      </c>
      <c r="O127" s="228">
        <v>1</v>
      </c>
      <c r="P127" s="229">
        <v>3.7000000000000002E-3</v>
      </c>
      <c r="Q127" s="228">
        <v>271.39999999999998</v>
      </c>
      <c r="R127" s="228">
        <v>270.25</v>
      </c>
      <c r="S127" s="228">
        <v>1.1499999999999999</v>
      </c>
      <c r="T127" s="229">
        <v>4.3E-3</v>
      </c>
      <c r="U127" s="228">
        <v>272.95</v>
      </c>
      <c r="V127" s="228">
        <v>270.95</v>
      </c>
      <c r="W127" s="228">
        <v>2</v>
      </c>
      <c r="X127" s="229">
        <v>7.4000000000000003E-3</v>
      </c>
      <c r="Y127" s="228">
        <v>1.1499999999999999</v>
      </c>
      <c r="Z127" s="228">
        <v>0.9</v>
      </c>
      <c r="AA127" s="228">
        <v>0.25</v>
      </c>
      <c r="AB127" s="229">
        <v>4.3E-3</v>
      </c>
      <c r="AC127" s="228">
        <v>1.1499999999999999</v>
      </c>
      <c r="AD127" s="228">
        <v>0.9</v>
      </c>
      <c r="AE127" s="228">
        <v>0.25</v>
      </c>
      <c r="AF127" s="229">
        <v>4.3E-3</v>
      </c>
      <c r="AG127" s="228">
        <v>2.5</v>
      </c>
      <c r="AH127" s="228">
        <v>2.1</v>
      </c>
      <c r="AI127" s="228">
        <v>0.4</v>
      </c>
      <c r="AJ127" s="229">
        <v>9.2999999999999992E-3</v>
      </c>
      <c r="AK127" s="228">
        <v>4.05</v>
      </c>
      <c r="AL127" s="228">
        <v>2.8</v>
      </c>
      <c r="AM127" s="228">
        <v>1.25</v>
      </c>
      <c r="AN127" s="229">
        <v>1.5100000000000001E-2</v>
      </c>
      <c r="AO127" s="228">
        <v>269.47000000000003</v>
      </c>
      <c r="AP127" s="228">
        <v>270.70999999999998</v>
      </c>
      <c r="AQ127" s="228">
        <v>0</v>
      </c>
      <c r="AR127" s="230">
        <v>5028000</v>
      </c>
      <c r="AS127" s="230">
        <v>5022000</v>
      </c>
      <c r="AT127" s="230">
        <v>6000</v>
      </c>
      <c r="AU127" s="229">
        <v>1.1999999999999999E-3</v>
      </c>
      <c r="AV127" s="230">
        <v>4464000</v>
      </c>
      <c r="AW127" s="230">
        <v>4614000</v>
      </c>
      <c r="AX127" s="230">
        <v>-150000</v>
      </c>
      <c r="AY127" s="229">
        <v>-3.2500000000000001E-2</v>
      </c>
      <c r="AZ127" s="230">
        <v>549000</v>
      </c>
      <c r="BA127" s="230">
        <v>387000</v>
      </c>
      <c r="BB127" s="230">
        <v>162000</v>
      </c>
      <c r="BC127" s="229">
        <v>0.41860000000000003</v>
      </c>
      <c r="BD127" s="230">
        <v>15000</v>
      </c>
      <c r="BE127" s="230">
        <v>21000</v>
      </c>
      <c r="BF127" s="230">
        <v>-6000</v>
      </c>
      <c r="BG127" s="229">
        <v>-0.28570000000000001</v>
      </c>
      <c r="BH127" s="230">
        <v>13167000</v>
      </c>
      <c r="BI127" s="230">
        <v>11445000</v>
      </c>
      <c r="BJ127" s="230">
        <v>1722000</v>
      </c>
      <c r="BK127" s="229">
        <v>0.15049999999999999</v>
      </c>
      <c r="BL127" s="230">
        <v>8916000</v>
      </c>
      <c r="BM127" s="230">
        <v>6828000</v>
      </c>
      <c r="BN127" s="230">
        <v>2088000</v>
      </c>
      <c r="BO127" s="229">
        <v>0.30580000000000002</v>
      </c>
      <c r="BP127" s="230">
        <v>27111000</v>
      </c>
      <c r="BQ127" s="230">
        <v>23295000</v>
      </c>
      <c r="BR127" s="230">
        <v>3816000</v>
      </c>
      <c r="BS127" s="229">
        <v>0.1638</v>
      </c>
      <c r="BT127" s="230">
        <v>2435553</v>
      </c>
      <c r="BU127" s="230">
        <v>2922099</v>
      </c>
      <c r="BV127" s="230">
        <v>-486546</v>
      </c>
      <c r="BW127" s="229">
        <v>-0.16650000000000001</v>
      </c>
      <c r="BX127" s="230">
        <v>53535000</v>
      </c>
      <c r="BY127" s="230">
        <v>53757000</v>
      </c>
      <c r="BZ127" s="230">
        <v>-222000</v>
      </c>
      <c r="CA127" s="229">
        <v>-4.1000000000000003E-3</v>
      </c>
      <c r="CB127" s="230">
        <v>51738000</v>
      </c>
      <c r="CC127" s="230">
        <v>52128000</v>
      </c>
      <c r="CD127" s="230">
        <v>-390000</v>
      </c>
      <c r="CE127" s="229">
        <v>-7.4999999999999997E-3</v>
      </c>
      <c r="CF127" s="230">
        <v>1671000</v>
      </c>
      <c r="CG127" s="230">
        <v>1503000</v>
      </c>
      <c r="CH127" s="230">
        <v>168000</v>
      </c>
      <c r="CI127" s="229">
        <v>0.1118</v>
      </c>
      <c r="CJ127" s="230">
        <v>126000</v>
      </c>
      <c r="CK127" s="230">
        <v>126000</v>
      </c>
      <c r="CL127" s="228">
        <v>0</v>
      </c>
      <c r="CM127" s="229">
        <v>0</v>
      </c>
      <c r="CN127" s="230">
        <v>17436000</v>
      </c>
      <c r="CO127" s="230">
        <v>16455000</v>
      </c>
      <c r="CP127" s="230">
        <v>981000</v>
      </c>
      <c r="CQ127" s="229">
        <v>5.96E-2</v>
      </c>
      <c r="CR127" s="230">
        <v>11277000</v>
      </c>
      <c r="CS127" s="230">
        <v>10209000</v>
      </c>
      <c r="CT127" s="230">
        <v>1068000</v>
      </c>
      <c r="CU127" s="229">
        <v>0.1046</v>
      </c>
      <c r="CV127" s="230">
        <v>82248000</v>
      </c>
      <c r="CW127" s="230">
        <v>80421000</v>
      </c>
      <c r="CX127" s="230">
        <v>1827000</v>
      </c>
      <c r="CY127" s="229">
        <v>2.2700000000000001E-2</v>
      </c>
      <c r="CZ127" s="228">
        <v>34.46</v>
      </c>
      <c r="DA127" s="228">
        <v>35.299999999999997</v>
      </c>
      <c r="DB127" s="228">
        <v>-0.84</v>
      </c>
      <c r="DC127" s="228">
        <v>-0.84</v>
      </c>
      <c r="DD127" s="228">
        <v>42.6</v>
      </c>
      <c r="DE127" s="228">
        <v>42.7</v>
      </c>
      <c r="DF127" s="228">
        <v>-8.14</v>
      </c>
      <c r="DG127" s="228">
        <v>-0.1</v>
      </c>
      <c r="DH127" s="228">
        <v>33.31</v>
      </c>
      <c r="DI127" s="228">
        <v>34.44</v>
      </c>
      <c r="DJ127" s="228">
        <v>-1.1299999999999999</v>
      </c>
      <c r="DK127" s="228">
        <v>-1.1299999999999999</v>
      </c>
      <c r="DL127" s="228">
        <v>36.15</v>
      </c>
      <c r="DM127" s="228">
        <v>36.729999999999997</v>
      </c>
      <c r="DN127" s="228">
        <v>-0.57999999999999996</v>
      </c>
      <c r="DO127" s="228">
        <v>-0.57999999999999996</v>
      </c>
      <c r="DP127" s="228">
        <v>0.65</v>
      </c>
      <c r="DQ127" s="228">
        <v>0.62</v>
      </c>
      <c r="DR127" s="228">
        <v>0.03</v>
      </c>
      <c r="DS127" s="229">
        <v>4.8399999999999999E-2</v>
      </c>
      <c r="DT127" s="228">
        <v>300</v>
      </c>
      <c r="DU127" s="228">
        <v>250</v>
      </c>
      <c r="DV127" s="228">
        <v>0.68</v>
      </c>
      <c r="DW127" s="228">
        <v>0.6</v>
      </c>
      <c r="DX127" s="228">
        <v>0.08</v>
      </c>
      <c r="DY127" s="229">
        <v>0.1333</v>
      </c>
      <c r="DZ127" s="229">
        <v>3.3599999999999998E-2</v>
      </c>
      <c r="EA127" s="230">
        <v>1629000</v>
      </c>
      <c r="EB127" s="229">
        <v>5.0000000000000001E-3</v>
      </c>
      <c r="EC127" s="229">
        <v>3.3599999999999998E-2</v>
      </c>
      <c r="ED127" s="228">
        <v>1.24</v>
      </c>
      <c r="EE127" s="229">
        <v>4.5999999999999999E-3</v>
      </c>
      <c r="EF127" s="230">
        <v>863033</v>
      </c>
      <c r="EG127" s="230">
        <v>1152835</v>
      </c>
      <c r="EH127" s="229">
        <v>-0.25140000000000001</v>
      </c>
      <c r="EI127" s="229">
        <v>0.3543</v>
      </c>
      <c r="EJ127" s="231">
        <v>37008.42</v>
      </c>
      <c r="EK127" s="231">
        <v>23289.439999999999</v>
      </c>
      <c r="EL127" s="231">
        <v>13556.13</v>
      </c>
      <c r="EM127" s="231">
        <v>2020</v>
      </c>
      <c r="EN127" s="231">
        <v>73853.990000000005</v>
      </c>
      <c r="EO127" s="231">
        <v>63943.42</v>
      </c>
      <c r="EP127" s="231">
        <v>9910.57</v>
      </c>
      <c r="EQ127" s="229">
        <v>0.155</v>
      </c>
      <c r="ER127" s="231">
        <v>48482</v>
      </c>
      <c r="ES127" s="231">
        <v>28504</v>
      </c>
      <c r="ET127" s="231">
        <v>144597</v>
      </c>
      <c r="EU127" s="231">
        <v>82205057</v>
      </c>
      <c r="EV127" s="231">
        <v>221583</v>
      </c>
      <c r="EW127" s="231">
        <v>216138</v>
      </c>
      <c r="EX127" s="231">
        <v>5445</v>
      </c>
      <c r="EY127" s="229">
        <v>2.52E-2</v>
      </c>
      <c r="EZ127" s="229">
        <v>1.0004999999999999</v>
      </c>
      <c r="FA127" s="227" t="s">
        <v>693</v>
      </c>
      <c r="FB127" s="161">
        <f t="shared" si="1"/>
        <v>1797000</v>
      </c>
    </row>
    <row r="128" spans="1:158" ht="17.25" thickBot="1" x14ac:dyDescent="0.3">
      <c r="A128" s="226">
        <v>46129</v>
      </c>
      <c r="B128" s="227" t="s">
        <v>170</v>
      </c>
      <c r="C128" s="227" t="s">
        <v>670</v>
      </c>
      <c r="D128" s="228">
        <v>225</v>
      </c>
      <c r="E128" s="231">
        <v>2129.4</v>
      </c>
      <c r="F128" s="231">
        <v>2101.6999999999998</v>
      </c>
      <c r="G128" s="228">
        <v>27.7</v>
      </c>
      <c r="H128" s="229">
        <v>1.32E-2</v>
      </c>
      <c r="I128" s="231">
        <v>2125</v>
      </c>
      <c r="J128" s="231">
        <v>2104.4</v>
      </c>
      <c r="K128" s="228">
        <v>20.6</v>
      </c>
      <c r="L128" s="229">
        <v>9.7999999999999997E-3</v>
      </c>
      <c r="M128" s="231">
        <v>2129.4</v>
      </c>
      <c r="N128" s="231">
        <v>2101.6999999999998</v>
      </c>
      <c r="O128" s="228">
        <v>27.7</v>
      </c>
      <c r="P128" s="229">
        <v>1.32E-2</v>
      </c>
      <c r="Q128" s="231">
        <v>2127</v>
      </c>
      <c r="R128" s="231">
        <v>2105</v>
      </c>
      <c r="S128" s="228">
        <v>22</v>
      </c>
      <c r="T128" s="229">
        <v>1.0500000000000001E-2</v>
      </c>
      <c r="U128" s="231">
        <v>2122.1</v>
      </c>
      <c r="V128" s="231">
        <v>2095</v>
      </c>
      <c r="W128" s="228">
        <v>27.1</v>
      </c>
      <c r="X128" s="229">
        <v>1.29E-2</v>
      </c>
      <c r="Y128" s="228">
        <v>4.4000000000000004</v>
      </c>
      <c r="Z128" s="228">
        <v>-2.7</v>
      </c>
      <c r="AA128" s="228">
        <v>7.1</v>
      </c>
      <c r="AB128" s="229">
        <v>2.0999999999999999E-3</v>
      </c>
      <c r="AC128" s="228">
        <v>4.4000000000000004</v>
      </c>
      <c r="AD128" s="228">
        <v>-2.7</v>
      </c>
      <c r="AE128" s="228">
        <v>7.1</v>
      </c>
      <c r="AF128" s="229">
        <v>2.0999999999999999E-3</v>
      </c>
      <c r="AG128" s="228">
        <v>2</v>
      </c>
      <c r="AH128" s="228">
        <v>0.6</v>
      </c>
      <c r="AI128" s="228">
        <v>1.4</v>
      </c>
      <c r="AJ128" s="229">
        <v>8.9999999999999998E-4</v>
      </c>
      <c r="AK128" s="228">
        <v>-2.9</v>
      </c>
      <c r="AL128" s="228">
        <v>-9.4</v>
      </c>
      <c r="AM128" s="228">
        <v>6.5</v>
      </c>
      <c r="AN128" s="229">
        <v>-1.4E-3</v>
      </c>
      <c r="AO128" s="231">
        <v>2121.2800000000002</v>
      </c>
      <c r="AP128" s="231">
        <v>2120.23</v>
      </c>
      <c r="AQ128" s="228">
        <v>0</v>
      </c>
      <c r="AR128" s="230">
        <v>268875</v>
      </c>
      <c r="AS128" s="230">
        <v>490275</v>
      </c>
      <c r="AT128" s="230">
        <v>-221400</v>
      </c>
      <c r="AU128" s="229">
        <v>-0.4516</v>
      </c>
      <c r="AV128" s="230">
        <v>220950</v>
      </c>
      <c r="AW128" s="230">
        <v>406350</v>
      </c>
      <c r="AX128" s="230">
        <v>-185400</v>
      </c>
      <c r="AY128" s="229">
        <v>-0.45629999999999998</v>
      </c>
      <c r="AZ128" s="230">
        <v>47475</v>
      </c>
      <c r="BA128" s="230">
        <v>79200</v>
      </c>
      <c r="BB128" s="230">
        <v>-31725</v>
      </c>
      <c r="BC128" s="229">
        <v>-0.40060000000000001</v>
      </c>
      <c r="BD128" s="228">
        <v>450</v>
      </c>
      <c r="BE128" s="230">
        <v>4725</v>
      </c>
      <c r="BF128" s="230">
        <v>-4275</v>
      </c>
      <c r="BG128" s="229">
        <v>-0.90480000000000005</v>
      </c>
      <c r="BH128" s="230">
        <v>688500</v>
      </c>
      <c r="BI128" s="230">
        <v>709425</v>
      </c>
      <c r="BJ128" s="230">
        <v>-20925</v>
      </c>
      <c r="BK128" s="229">
        <v>-2.9499999999999998E-2</v>
      </c>
      <c r="BL128" s="230">
        <v>104625</v>
      </c>
      <c r="BM128" s="230">
        <v>239175</v>
      </c>
      <c r="BN128" s="230">
        <v>-134550</v>
      </c>
      <c r="BO128" s="229">
        <v>-0.56259999999999999</v>
      </c>
      <c r="BP128" s="230">
        <v>1062000</v>
      </c>
      <c r="BQ128" s="230">
        <v>1438875</v>
      </c>
      <c r="BR128" s="230">
        <v>-376875</v>
      </c>
      <c r="BS128" s="229">
        <v>-0.26190000000000002</v>
      </c>
      <c r="BT128" s="230">
        <v>566639</v>
      </c>
      <c r="BU128" s="230">
        <v>586983</v>
      </c>
      <c r="BV128" s="230">
        <v>-20344</v>
      </c>
      <c r="BW128" s="229">
        <v>-3.4700000000000002E-2</v>
      </c>
      <c r="BX128" s="230">
        <v>2903850</v>
      </c>
      <c r="BY128" s="230">
        <v>2901825</v>
      </c>
      <c r="BZ128" s="230">
        <v>2025</v>
      </c>
      <c r="CA128" s="229">
        <v>6.9999999999999999E-4</v>
      </c>
      <c r="CB128" s="230">
        <v>2710575</v>
      </c>
      <c r="CC128" s="230">
        <v>2720925</v>
      </c>
      <c r="CD128" s="230">
        <v>-10350</v>
      </c>
      <c r="CE128" s="229">
        <v>-3.8E-3</v>
      </c>
      <c r="CF128" s="230">
        <v>185400</v>
      </c>
      <c r="CG128" s="230">
        <v>173025</v>
      </c>
      <c r="CH128" s="230">
        <v>12375</v>
      </c>
      <c r="CI128" s="229">
        <v>7.1499999999999994E-2</v>
      </c>
      <c r="CJ128" s="230">
        <v>7875</v>
      </c>
      <c r="CK128" s="230">
        <v>7875</v>
      </c>
      <c r="CL128" s="228">
        <v>0</v>
      </c>
      <c r="CM128" s="229">
        <v>0</v>
      </c>
      <c r="CN128" s="230">
        <v>801225</v>
      </c>
      <c r="CO128" s="230">
        <v>756000</v>
      </c>
      <c r="CP128" s="230">
        <v>45225</v>
      </c>
      <c r="CQ128" s="229">
        <v>5.9799999999999999E-2</v>
      </c>
      <c r="CR128" s="230">
        <v>266850</v>
      </c>
      <c r="CS128" s="230">
        <v>265500</v>
      </c>
      <c r="CT128" s="230">
        <v>1350</v>
      </c>
      <c r="CU128" s="229">
        <v>5.1000000000000004E-3</v>
      </c>
      <c r="CV128" s="230">
        <v>3971925</v>
      </c>
      <c r="CW128" s="230">
        <v>3923325</v>
      </c>
      <c r="CX128" s="230">
        <v>48600</v>
      </c>
      <c r="CY128" s="229">
        <v>1.24E-2</v>
      </c>
      <c r="CZ128" s="228">
        <v>28.27</v>
      </c>
      <c r="DA128" s="228">
        <v>31.62</v>
      </c>
      <c r="DB128" s="228">
        <v>-3.35</v>
      </c>
      <c r="DC128" s="228">
        <v>-3.35</v>
      </c>
      <c r="DD128" s="228">
        <v>33.79</v>
      </c>
      <c r="DE128" s="228">
        <v>33.85</v>
      </c>
      <c r="DF128" s="228">
        <v>-5.52</v>
      </c>
      <c r="DG128" s="228">
        <v>-0.06</v>
      </c>
      <c r="DH128" s="228">
        <v>27.62</v>
      </c>
      <c r="DI128" s="228">
        <v>30.98</v>
      </c>
      <c r="DJ128" s="228">
        <v>-3.36</v>
      </c>
      <c r="DK128" s="228">
        <v>-3.36</v>
      </c>
      <c r="DL128" s="228">
        <v>32.58</v>
      </c>
      <c r="DM128" s="228">
        <v>33.520000000000003</v>
      </c>
      <c r="DN128" s="228">
        <v>-0.94</v>
      </c>
      <c r="DO128" s="228">
        <v>-0.94</v>
      </c>
      <c r="DP128" s="228">
        <v>0.33</v>
      </c>
      <c r="DQ128" s="228">
        <v>0.35</v>
      </c>
      <c r="DR128" s="228">
        <v>-0.02</v>
      </c>
      <c r="DS128" s="229">
        <v>-5.7099999999999998E-2</v>
      </c>
      <c r="DT128" s="231">
        <v>2240</v>
      </c>
      <c r="DU128" s="231">
        <v>2100</v>
      </c>
      <c r="DV128" s="228">
        <v>0.15</v>
      </c>
      <c r="DW128" s="228">
        <v>0.34</v>
      </c>
      <c r="DX128" s="228">
        <v>-0.19</v>
      </c>
      <c r="DY128" s="229">
        <v>-0.55879999999999996</v>
      </c>
      <c r="DZ128" s="229">
        <v>6.6600000000000006E-2</v>
      </c>
      <c r="EA128" s="230">
        <v>180900</v>
      </c>
      <c r="EB128" s="229">
        <v>-1.1000000000000001E-3</v>
      </c>
      <c r="EC128" s="229">
        <v>6.6600000000000006E-2</v>
      </c>
      <c r="ED128" s="228">
        <v>-1.05</v>
      </c>
      <c r="EE128" s="229">
        <v>-5.0000000000000001E-4</v>
      </c>
      <c r="EF128" s="230">
        <v>430584</v>
      </c>
      <c r="EG128" s="230">
        <v>363901</v>
      </c>
      <c r="EH128" s="229">
        <v>0.1832</v>
      </c>
      <c r="EI128" s="229">
        <v>0.75990000000000002</v>
      </c>
      <c r="EJ128" s="231">
        <v>15117.14</v>
      </c>
      <c r="EK128" s="231">
        <v>2207.19</v>
      </c>
      <c r="EL128" s="231">
        <v>5703.1</v>
      </c>
      <c r="EM128" s="231">
        <v>1621</v>
      </c>
      <c r="EN128" s="231">
        <v>23027.43</v>
      </c>
      <c r="EO128" s="231">
        <v>31009.41</v>
      </c>
      <c r="EP128" s="231">
        <v>-7981.98</v>
      </c>
      <c r="EQ128" s="229">
        <v>-0.25740000000000002</v>
      </c>
      <c r="ER128" s="231">
        <v>17543</v>
      </c>
      <c r="ES128" s="231">
        <v>5323</v>
      </c>
      <c r="ET128" s="231">
        <v>61830</v>
      </c>
      <c r="EU128" s="231">
        <v>16926669</v>
      </c>
      <c r="EV128" s="231">
        <v>84696</v>
      </c>
      <c r="EW128" s="231">
        <v>82754</v>
      </c>
      <c r="EX128" s="231">
        <v>1942</v>
      </c>
      <c r="EY128" s="229">
        <v>2.35E-2</v>
      </c>
      <c r="EZ128" s="229">
        <v>0.23469999999999999</v>
      </c>
      <c r="FA128" s="227" t="s">
        <v>555</v>
      </c>
      <c r="FB128" s="161">
        <f t="shared" si="1"/>
        <v>193275</v>
      </c>
    </row>
    <row r="129" spans="1:158" ht="17.25" thickBot="1" x14ac:dyDescent="0.3">
      <c r="A129" s="226">
        <v>46129</v>
      </c>
      <c r="B129" s="227" t="s">
        <v>168</v>
      </c>
      <c r="C129" s="227" t="s">
        <v>254</v>
      </c>
      <c r="D129" s="228">
        <v>1200</v>
      </c>
      <c r="E129" s="228">
        <v>758.45</v>
      </c>
      <c r="F129" s="228">
        <v>746.4</v>
      </c>
      <c r="G129" s="228">
        <v>12.05</v>
      </c>
      <c r="H129" s="229">
        <v>1.61E-2</v>
      </c>
      <c r="I129" s="228">
        <v>757.3</v>
      </c>
      <c r="J129" s="228">
        <v>744.4</v>
      </c>
      <c r="K129" s="228">
        <v>12.9</v>
      </c>
      <c r="L129" s="229">
        <v>1.7299999999999999E-2</v>
      </c>
      <c r="M129" s="228">
        <v>758.45</v>
      </c>
      <c r="N129" s="228">
        <v>746.4</v>
      </c>
      <c r="O129" s="228">
        <v>12.05</v>
      </c>
      <c r="P129" s="229">
        <v>1.61E-2</v>
      </c>
      <c r="Q129" s="228">
        <v>763.5</v>
      </c>
      <c r="R129" s="228">
        <v>750.65</v>
      </c>
      <c r="S129" s="228">
        <v>12.85</v>
      </c>
      <c r="T129" s="229">
        <v>1.7100000000000001E-2</v>
      </c>
      <c r="U129" s="228">
        <v>763.1</v>
      </c>
      <c r="V129" s="228">
        <v>745.85</v>
      </c>
      <c r="W129" s="228">
        <v>17.25</v>
      </c>
      <c r="X129" s="229">
        <v>2.3099999999999999E-2</v>
      </c>
      <c r="Y129" s="228">
        <v>1.1499999999999999</v>
      </c>
      <c r="Z129" s="228">
        <v>2</v>
      </c>
      <c r="AA129" s="228">
        <v>-0.85</v>
      </c>
      <c r="AB129" s="229">
        <v>1.5E-3</v>
      </c>
      <c r="AC129" s="228">
        <v>1.1499999999999999</v>
      </c>
      <c r="AD129" s="228">
        <v>2</v>
      </c>
      <c r="AE129" s="228">
        <v>-0.85</v>
      </c>
      <c r="AF129" s="229">
        <v>1.5E-3</v>
      </c>
      <c r="AG129" s="228">
        <v>6.2</v>
      </c>
      <c r="AH129" s="228">
        <v>6.25</v>
      </c>
      <c r="AI129" s="228">
        <v>-0.05</v>
      </c>
      <c r="AJ129" s="229">
        <v>8.2000000000000007E-3</v>
      </c>
      <c r="AK129" s="228">
        <v>5.8</v>
      </c>
      <c r="AL129" s="228">
        <v>1.45</v>
      </c>
      <c r="AM129" s="228">
        <v>4.3499999999999996</v>
      </c>
      <c r="AN129" s="229">
        <v>7.7000000000000002E-3</v>
      </c>
      <c r="AO129" s="228">
        <v>756.46</v>
      </c>
      <c r="AP129" s="228">
        <v>760.83</v>
      </c>
      <c r="AQ129" s="228">
        <v>0</v>
      </c>
      <c r="AR129" s="230">
        <v>5263200</v>
      </c>
      <c r="AS129" s="230">
        <v>2166000</v>
      </c>
      <c r="AT129" s="230">
        <v>3097200</v>
      </c>
      <c r="AU129" s="229">
        <v>1.4298999999999999</v>
      </c>
      <c r="AV129" s="230">
        <v>3849600</v>
      </c>
      <c r="AW129" s="230">
        <v>2011200</v>
      </c>
      <c r="AX129" s="230">
        <v>1838400</v>
      </c>
      <c r="AY129" s="229">
        <v>0.91410000000000002</v>
      </c>
      <c r="AZ129" s="230">
        <v>205200</v>
      </c>
      <c r="BA129" s="230">
        <v>153600</v>
      </c>
      <c r="BB129" s="230">
        <v>51600</v>
      </c>
      <c r="BC129" s="229">
        <v>0.33589999999999998</v>
      </c>
      <c r="BD129" s="230">
        <v>1208400</v>
      </c>
      <c r="BE129" s="230">
        <v>1200</v>
      </c>
      <c r="BF129" s="230">
        <v>1207200</v>
      </c>
      <c r="BG129" s="229">
        <v>1006</v>
      </c>
      <c r="BH129" s="230">
        <v>12246000</v>
      </c>
      <c r="BI129" s="230">
        <v>7040400</v>
      </c>
      <c r="BJ129" s="230">
        <v>5205600</v>
      </c>
      <c r="BK129" s="229">
        <v>0.73939999999999995</v>
      </c>
      <c r="BL129" s="230">
        <v>3327600</v>
      </c>
      <c r="BM129" s="230">
        <v>3164400</v>
      </c>
      <c r="BN129" s="230">
        <v>163200</v>
      </c>
      <c r="BO129" s="229">
        <v>5.16E-2</v>
      </c>
      <c r="BP129" s="230">
        <v>20836800</v>
      </c>
      <c r="BQ129" s="230">
        <v>12370800</v>
      </c>
      <c r="BR129" s="230">
        <v>8466000</v>
      </c>
      <c r="BS129" s="229">
        <v>0.68440000000000001</v>
      </c>
      <c r="BT129" s="230">
        <v>2224790</v>
      </c>
      <c r="BU129" s="230">
        <v>2221296</v>
      </c>
      <c r="BV129" s="230">
        <v>3494</v>
      </c>
      <c r="BW129" s="229">
        <v>1.6000000000000001E-3</v>
      </c>
      <c r="BX129" s="230">
        <v>24778800</v>
      </c>
      <c r="BY129" s="230">
        <v>24974400</v>
      </c>
      <c r="BZ129" s="230">
        <v>-195600</v>
      </c>
      <c r="CA129" s="229">
        <v>-7.7999999999999996E-3</v>
      </c>
      <c r="CB129" s="230">
        <v>23281200</v>
      </c>
      <c r="CC129" s="230">
        <v>24733200</v>
      </c>
      <c r="CD129" s="230">
        <v>-1452000</v>
      </c>
      <c r="CE129" s="229">
        <v>-5.8700000000000002E-2</v>
      </c>
      <c r="CF129" s="230">
        <v>291600</v>
      </c>
      <c r="CG129" s="230">
        <v>237600</v>
      </c>
      <c r="CH129" s="230">
        <v>54000</v>
      </c>
      <c r="CI129" s="229">
        <v>0.2273</v>
      </c>
      <c r="CJ129" s="230">
        <v>1206000</v>
      </c>
      <c r="CK129" s="230">
        <v>3600</v>
      </c>
      <c r="CL129" s="230">
        <v>1202400</v>
      </c>
      <c r="CM129" s="229">
        <v>334</v>
      </c>
      <c r="CN129" s="230">
        <v>4700400</v>
      </c>
      <c r="CO129" s="230">
        <v>4575600</v>
      </c>
      <c r="CP129" s="230">
        <v>124800</v>
      </c>
      <c r="CQ129" s="229">
        <v>2.7300000000000001E-2</v>
      </c>
      <c r="CR129" s="230">
        <v>4023600</v>
      </c>
      <c r="CS129" s="230">
        <v>4040400</v>
      </c>
      <c r="CT129" s="230">
        <v>-16800</v>
      </c>
      <c r="CU129" s="229">
        <v>-4.1999999999999997E-3</v>
      </c>
      <c r="CV129" s="230">
        <v>33502800</v>
      </c>
      <c r="CW129" s="230">
        <v>33590400</v>
      </c>
      <c r="CX129" s="230">
        <v>-87600</v>
      </c>
      <c r="CY129" s="229">
        <v>-2.5999999999999999E-3</v>
      </c>
      <c r="CZ129" s="228">
        <v>23.59</v>
      </c>
      <c r="DA129" s="228">
        <v>25.6</v>
      </c>
      <c r="DB129" s="228">
        <v>-2.0099999999999998</v>
      </c>
      <c r="DC129" s="228">
        <v>-2.0099999999999998</v>
      </c>
      <c r="DD129" s="228">
        <v>24.79</v>
      </c>
      <c r="DE129" s="228">
        <v>24.75</v>
      </c>
      <c r="DF129" s="228">
        <v>-1.2</v>
      </c>
      <c r="DG129" s="228">
        <v>0.04</v>
      </c>
      <c r="DH129" s="228">
        <v>23.54</v>
      </c>
      <c r="DI129" s="228">
        <v>25.86</v>
      </c>
      <c r="DJ129" s="228">
        <v>-2.3199999999999998</v>
      </c>
      <c r="DK129" s="228">
        <v>-2.3199999999999998</v>
      </c>
      <c r="DL129" s="228">
        <v>23.78</v>
      </c>
      <c r="DM129" s="228">
        <v>25.02</v>
      </c>
      <c r="DN129" s="228">
        <v>-1.24</v>
      </c>
      <c r="DO129" s="228">
        <v>-1.24</v>
      </c>
      <c r="DP129" s="228">
        <v>0.86</v>
      </c>
      <c r="DQ129" s="228">
        <v>0.88</v>
      </c>
      <c r="DR129" s="228">
        <v>-0.02</v>
      </c>
      <c r="DS129" s="229">
        <v>-2.2700000000000001E-2</v>
      </c>
      <c r="DT129" s="228">
        <v>800</v>
      </c>
      <c r="DU129" s="228">
        <v>700</v>
      </c>
      <c r="DV129" s="228">
        <v>0.27</v>
      </c>
      <c r="DW129" s="228">
        <v>0.45</v>
      </c>
      <c r="DX129" s="228">
        <v>-0.18</v>
      </c>
      <c r="DY129" s="229">
        <v>-0.4</v>
      </c>
      <c r="DZ129" s="229">
        <v>6.0400000000000002E-2</v>
      </c>
      <c r="EA129" s="230">
        <v>241200</v>
      </c>
      <c r="EB129" s="229">
        <v>6.7000000000000002E-3</v>
      </c>
      <c r="EC129" s="229">
        <v>6.0400000000000002E-2</v>
      </c>
      <c r="ED129" s="228">
        <v>4.37</v>
      </c>
      <c r="EE129" s="229">
        <v>5.7999999999999996E-3</v>
      </c>
      <c r="EF129" s="230">
        <v>1279096</v>
      </c>
      <c r="EG129" s="230">
        <v>1364257</v>
      </c>
      <c r="EH129" s="229">
        <v>-6.2399999999999997E-2</v>
      </c>
      <c r="EI129" s="229">
        <v>0.57489999999999997</v>
      </c>
      <c r="EJ129" s="231">
        <v>95578.07</v>
      </c>
      <c r="EK129" s="231">
        <v>24566.92</v>
      </c>
      <c r="EL129" s="231">
        <v>39925.75</v>
      </c>
      <c r="EM129" s="231">
        <v>1647</v>
      </c>
      <c r="EN129" s="231">
        <v>160070.74</v>
      </c>
      <c r="EO129" s="231">
        <v>94591.38</v>
      </c>
      <c r="EP129" s="231">
        <v>65479.360000000001</v>
      </c>
      <c r="EQ129" s="229">
        <v>0.69220000000000004</v>
      </c>
      <c r="ER129" s="231">
        <v>36729</v>
      </c>
      <c r="ES129" s="231">
        <v>28978</v>
      </c>
      <c r="ET129" s="231">
        <v>188006</v>
      </c>
      <c r="EU129" s="231">
        <v>77572761</v>
      </c>
      <c r="EV129" s="231">
        <v>253713</v>
      </c>
      <c r="EW129" s="231">
        <v>251269</v>
      </c>
      <c r="EX129" s="231">
        <v>2444</v>
      </c>
      <c r="EY129" s="229">
        <v>9.7000000000000003E-3</v>
      </c>
      <c r="EZ129" s="229">
        <v>0.43190000000000001</v>
      </c>
      <c r="FA129" s="227" t="s">
        <v>693</v>
      </c>
      <c r="FB129" s="161">
        <f t="shared" si="1"/>
        <v>1497600</v>
      </c>
    </row>
    <row r="130" spans="1:158" ht="17.25" thickBot="1" x14ac:dyDescent="0.3">
      <c r="A130" s="226">
        <v>46129</v>
      </c>
      <c r="B130" s="227" t="s">
        <v>162</v>
      </c>
      <c r="C130" s="227" t="s">
        <v>255</v>
      </c>
      <c r="D130" s="228">
        <v>50</v>
      </c>
      <c r="E130" s="231">
        <v>13490</v>
      </c>
      <c r="F130" s="231">
        <v>13352</v>
      </c>
      <c r="G130" s="228">
        <v>138</v>
      </c>
      <c r="H130" s="229">
        <v>1.03E-2</v>
      </c>
      <c r="I130" s="231">
        <v>13453</v>
      </c>
      <c r="J130" s="231">
        <v>13335</v>
      </c>
      <c r="K130" s="228">
        <v>118</v>
      </c>
      <c r="L130" s="229">
        <v>8.8000000000000005E-3</v>
      </c>
      <c r="M130" s="231">
        <v>13490</v>
      </c>
      <c r="N130" s="231">
        <v>13352</v>
      </c>
      <c r="O130" s="228">
        <v>138</v>
      </c>
      <c r="P130" s="229">
        <v>1.03E-2</v>
      </c>
      <c r="Q130" s="231">
        <v>13560</v>
      </c>
      <c r="R130" s="231">
        <v>13437</v>
      </c>
      <c r="S130" s="228">
        <v>123</v>
      </c>
      <c r="T130" s="229">
        <v>9.1999999999999998E-3</v>
      </c>
      <c r="U130" s="231">
        <v>13656</v>
      </c>
      <c r="V130" s="231">
        <v>13507</v>
      </c>
      <c r="W130" s="228">
        <v>149</v>
      </c>
      <c r="X130" s="229">
        <v>1.0999999999999999E-2</v>
      </c>
      <c r="Y130" s="228">
        <v>37</v>
      </c>
      <c r="Z130" s="228">
        <v>17</v>
      </c>
      <c r="AA130" s="228">
        <v>20</v>
      </c>
      <c r="AB130" s="229">
        <v>2.8E-3</v>
      </c>
      <c r="AC130" s="228">
        <v>37</v>
      </c>
      <c r="AD130" s="228">
        <v>17</v>
      </c>
      <c r="AE130" s="228">
        <v>20</v>
      </c>
      <c r="AF130" s="229">
        <v>2.8E-3</v>
      </c>
      <c r="AG130" s="228">
        <v>107</v>
      </c>
      <c r="AH130" s="228">
        <v>102</v>
      </c>
      <c r="AI130" s="228">
        <v>5</v>
      </c>
      <c r="AJ130" s="229">
        <v>8.0000000000000002E-3</v>
      </c>
      <c r="AK130" s="228">
        <v>203</v>
      </c>
      <c r="AL130" s="228">
        <v>172</v>
      </c>
      <c r="AM130" s="228">
        <v>31</v>
      </c>
      <c r="AN130" s="229">
        <v>1.5100000000000001E-2</v>
      </c>
      <c r="AO130" s="231">
        <v>13550.79</v>
      </c>
      <c r="AP130" s="231">
        <v>13613.26</v>
      </c>
      <c r="AQ130" s="228">
        <v>0</v>
      </c>
      <c r="AR130" s="230">
        <v>617050</v>
      </c>
      <c r="AS130" s="230">
        <v>484300</v>
      </c>
      <c r="AT130" s="230">
        <v>132750</v>
      </c>
      <c r="AU130" s="229">
        <v>0.27410000000000001</v>
      </c>
      <c r="AV130" s="230">
        <v>520950</v>
      </c>
      <c r="AW130" s="230">
        <v>399700</v>
      </c>
      <c r="AX130" s="230">
        <v>121250</v>
      </c>
      <c r="AY130" s="229">
        <v>0.3034</v>
      </c>
      <c r="AZ130" s="230">
        <v>91550</v>
      </c>
      <c r="BA130" s="230">
        <v>31000</v>
      </c>
      <c r="BB130" s="230">
        <v>60550</v>
      </c>
      <c r="BC130" s="229">
        <v>1.9532</v>
      </c>
      <c r="BD130" s="230">
        <v>4550</v>
      </c>
      <c r="BE130" s="230">
        <v>53600</v>
      </c>
      <c r="BF130" s="230">
        <v>-49050</v>
      </c>
      <c r="BG130" s="229">
        <v>-0.91510000000000002</v>
      </c>
      <c r="BH130" s="230">
        <v>6229000</v>
      </c>
      <c r="BI130" s="230">
        <v>2084250</v>
      </c>
      <c r="BJ130" s="230">
        <v>4144750</v>
      </c>
      <c r="BK130" s="229">
        <v>1.9885999999999999</v>
      </c>
      <c r="BL130" s="230">
        <v>2593350</v>
      </c>
      <c r="BM130" s="230">
        <v>976850</v>
      </c>
      <c r="BN130" s="230">
        <v>1616500</v>
      </c>
      <c r="BO130" s="229">
        <v>1.6548</v>
      </c>
      <c r="BP130" s="230">
        <v>9439400</v>
      </c>
      <c r="BQ130" s="230">
        <v>3545400</v>
      </c>
      <c r="BR130" s="230">
        <v>5894000</v>
      </c>
      <c r="BS130" s="229">
        <v>1.6624000000000001</v>
      </c>
      <c r="BT130" s="230">
        <v>616185</v>
      </c>
      <c r="BU130" s="230">
        <v>575303</v>
      </c>
      <c r="BV130" s="230">
        <v>40882</v>
      </c>
      <c r="BW130" s="229">
        <v>7.1099999999999997E-2</v>
      </c>
      <c r="BX130" s="230">
        <v>3493650</v>
      </c>
      <c r="BY130" s="230">
        <v>3473950</v>
      </c>
      <c r="BZ130" s="230">
        <v>19700</v>
      </c>
      <c r="CA130" s="229">
        <v>5.7000000000000002E-3</v>
      </c>
      <c r="CB130" s="230">
        <v>2962650</v>
      </c>
      <c r="CC130" s="230">
        <v>2977600</v>
      </c>
      <c r="CD130" s="230">
        <v>-14950</v>
      </c>
      <c r="CE130" s="229">
        <v>-5.0000000000000001E-3</v>
      </c>
      <c r="CF130" s="230">
        <v>438450</v>
      </c>
      <c r="CG130" s="230">
        <v>403450</v>
      </c>
      <c r="CH130" s="230">
        <v>35000</v>
      </c>
      <c r="CI130" s="229">
        <v>8.6800000000000002E-2</v>
      </c>
      <c r="CJ130" s="230">
        <v>92550</v>
      </c>
      <c r="CK130" s="230">
        <v>92900</v>
      </c>
      <c r="CL130" s="228">
        <v>-350</v>
      </c>
      <c r="CM130" s="229">
        <v>-3.8E-3</v>
      </c>
      <c r="CN130" s="230">
        <v>2103200</v>
      </c>
      <c r="CO130" s="230">
        <v>2084350</v>
      </c>
      <c r="CP130" s="230">
        <v>18850</v>
      </c>
      <c r="CQ130" s="229">
        <v>8.9999999999999993E-3</v>
      </c>
      <c r="CR130" s="230">
        <v>1245750</v>
      </c>
      <c r="CS130" s="230">
        <v>1171200</v>
      </c>
      <c r="CT130" s="230">
        <v>74550</v>
      </c>
      <c r="CU130" s="229">
        <v>6.3700000000000007E-2</v>
      </c>
      <c r="CV130" s="230">
        <v>6842600</v>
      </c>
      <c r="CW130" s="230">
        <v>6729500</v>
      </c>
      <c r="CX130" s="230">
        <v>113100</v>
      </c>
      <c r="CY130" s="229">
        <v>1.6799999999999999E-2</v>
      </c>
      <c r="CZ130" s="228">
        <v>30.49</v>
      </c>
      <c r="DA130" s="228">
        <v>31.26</v>
      </c>
      <c r="DB130" s="228">
        <v>-0.77</v>
      </c>
      <c r="DC130" s="228">
        <v>-0.77</v>
      </c>
      <c r="DD130" s="228">
        <v>28.99</v>
      </c>
      <c r="DE130" s="228">
        <v>29.03</v>
      </c>
      <c r="DF130" s="228">
        <v>1.5</v>
      </c>
      <c r="DG130" s="228">
        <v>-0.04</v>
      </c>
      <c r="DH130" s="228">
        <v>29.72</v>
      </c>
      <c r="DI130" s="228">
        <v>30.18</v>
      </c>
      <c r="DJ130" s="228">
        <v>-0.46</v>
      </c>
      <c r="DK130" s="228">
        <v>-0.46</v>
      </c>
      <c r="DL130" s="228">
        <v>32.340000000000003</v>
      </c>
      <c r="DM130" s="228">
        <v>33.57</v>
      </c>
      <c r="DN130" s="228">
        <v>-1.23</v>
      </c>
      <c r="DO130" s="228">
        <v>-1.23</v>
      </c>
      <c r="DP130" s="228">
        <v>0.59</v>
      </c>
      <c r="DQ130" s="228">
        <v>0.56000000000000005</v>
      </c>
      <c r="DR130" s="228">
        <v>0.03</v>
      </c>
      <c r="DS130" s="229">
        <v>5.3600000000000002E-2</v>
      </c>
      <c r="DT130" s="231">
        <v>14000</v>
      </c>
      <c r="DU130" s="231">
        <v>13000</v>
      </c>
      <c r="DV130" s="228">
        <v>0.42</v>
      </c>
      <c r="DW130" s="228">
        <v>0.47</v>
      </c>
      <c r="DX130" s="228">
        <v>-0.05</v>
      </c>
      <c r="DY130" s="229">
        <v>-0.10639999999999999</v>
      </c>
      <c r="DZ130" s="229">
        <v>0.152</v>
      </c>
      <c r="EA130" s="230">
        <v>496350</v>
      </c>
      <c r="EB130" s="229">
        <v>5.1999999999999998E-3</v>
      </c>
      <c r="EC130" s="229">
        <v>0.152</v>
      </c>
      <c r="ED130" s="228">
        <v>62.47</v>
      </c>
      <c r="EE130" s="229">
        <v>4.5999999999999999E-3</v>
      </c>
      <c r="EF130" s="230">
        <v>300764</v>
      </c>
      <c r="EG130" s="230">
        <v>267669</v>
      </c>
      <c r="EH130" s="229">
        <v>0.1236</v>
      </c>
      <c r="EI130" s="229">
        <v>0.48809999999999998</v>
      </c>
      <c r="EJ130" s="231">
        <v>879411.7</v>
      </c>
      <c r="EK130" s="231">
        <v>342267.1</v>
      </c>
      <c r="EL130" s="231">
        <v>83679.710000000006</v>
      </c>
      <c r="EM130" s="231">
        <v>13785</v>
      </c>
      <c r="EN130" s="231">
        <v>1305358.51</v>
      </c>
      <c r="EO130" s="231">
        <v>483991.15</v>
      </c>
      <c r="EP130" s="231">
        <v>821367.36</v>
      </c>
      <c r="EQ130" s="229">
        <v>1.6971000000000001</v>
      </c>
      <c r="ER130" s="231">
        <v>292054</v>
      </c>
      <c r="ES130" s="231">
        <v>157967</v>
      </c>
      <c r="ET130" s="231">
        <v>471754</v>
      </c>
      <c r="EU130" s="231">
        <v>19673414</v>
      </c>
      <c r="EV130" s="231">
        <v>921775</v>
      </c>
      <c r="EW130" s="231">
        <v>901516</v>
      </c>
      <c r="EX130" s="231">
        <v>20259</v>
      </c>
      <c r="EY130" s="229">
        <v>2.2499999999999999E-2</v>
      </c>
      <c r="EZ130" s="229">
        <v>0.3478</v>
      </c>
      <c r="FA130" s="227" t="s">
        <v>555</v>
      </c>
      <c r="FB130" s="161">
        <f t="shared" si="1"/>
        <v>531000</v>
      </c>
    </row>
    <row r="131" spans="1:158" ht="17.25" thickBot="1" x14ac:dyDescent="0.3">
      <c r="A131" s="226">
        <v>46129</v>
      </c>
      <c r="B131" s="227" t="s">
        <v>170</v>
      </c>
      <c r="C131" s="227" t="s">
        <v>602</v>
      </c>
      <c r="D131" s="228">
        <v>525</v>
      </c>
      <c r="E131" s="231">
        <v>1007.45</v>
      </c>
      <c r="F131" s="228">
        <v>991</v>
      </c>
      <c r="G131" s="228">
        <v>16.45</v>
      </c>
      <c r="H131" s="229">
        <v>1.66E-2</v>
      </c>
      <c r="I131" s="231">
        <v>1007.65</v>
      </c>
      <c r="J131" s="228">
        <v>990.65</v>
      </c>
      <c r="K131" s="228">
        <v>17</v>
      </c>
      <c r="L131" s="229">
        <v>1.72E-2</v>
      </c>
      <c r="M131" s="231">
        <v>1007.45</v>
      </c>
      <c r="N131" s="228">
        <v>991</v>
      </c>
      <c r="O131" s="228">
        <v>16.45</v>
      </c>
      <c r="P131" s="229">
        <v>1.66E-2</v>
      </c>
      <c r="Q131" s="231">
        <v>1013.05</v>
      </c>
      <c r="R131" s="228">
        <v>996.65</v>
      </c>
      <c r="S131" s="228">
        <v>16.399999999999999</v>
      </c>
      <c r="T131" s="229">
        <v>1.6500000000000001E-2</v>
      </c>
      <c r="U131" s="231">
        <v>1020.65</v>
      </c>
      <c r="V131" s="231">
        <v>1001.45</v>
      </c>
      <c r="W131" s="228">
        <v>19.2</v>
      </c>
      <c r="X131" s="229">
        <v>1.9199999999999998E-2</v>
      </c>
      <c r="Y131" s="228">
        <v>-0.2</v>
      </c>
      <c r="Z131" s="228">
        <v>0.35</v>
      </c>
      <c r="AA131" s="228">
        <v>-0.55000000000000004</v>
      </c>
      <c r="AB131" s="229">
        <v>-2.0000000000000001E-4</v>
      </c>
      <c r="AC131" s="228">
        <v>-0.2</v>
      </c>
      <c r="AD131" s="228">
        <v>0.35</v>
      </c>
      <c r="AE131" s="228">
        <v>-0.55000000000000004</v>
      </c>
      <c r="AF131" s="229">
        <v>-2.0000000000000001E-4</v>
      </c>
      <c r="AG131" s="228">
        <v>5.4</v>
      </c>
      <c r="AH131" s="228">
        <v>6</v>
      </c>
      <c r="AI131" s="228">
        <v>-0.6</v>
      </c>
      <c r="AJ131" s="229">
        <v>5.4000000000000003E-3</v>
      </c>
      <c r="AK131" s="228">
        <v>13</v>
      </c>
      <c r="AL131" s="228">
        <v>10.8</v>
      </c>
      <c r="AM131" s="228">
        <v>2.2000000000000002</v>
      </c>
      <c r="AN131" s="229">
        <v>1.29E-2</v>
      </c>
      <c r="AO131" s="231">
        <v>1002.76</v>
      </c>
      <c r="AP131" s="231">
        <v>1007.2</v>
      </c>
      <c r="AQ131" s="228">
        <v>0</v>
      </c>
      <c r="AR131" s="230">
        <v>1555575</v>
      </c>
      <c r="AS131" s="230">
        <v>3205125</v>
      </c>
      <c r="AT131" s="230">
        <v>-1649550</v>
      </c>
      <c r="AU131" s="229">
        <v>-0.51470000000000005</v>
      </c>
      <c r="AV131" s="230">
        <v>1395975</v>
      </c>
      <c r="AW131" s="230">
        <v>3032400</v>
      </c>
      <c r="AX131" s="230">
        <v>-1636425</v>
      </c>
      <c r="AY131" s="229">
        <v>-0.53959999999999997</v>
      </c>
      <c r="AZ131" s="230">
        <v>151200</v>
      </c>
      <c r="BA131" s="230">
        <v>153300</v>
      </c>
      <c r="BB131" s="230">
        <v>-2100</v>
      </c>
      <c r="BC131" s="229">
        <v>-1.37E-2</v>
      </c>
      <c r="BD131" s="230">
        <v>8400</v>
      </c>
      <c r="BE131" s="230">
        <v>19425</v>
      </c>
      <c r="BF131" s="230">
        <v>-11025</v>
      </c>
      <c r="BG131" s="229">
        <v>-0.56759999999999999</v>
      </c>
      <c r="BH131" s="230">
        <v>7097475</v>
      </c>
      <c r="BI131" s="230">
        <v>10020150</v>
      </c>
      <c r="BJ131" s="230">
        <v>-2922675</v>
      </c>
      <c r="BK131" s="229">
        <v>-0.29170000000000001</v>
      </c>
      <c r="BL131" s="230">
        <v>2453325</v>
      </c>
      <c r="BM131" s="230">
        <v>3869250</v>
      </c>
      <c r="BN131" s="230">
        <v>-1415925</v>
      </c>
      <c r="BO131" s="229">
        <v>-0.3659</v>
      </c>
      <c r="BP131" s="230">
        <v>11106375</v>
      </c>
      <c r="BQ131" s="230">
        <v>17094525</v>
      </c>
      <c r="BR131" s="230">
        <v>-5988150</v>
      </c>
      <c r="BS131" s="229">
        <v>-0.3503</v>
      </c>
      <c r="BT131" s="230">
        <v>1713809</v>
      </c>
      <c r="BU131" s="230">
        <v>3508037</v>
      </c>
      <c r="BV131" s="230">
        <v>-1794228</v>
      </c>
      <c r="BW131" s="229">
        <v>-0.51149999999999995</v>
      </c>
      <c r="BX131" s="230">
        <v>14541975</v>
      </c>
      <c r="BY131" s="230">
        <v>14942550</v>
      </c>
      <c r="BZ131" s="230">
        <v>-400575</v>
      </c>
      <c r="CA131" s="229">
        <v>-2.6800000000000001E-2</v>
      </c>
      <c r="CB131" s="230">
        <v>13731375</v>
      </c>
      <c r="CC131" s="230">
        <v>14140875</v>
      </c>
      <c r="CD131" s="230">
        <v>-409500</v>
      </c>
      <c r="CE131" s="229">
        <v>-2.9000000000000001E-2</v>
      </c>
      <c r="CF131" s="230">
        <v>704550</v>
      </c>
      <c r="CG131" s="230">
        <v>696150</v>
      </c>
      <c r="CH131" s="230">
        <v>8400</v>
      </c>
      <c r="CI131" s="229">
        <v>1.21E-2</v>
      </c>
      <c r="CJ131" s="230">
        <v>106050</v>
      </c>
      <c r="CK131" s="230">
        <v>105525</v>
      </c>
      <c r="CL131" s="228">
        <v>525</v>
      </c>
      <c r="CM131" s="229">
        <v>5.0000000000000001E-3</v>
      </c>
      <c r="CN131" s="230">
        <v>4379550</v>
      </c>
      <c r="CO131" s="230">
        <v>3563175</v>
      </c>
      <c r="CP131" s="230">
        <v>816375</v>
      </c>
      <c r="CQ131" s="229">
        <v>0.2291</v>
      </c>
      <c r="CR131" s="230">
        <v>2440725</v>
      </c>
      <c r="CS131" s="230">
        <v>2324700</v>
      </c>
      <c r="CT131" s="230">
        <v>116025</v>
      </c>
      <c r="CU131" s="229">
        <v>4.99E-2</v>
      </c>
      <c r="CV131" s="230">
        <v>21362250</v>
      </c>
      <c r="CW131" s="230">
        <v>20830425</v>
      </c>
      <c r="CX131" s="230">
        <v>531825</v>
      </c>
      <c r="CY131" s="229">
        <v>2.5499999999999998E-2</v>
      </c>
      <c r="CZ131" s="228">
        <v>28.11</v>
      </c>
      <c r="DA131" s="228">
        <v>29.17</v>
      </c>
      <c r="DB131" s="228">
        <v>-1.06</v>
      </c>
      <c r="DC131" s="228">
        <v>-1.06</v>
      </c>
      <c r="DD131" s="228">
        <v>36.299999999999997</v>
      </c>
      <c r="DE131" s="228">
        <v>36.32</v>
      </c>
      <c r="DF131" s="228">
        <v>-8.19</v>
      </c>
      <c r="DG131" s="228">
        <v>-0.02</v>
      </c>
      <c r="DH131" s="228">
        <v>27.4</v>
      </c>
      <c r="DI131" s="228">
        <v>28.67</v>
      </c>
      <c r="DJ131" s="228">
        <v>-1.27</v>
      </c>
      <c r="DK131" s="228">
        <v>-1.27</v>
      </c>
      <c r="DL131" s="228">
        <v>30.16</v>
      </c>
      <c r="DM131" s="228">
        <v>30.48</v>
      </c>
      <c r="DN131" s="228">
        <v>-0.32</v>
      </c>
      <c r="DO131" s="228">
        <v>-0.32</v>
      </c>
      <c r="DP131" s="228">
        <v>0.56000000000000005</v>
      </c>
      <c r="DQ131" s="228">
        <v>0.65</v>
      </c>
      <c r="DR131" s="228">
        <v>-0.09</v>
      </c>
      <c r="DS131" s="229">
        <v>-0.13850000000000001</v>
      </c>
      <c r="DT131" s="231">
        <v>1020</v>
      </c>
      <c r="DU131" s="228">
        <v>960</v>
      </c>
      <c r="DV131" s="228">
        <v>0.35</v>
      </c>
      <c r="DW131" s="228">
        <v>0.39</v>
      </c>
      <c r="DX131" s="228">
        <v>-0.04</v>
      </c>
      <c r="DY131" s="229">
        <v>-0.1026</v>
      </c>
      <c r="DZ131" s="229">
        <v>5.57E-2</v>
      </c>
      <c r="EA131" s="230">
        <v>801675</v>
      </c>
      <c r="EB131" s="229">
        <v>5.5999999999999999E-3</v>
      </c>
      <c r="EC131" s="229">
        <v>5.57E-2</v>
      </c>
      <c r="ED131" s="228">
        <v>4.4400000000000004</v>
      </c>
      <c r="EE131" s="229">
        <v>4.4000000000000003E-3</v>
      </c>
      <c r="EF131" s="230">
        <v>992451</v>
      </c>
      <c r="EG131" s="230">
        <v>2183788</v>
      </c>
      <c r="EH131" s="229">
        <v>-0.54549999999999998</v>
      </c>
      <c r="EI131" s="229">
        <v>0.57909999999999995</v>
      </c>
      <c r="EJ131" s="231">
        <v>73343.16</v>
      </c>
      <c r="EK131" s="231">
        <v>24243.33</v>
      </c>
      <c r="EL131" s="231">
        <v>15605.89</v>
      </c>
      <c r="EM131" s="231">
        <v>5587</v>
      </c>
      <c r="EN131" s="231">
        <v>113192.38</v>
      </c>
      <c r="EO131" s="231">
        <v>174029.31</v>
      </c>
      <c r="EP131" s="231">
        <v>-60836.93</v>
      </c>
      <c r="EQ131" s="229">
        <v>-0.34960000000000002</v>
      </c>
      <c r="ER131" s="231">
        <v>44552</v>
      </c>
      <c r="ES131" s="231">
        <v>23464</v>
      </c>
      <c r="ET131" s="231">
        <v>146557</v>
      </c>
      <c r="EU131" s="231">
        <v>111298748</v>
      </c>
      <c r="EV131" s="231">
        <v>214573</v>
      </c>
      <c r="EW131" s="231">
        <v>206578</v>
      </c>
      <c r="EX131" s="231">
        <v>7995</v>
      </c>
      <c r="EY131" s="229">
        <v>3.8699999999999998E-2</v>
      </c>
      <c r="EZ131" s="229">
        <v>0.19189999999999999</v>
      </c>
      <c r="FA131" s="227" t="s">
        <v>693</v>
      </c>
      <c r="FB131" s="161">
        <f t="shared" ref="FB131:FB138" si="2">BX131-CB131</f>
        <v>810600</v>
      </c>
    </row>
    <row r="132" spans="1:158" ht="17.25" thickBot="1" x14ac:dyDescent="0.3">
      <c r="A132" s="226">
        <v>46129</v>
      </c>
      <c r="B132" s="227" t="s">
        <v>215</v>
      </c>
      <c r="C132" s="227" t="s">
        <v>671</v>
      </c>
      <c r="D132" s="228">
        <v>200</v>
      </c>
      <c r="E132" s="231">
        <v>2624.7</v>
      </c>
      <c r="F132" s="231">
        <v>2572.6</v>
      </c>
      <c r="G132" s="228">
        <v>52.1</v>
      </c>
      <c r="H132" s="229">
        <v>2.0299999999999999E-2</v>
      </c>
      <c r="I132" s="231">
        <v>2616.4</v>
      </c>
      <c r="J132" s="231">
        <v>2564.6</v>
      </c>
      <c r="K132" s="228">
        <v>51.8</v>
      </c>
      <c r="L132" s="229">
        <v>2.0199999999999999E-2</v>
      </c>
      <c r="M132" s="231">
        <v>2624.7</v>
      </c>
      <c r="N132" s="231">
        <v>2572.6</v>
      </c>
      <c r="O132" s="228">
        <v>52.1</v>
      </c>
      <c r="P132" s="229">
        <v>2.0299999999999999E-2</v>
      </c>
      <c r="Q132" s="231">
        <v>2635.9</v>
      </c>
      <c r="R132" s="231">
        <v>2583.6</v>
      </c>
      <c r="S132" s="228">
        <v>52.3</v>
      </c>
      <c r="T132" s="229">
        <v>2.0199999999999999E-2</v>
      </c>
      <c r="U132" s="231">
        <v>2651.1</v>
      </c>
      <c r="V132" s="231">
        <v>2600.1</v>
      </c>
      <c r="W132" s="228">
        <v>51</v>
      </c>
      <c r="X132" s="229">
        <v>1.9599999999999999E-2</v>
      </c>
      <c r="Y132" s="228">
        <v>8.3000000000000007</v>
      </c>
      <c r="Z132" s="228">
        <v>8</v>
      </c>
      <c r="AA132" s="228">
        <v>0.3</v>
      </c>
      <c r="AB132" s="229">
        <v>3.2000000000000002E-3</v>
      </c>
      <c r="AC132" s="228">
        <v>8.3000000000000007</v>
      </c>
      <c r="AD132" s="228">
        <v>8</v>
      </c>
      <c r="AE132" s="228">
        <v>0.3</v>
      </c>
      <c r="AF132" s="229">
        <v>3.2000000000000002E-3</v>
      </c>
      <c r="AG132" s="228">
        <v>19.5</v>
      </c>
      <c r="AH132" s="228">
        <v>19</v>
      </c>
      <c r="AI132" s="228">
        <v>0.5</v>
      </c>
      <c r="AJ132" s="229">
        <v>7.4999999999999997E-3</v>
      </c>
      <c r="AK132" s="228">
        <v>34.700000000000003</v>
      </c>
      <c r="AL132" s="228">
        <v>35.5</v>
      </c>
      <c r="AM132" s="228">
        <v>-0.8</v>
      </c>
      <c r="AN132" s="229">
        <v>1.3299999999999999E-2</v>
      </c>
      <c r="AO132" s="231">
        <v>2610.25</v>
      </c>
      <c r="AP132" s="231">
        <v>2617.65</v>
      </c>
      <c r="AQ132" s="228">
        <v>0</v>
      </c>
      <c r="AR132" s="230">
        <v>1792000</v>
      </c>
      <c r="AS132" s="230">
        <v>1287200</v>
      </c>
      <c r="AT132" s="230">
        <v>504800</v>
      </c>
      <c r="AU132" s="229">
        <v>0.39219999999999999</v>
      </c>
      <c r="AV132" s="230">
        <v>1415800</v>
      </c>
      <c r="AW132" s="230">
        <v>1074000</v>
      </c>
      <c r="AX132" s="230">
        <v>341800</v>
      </c>
      <c r="AY132" s="229">
        <v>0.31819999999999998</v>
      </c>
      <c r="AZ132" s="230">
        <v>328600</v>
      </c>
      <c r="BA132" s="230">
        <v>188600</v>
      </c>
      <c r="BB132" s="230">
        <v>140000</v>
      </c>
      <c r="BC132" s="229">
        <v>0.74229999999999996</v>
      </c>
      <c r="BD132" s="230">
        <v>47600</v>
      </c>
      <c r="BE132" s="230">
        <v>24600</v>
      </c>
      <c r="BF132" s="230">
        <v>23000</v>
      </c>
      <c r="BG132" s="229">
        <v>0.93500000000000005</v>
      </c>
      <c r="BH132" s="230">
        <v>12222800</v>
      </c>
      <c r="BI132" s="230">
        <v>5221800</v>
      </c>
      <c r="BJ132" s="230">
        <v>7001000</v>
      </c>
      <c r="BK132" s="229">
        <v>1.3407</v>
      </c>
      <c r="BL132" s="230">
        <v>3852600</v>
      </c>
      <c r="BM132" s="230">
        <v>2476600</v>
      </c>
      <c r="BN132" s="230">
        <v>1376000</v>
      </c>
      <c r="BO132" s="229">
        <v>0.55559999999999998</v>
      </c>
      <c r="BP132" s="230">
        <v>17867400</v>
      </c>
      <c r="BQ132" s="230">
        <v>8985600</v>
      </c>
      <c r="BR132" s="230">
        <v>8881800</v>
      </c>
      <c r="BS132" s="229">
        <v>0.98839999999999995</v>
      </c>
      <c r="BT132" s="230">
        <v>2685570</v>
      </c>
      <c r="BU132" s="230">
        <v>2077688</v>
      </c>
      <c r="BV132" s="230">
        <v>607882</v>
      </c>
      <c r="BW132" s="229">
        <v>0.29260000000000003</v>
      </c>
      <c r="BX132" s="230">
        <v>4830800</v>
      </c>
      <c r="BY132" s="230">
        <v>4748200</v>
      </c>
      <c r="BZ132" s="230">
        <v>82600</v>
      </c>
      <c r="CA132" s="229">
        <v>1.7399999999999999E-2</v>
      </c>
      <c r="CB132" s="230">
        <v>4404400</v>
      </c>
      <c r="CC132" s="230">
        <v>4438600</v>
      </c>
      <c r="CD132" s="230">
        <v>-34200</v>
      </c>
      <c r="CE132" s="229">
        <v>-7.7000000000000002E-3</v>
      </c>
      <c r="CF132" s="230">
        <v>376200</v>
      </c>
      <c r="CG132" s="230">
        <v>271000</v>
      </c>
      <c r="CH132" s="230">
        <v>105200</v>
      </c>
      <c r="CI132" s="229">
        <v>0.38819999999999999</v>
      </c>
      <c r="CJ132" s="230">
        <v>50200</v>
      </c>
      <c r="CK132" s="230">
        <v>38600</v>
      </c>
      <c r="CL132" s="230">
        <v>11600</v>
      </c>
      <c r="CM132" s="229">
        <v>0.30049999999999999</v>
      </c>
      <c r="CN132" s="230">
        <v>3566200</v>
      </c>
      <c r="CO132" s="230">
        <v>3012800</v>
      </c>
      <c r="CP132" s="230">
        <v>553400</v>
      </c>
      <c r="CQ132" s="229">
        <v>0.1837</v>
      </c>
      <c r="CR132" s="230">
        <v>2614000</v>
      </c>
      <c r="CS132" s="230">
        <v>2363000</v>
      </c>
      <c r="CT132" s="230">
        <v>251000</v>
      </c>
      <c r="CU132" s="229">
        <v>0.1062</v>
      </c>
      <c r="CV132" s="230">
        <v>11011000</v>
      </c>
      <c r="CW132" s="230">
        <v>10124000</v>
      </c>
      <c r="CX132" s="230">
        <v>887000</v>
      </c>
      <c r="CY132" s="229">
        <v>8.7599999999999997E-2</v>
      </c>
      <c r="CZ132" s="228">
        <v>42.23</v>
      </c>
      <c r="DA132" s="228">
        <v>41.42</v>
      </c>
      <c r="DB132" s="228">
        <v>0.81</v>
      </c>
      <c r="DC132" s="228">
        <v>0.81</v>
      </c>
      <c r="DD132" s="228">
        <v>56.18</v>
      </c>
      <c r="DE132" s="228">
        <v>56.26</v>
      </c>
      <c r="DF132" s="228">
        <v>-13.95</v>
      </c>
      <c r="DG132" s="228">
        <v>-0.08</v>
      </c>
      <c r="DH132" s="228">
        <v>40.96</v>
      </c>
      <c r="DI132" s="228">
        <v>39.68</v>
      </c>
      <c r="DJ132" s="228">
        <v>1.28</v>
      </c>
      <c r="DK132" s="228">
        <v>1.28</v>
      </c>
      <c r="DL132" s="228">
        <v>46.25</v>
      </c>
      <c r="DM132" s="228">
        <v>45.08</v>
      </c>
      <c r="DN132" s="228">
        <v>1.17</v>
      </c>
      <c r="DO132" s="228">
        <v>1.17</v>
      </c>
      <c r="DP132" s="228">
        <v>0.73</v>
      </c>
      <c r="DQ132" s="228">
        <v>0.78</v>
      </c>
      <c r="DR132" s="228">
        <v>-0.05</v>
      </c>
      <c r="DS132" s="229">
        <v>-6.4100000000000004E-2</v>
      </c>
      <c r="DT132" s="231">
        <v>2640</v>
      </c>
      <c r="DU132" s="231">
        <v>2200</v>
      </c>
      <c r="DV132" s="228">
        <v>0.32</v>
      </c>
      <c r="DW132" s="228">
        <v>0.47</v>
      </c>
      <c r="DX132" s="228">
        <v>-0.15</v>
      </c>
      <c r="DY132" s="229">
        <v>-0.31909999999999999</v>
      </c>
      <c r="DZ132" s="229">
        <v>8.8300000000000003E-2</v>
      </c>
      <c r="EA132" s="230">
        <v>309600</v>
      </c>
      <c r="EB132" s="229">
        <v>4.3E-3</v>
      </c>
      <c r="EC132" s="229">
        <v>8.8300000000000003E-2</v>
      </c>
      <c r="ED132" s="228">
        <v>7.4</v>
      </c>
      <c r="EE132" s="229">
        <v>2.8E-3</v>
      </c>
      <c r="EF132" s="230">
        <v>637046</v>
      </c>
      <c r="EG132" s="230">
        <v>495552</v>
      </c>
      <c r="EH132" s="229">
        <v>0.28549999999999998</v>
      </c>
      <c r="EI132" s="229">
        <v>0.23719999999999999</v>
      </c>
      <c r="EJ132" s="231">
        <v>332232.46000000002</v>
      </c>
      <c r="EK132" s="231">
        <v>95359.28</v>
      </c>
      <c r="EL132" s="231">
        <v>46809.48</v>
      </c>
      <c r="EM132" s="231">
        <v>5747</v>
      </c>
      <c r="EN132" s="231">
        <v>474401.22</v>
      </c>
      <c r="EO132" s="231">
        <v>232976.92</v>
      </c>
      <c r="EP132" s="231">
        <v>241424.3</v>
      </c>
      <c r="EQ132" s="229">
        <v>1.0363</v>
      </c>
      <c r="ER132" s="231">
        <v>90606</v>
      </c>
      <c r="ES132" s="231">
        <v>60036</v>
      </c>
      <c r="ET132" s="231">
        <v>126849</v>
      </c>
      <c r="EU132" s="231">
        <v>11364224</v>
      </c>
      <c r="EV132" s="231">
        <v>277492</v>
      </c>
      <c r="EW132" s="231">
        <v>251601</v>
      </c>
      <c r="EX132" s="231">
        <v>25891</v>
      </c>
      <c r="EY132" s="229">
        <v>0.10290000000000001</v>
      </c>
      <c r="EZ132" s="229">
        <v>0.96889999999999998</v>
      </c>
      <c r="FA132" s="227" t="s">
        <v>555</v>
      </c>
      <c r="FB132" s="161">
        <f t="shared" si="2"/>
        <v>426400</v>
      </c>
    </row>
    <row r="133" spans="1:158" ht="17.25" thickBot="1" x14ac:dyDescent="0.3">
      <c r="A133" s="226">
        <v>46129</v>
      </c>
      <c r="B133" s="227" t="s">
        <v>175</v>
      </c>
      <c r="C133" s="227" t="s">
        <v>517</v>
      </c>
      <c r="D133" s="228">
        <v>625</v>
      </c>
      <c r="E133" s="231">
        <v>2861.9</v>
      </c>
      <c r="F133" s="231">
        <v>2872.7</v>
      </c>
      <c r="G133" s="228">
        <v>-10.8</v>
      </c>
      <c r="H133" s="229">
        <v>-3.8E-3</v>
      </c>
      <c r="I133" s="231">
        <v>2856.1</v>
      </c>
      <c r="J133" s="231">
        <v>2862.2</v>
      </c>
      <c r="K133" s="228">
        <v>-6.1</v>
      </c>
      <c r="L133" s="229">
        <v>-2.0999999999999999E-3</v>
      </c>
      <c r="M133" s="231">
        <v>2861.9</v>
      </c>
      <c r="N133" s="231">
        <v>2872.7</v>
      </c>
      <c r="O133" s="228">
        <v>-10.8</v>
      </c>
      <c r="P133" s="229">
        <v>-3.8E-3</v>
      </c>
      <c r="Q133" s="231">
        <v>2875.2</v>
      </c>
      <c r="R133" s="231">
        <v>2885.2</v>
      </c>
      <c r="S133" s="228">
        <v>-10</v>
      </c>
      <c r="T133" s="229">
        <v>-3.5000000000000001E-3</v>
      </c>
      <c r="U133" s="231">
        <v>2889.5</v>
      </c>
      <c r="V133" s="231">
        <v>2899.1</v>
      </c>
      <c r="W133" s="228">
        <v>-9.6</v>
      </c>
      <c r="X133" s="229">
        <v>-3.3E-3</v>
      </c>
      <c r="Y133" s="228">
        <v>5.8</v>
      </c>
      <c r="Z133" s="228">
        <v>10.5</v>
      </c>
      <c r="AA133" s="228">
        <v>-4.7</v>
      </c>
      <c r="AB133" s="229">
        <v>2E-3</v>
      </c>
      <c r="AC133" s="228">
        <v>5.8</v>
      </c>
      <c r="AD133" s="228">
        <v>10.5</v>
      </c>
      <c r="AE133" s="228">
        <v>-4.7</v>
      </c>
      <c r="AF133" s="229">
        <v>2E-3</v>
      </c>
      <c r="AG133" s="228">
        <v>19.100000000000001</v>
      </c>
      <c r="AH133" s="228">
        <v>23</v>
      </c>
      <c r="AI133" s="228">
        <v>-3.9</v>
      </c>
      <c r="AJ133" s="229">
        <v>6.7000000000000002E-3</v>
      </c>
      <c r="AK133" s="228">
        <v>33.4</v>
      </c>
      <c r="AL133" s="228">
        <v>36.9</v>
      </c>
      <c r="AM133" s="228">
        <v>-3.5</v>
      </c>
      <c r="AN133" s="229">
        <v>1.17E-2</v>
      </c>
      <c r="AO133" s="231">
        <v>2831.94</v>
      </c>
      <c r="AP133" s="231">
        <v>2849.8</v>
      </c>
      <c r="AQ133" s="228">
        <v>0</v>
      </c>
      <c r="AR133" s="230">
        <v>4693125</v>
      </c>
      <c r="AS133" s="230">
        <v>3018125</v>
      </c>
      <c r="AT133" s="230">
        <v>1675000</v>
      </c>
      <c r="AU133" s="229">
        <v>0.55500000000000005</v>
      </c>
      <c r="AV133" s="230">
        <v>4037500</v>
      </c>
      <c r="AW133" s="230">
        <v>2636250</v>
      </c>
      <c r="AX133" s="230">
        <v>1401250</v>
      </c>
      <c r="AY133" s="229">
        <v>0.53149999999999997</v>
      </c>
      <c r="AZ133" s="230">
        <v>577500</v>
      </c>
      <c r="BA133" s="230">
        <v>283750</v>
      </c>
      <c r="BB133" s="230">
        <v>293750</v>
      </c>
      <c r="BC133" s="229">
        <v>1.0351999999999999</v>
      </c>
      <c r="BD133" s="230">
        <v>78125</v>
      </c>
      <c r="BE133" s="230">
        <v>98125</v>
      </c>
      <c r="BF133" s="230">
        <v>-20000</v>
      </c>
      <c r="BG133" s="229">
        <v>-0.20380000000000001</v>
      </c>
      <c r="BH133" s="230">
        <v>22473125</v>
      </c>
      <c r="BI133" s="230">
        <v>15057500</v>
      </c>
      <c r="BJ133" s="230">
        <v>7415625</v>
      </c>
      <c r="BK133" s="229">
        <v>0.49249999999999999</v>
      </c>
      <c r="BL133" s="230">
        <v>16485625</v>
      </c>
      <c r="BM133" s="230">
        <v>8536250</v>
      </c>
      <c r="BN133" s="230">
        <v>7949375</v>
      </c>
      <c r="BO133" s="229">
        <v>0.93120000000000003</v>
      </c>
      <c r="BP133" s="230">
        <v>43651875</v>
      </c>
      <c r="BQ133" s="230">
        <v>26611875</v>
      </c>
      <c r="BR133" s="230">
        <v>17040000</v>
      </c>
      <c r="BS133" s="229">
        <v>0.64029999999999998</v>
      </c>
      <c r="BT133" s="230">
        <v>4141751</v>
      </c>
      <c r="BU133" s="230">
        <v>3611842</v>
      </c>
      <c r="BV133" s="230">
        <v>529909</v>
      </c>
      <c r="BW133" s="229">
        <v>0.1467</v>
      </c>
      <c r="BX133" s="230">
        <v>13120625</v>
      </c>
      <c r="BY133" s="230">
        <v>13285625</v>
      </c>
      <c r="BZ133" s="230">
        <v>-165000</v>
      </c>
      <c r="CA133" s="229">
        <v>-1.24E-2</v>
      </c>
      <c r="CB133" s="230">
        <v>12536250</v>
      </c>
      <c r="CC133" s="230">
        <v>12778750</v>
      </c>
      <c r="CD133" s="230">
        <v>-242500</v>
      </c>
      <c r="CE133" s="229">
        <v>-1.9E-2</v>
      </c>
      <c r="CF133" s="230">
        <v>441250</v>
      </c>
      <c r="CG133" s="230">
        <v>384375</v>
      </c>
      <c r="CH133" s="230">
        <v>56875</v>
      </c>
      <c r="CI133" s="229">
        <v>0.14799999999999999</v>
      </c>
      <c r="CJ133" s="230">
        <v>143125</v>
      </c>
      <c r="CK133" s="230">
        <v>122500</v>
      </c>
      <c r="CL133" s="230">
        <v>20625</v>
      </c>
      <c r="CM133" s="229">
        <v>0.16839999999999999</v>
      </c>
      <c r="CN133" s="230">
        <v>8761875</v>
      </c>
      <c r="CO133" s="230">
        <v>8318125</v>
      </c>
      <c r="CP133" s="230">
        <v>443750</v>
      </c>
      <c r="CQ133" s="229">
        <v>5.33E-2</v>
      </c>
      <c r="CR133" s="230">
        <v>7971250</v>
      </c>
      <c r="CS133" s="230">
        <v>7876875</v>
      </c>
      <c r="CT133" s="230">
        <v>94375</v>
      </c>
      <c r="CU133" s="229">
        <v>1.2E-2</v>
      </c>
      <c r="CV133" s="230">
        <v>29853750</v>
      </c>
      <c r="CW133" s="230">
        <v>29480625</v>
      </c>
      <c r="CX133" s="230">
        <v>373125</v>
      </c>
      <c r="CY133" s="229">
        <v>1.2699999999999999E-2</v>
      </c>
      <c r="CZ133" s="228">
        <v>43.16</v>
      </c>
      <c r="DA133" s="228">
        <v>44.52</v>
      </c>
      <c r="DB133" s="228">
        <v>-1.36</v>
      </c>
      <c r="DC133" s="228">
        <v>-1.36</v>
      </c>
      <c r="DD133" s="228">
        <v>50.01</v>
      </c>
      <c r="DE133" s="228">
        <v>50.14</v>
      </c>
      <c r="DF133" s="228">
        <v>-6.85</v>
      </c>
      <c r="DG133" s="228">
        <v>-0.13</v>
      </c>
      <c r="DH133" s="228">
        <v>40.950000000000003</v>
      </c>
      <c r="DI133" s="228">
        <v>42.59</v>
      </c>
      <c r="DJ133" s="228">
        <v>-1.64</v>
      </c>
      <c r="DK133" s="228">
        <v>-1.64</v>
      </c>
      <c r="DL133" s="228">
        <v>46.16</v>
      </c>
      <c r="DM133" s="228">
        <v>47.92</v>
      </c>
      <c r="DN133" s="228">
        <v>-1.76</v>
      </c>
      <c r="DO133" s="228">
        <v>-1.76</v>
      </c>
      <c r="DP133" s="228">
        <v>0.91</v>
      </c>
      <c r="DQ133" s="228">
        <v>0.95</v>
      </c>
      <c r="DR133" s="228">
        <v>-0.04</v>
      </c>
      <c r="DS133" s="229">
        <v>-4.2099999999999999E-2</v>
      </c>
      <c r="DT133" s="231">
        <v>3000</v>
      </c>
      <c r="DU133" s="231">
        <v>2500</v>
      </c>
      <c r="DV133" s="228">
        <v>0.73</v>
      </c>
      <c r="DW133" s="228">
        <v>0.56999999999999995</v>
      </c>
      <c r="DX133" s="228">
        <v>0.16</v>
      </c>
      <c r="DY133" s="229">
        <v>0.28070000000000001</v>
      </c>
      <c r="DZ133" s="229">
        <v>4.4499999999999998E-2</v>
      </c>
      <c r="EA133" s="230">
        <v>506875</v>
      </c>
      <c r="EB133" s="229">
        <v>4.5999999999999999E-3</v>
      </c>
      <c r="EC133" s="229">
        <v>4.4499999999999998E-2</v>
      </c>
      <c r="ED133" s="228">
        <v>17.86</v>
      </c>
      <c r="EE133" s="229">
        <v>6.3E-3</v>
      </c>
      <c r="EF133" s="230">
        <v>1647018</v>
      </c>
      <c r="EG133" s="230">
        <v>1763239</v>
      </c>
      <c r="EH133" s="229">
        <v>-6.59E-2</v>
      </c>
      <c r="EI133" s="229">
        <v>0.3977</v>
      </c>
      <c r="EJ133" s="231">
        <v>672412.34</v>
      </c>
      <c r="EK133" s="231">
        <v>450682.32</v>
      </c>
      <c r="EL133" s="231">
        <v>133031.38</v>
      </c>
      <c r="EM133" s="231">
        <v>6846</v>
      </c>
      <c r="EN133" s="231">
        <v>1256126.04</v>
      </c>
      <c r="EO133" s="231">
        <v>778355.7</v>
      </c>
      <c r="EP133" s="231">
        <v>477770.34</v>
      </c>
      <c r="EQ133" s="229">
        <v>0.61380000000000001</v>
      </c>
      <c r="ER133" s="231">
        <v>246363</v>
      </c>
      <c r="ES133" s="231">
        <v>200235</v>
      </c>
      <c r="ET133" s="231">
        <v>375597</v>
      </c>
      <c r="EU133" s="231">
        <v>38177113</v>
      </c>
      <c r="EV133" s="231">
        <v>822196</v>
      </c>
      <c r="EW133" s="231">
        <v>810971</v>
      </c>
      <c r="EX133" s="231">
        <v>11225</v>
      </c>
      <c r="EY133" s="229">
        <v>1.38E-2</v>
      </c>
      <c r="EZ133" s="229">
        <v>0.78200000000000003</v>
      </c>
      <c r="FA133" s="227" t="s">
        <v>567</v>
      </c>
      <c r="FB133" s="161">
        <f t="shared" si="2"/>
        <v>584375</v>
      </c>
    </row>
    <row r="134" spans="1:158" ht="17.25" thickBot="1" x14ac:dyDescent="0.3">
      <c r="A134" s="226">
        <v>46129</v>
      </c>
      <c r="B134" s="227" t="s">
        <v>175</v>
      </c>
      <c r="C134" s="227" t="s">
        <v>257</v>
      </c>
      <c r="D134" s="228">
        <v>400</v>
      </c>
      <c r="E134" s="231">
        <v>1681.8</v>
      </c>
      <c r="F134" s="231">
        <v>1694.6</v>
      </c>
      <c r="G134" s="228">
        <v>-12.8</v>
      </c>
      <c r="H134" s="229">
        <v>-7.6E-3</v>
      </c>
      <c r="I134" s="231">
        <v>1683.2</v>
      </c>
      <c r="J134" s="231">
        <v>1695.2</v>
      </c>
      <c r="K134" s="228">
        <v>-12</v>
      </c>
      <c r="L134" s="229">
        <v>-7.1000000000000004E-3</v>
      </c>
      <c r="M134" s="231">
        <v>1681.8</v>
      </c>
      <c r="N134" s="231">
        <v>1694.6</v>
      </c>
      <c r="O134" s="228">
        <v>-12.8</v>
      </c>
      <c r="P134" s="229">
        <v>-7.6E-3</v>
      </c>
      <c r="Q134" s="231">
        <v>1685.1</v>
      </c>
      <c r="R134" s="231">
        <v>1699.1</v>
      </c>
      <c r="S134" s="228">
        <v>-14</v>
      </c>
      <c r="T134" s="229">
        <v>-8.2000000000000007E-3</v>
      </c>
      <c r="U134" s="231">
        <v>1719.1</v>
      </c>
      <c r="V134" s="231">
        <v>1719.1</v>
      </c>
      <c r="W134" s="228">
        <v>0</v>
      </c>
      <c r="X134" s="229">
        <v>0</v>
      </c>
      <c r="Y134" s="228">
        <v>-1.4</v>
      </c>
      <c r="Z134" s="228">
        <v>-0.6</v>
      </c>
      <c r="AA134" s="228">
        <v>-0.8</v>
      </c>
      <c r="AB134" s="229">
        <v>-8.0000000000000004E-4</v>
      </c>
      <c r="AC134" s="228">
        <v>-1.4</v>
      </c>
      <c r="AD134" s="228">
        <v>-0.6</v>
      </c>
      <c r="AE134" s="228">
        <v>-0.8</v>
      </c>
      <c r="AF134" s="229">
        <v>-8.0000000000000004E-4</v>
      </c>
      <c r="AG134" s="228">
        <v>1.9</v>
      </c>
      <c r="AH134" s="228">
        <v>3.9</v>
      </c>
      <c r="AI134" s="228">
        <v>-2</v>
      </c>
      <c r="AJ134" s="229">
        <v>1.1000000000000001E-3</v>
      </c>
      <c r="AK134" s="228">
        <v>35.9</v>
      </c>
      <c r="AL134" s="228">
        <v>23.9</v>
      </c>
      <c r="AM134" s="228">
        <v>12</v>
      </c>
      <c r="AN134" s="229">
        <v>2.1299999999999999E-2</v>
      </c>
      <c r="AO134" s="231">
        <v>1683.51</v>
      </c>
      <c r="AP134" s="231">
        <v>1686.45</v>
      </c>
      <c r="AQ134" s="228">
        <v>0</v>
      </c>
      <c r="AR134" s="230">
        <v>798800</v>
      </c>
      <c r="AS134" s="230">
        <v>748400</v>
      </c>
      <c r="AT134" s="230">
        <v>50400</v>
      </c>
      <c r="AU134" s="229">
        <v>6.7299999999999999E-2</v>
      </c>
      <c r="AV134" s="230">
        <v>778800</v>
      </c>
      <c r="AW134" s="230">
        <v>733600</v>
      </c>
      <c r="AX134" s="230">
        <v>45200</v>
      </c>
      <c r="AY134" s="229">
        <v>6.1600000000000002E-2</v>
      </c>
      <c r="AZ134" s="230">
        <v>20000</v>
      </c>
      <c r="BA134" s="230">
        <v>14000</v>
      </c>
      <c r="BB134" s="230">
        <v>6000</v>
      </c>
      <c r="BC134" s="229">
        <v>0.42859999999999998</v>
      </c>
      <c r="BD134" s="228">
        <v>0</v>
      </c>
      <c r="BE134" s="228">
        <v>800</v>
      </c>
      <c r="BF134" s="228">
        <v>-800</v>
      </c>
      <c r="BG134" s="229">
        <v>-1</v>
      </c>
      <c r="BH134" s="230">
        <v>505200</v>
      </c>
      <c r="BI134" s="230">
        <v>518400</v>
      </c>
      <c r="BJ134" s="230">
        <v>-13200</v>
      </c>
      <c r="BK134" s="229">
        <v>-2.5499999999999998E-2</v>
      </c>
      <c r="BL134" s="230">
        <v>411600</v>
      </c>
      <c r="BM134" s="230">
        <v>294800</v>
      </c>
      <c r="BN134" s="230">
        <v>116800</v>
      </c>
      <c r="BO134" s="229">
        <v>0.3962</v>
      </c>
      <c r="BP134" s="230">
        <v>1715600</v>
      </c>
      <c r="BQ134" s="230">
        <v>1561600</v>
      </c>
      <c r="BR134" s="230">
        <v>154000</v>
      </c>
      <c r="BS134" s="229">
        <v>9.8599999999999993E-2</v>
      </c>
      <c r="BT134" s="230">
        <v>1026972</v>
      </c>
      <c r="BU134" s="230">
        <v>889205</v>
      </c>
      <c r="BV134" s="230">
        <v>137767</v>
      </c>
      <c r="BW134" s="229">
        <v>0.15490000000000001</v>
      </c>
      <c r="BX134" s="230">
        <v>9557200</v>
      </c>
      <c r="BY134" s="230">
        <v>9868800</v>
      </c>
      <c r="BZ134" s="230">
        <v>-311600</v>
      </c>
      <c r="CA134" s="229">
        <v>-3.1600000000000003E-2</v>
      </c>
      <c r="CB134" s="230">
        <v>9520000</v>
      </c>
      <c r="CC134" s="230">
        <v>9832000</v>
      </c>
      <c r="CD134" s="230">
        <v>-312000</v>
      </c>
      <c r="CE134" s="229">
        <v>-3.1699999999999999E-2</v>
      </c>
      <c r="CF134" s="230">
        <v>34400</v>
      </c>
      <c r="CG134" s="230">
        <v>34000</v>
      </c>
      <c r="CH134" s="228">
        <v>400</v>
      </c>
      <c r="CI134" s="229">
        <v>1.18E-2</v>
      </c>
      <c r="CJ134" s="230">
        <v>2800</v>
      </c>
      <c r="CK134" s="230">
        <v>2800</v>
      </c>
      <c r="CL134" s="228">
        <v>0</v>
      </c>
      <c r="CM134" s="229">
        <v>0</v>
      </c>
      <c r="CN134" s="230">
        <v>1005600</v>
      </c>
      <c r="CO134" s="230">
        <v>938800</v>
      </c>
      <c r="CP134" s="230">
        <v>66800</v>
      </c>
      <c r="CQ134" s="229">
        <v>7.1199999999999999E-2</v>
      </c>
      <c r="CR134" s="230">
        <v>614000</v>
      </c>
      <c r="CS134" s="230">
        <v>597200</v>
      </c>
      <c r="CT134" s="230">
        <v>16800</v>
      </c>
      <c r="CU134" s="229">
        <v>2.81E-2</v>
      </c>
      <c r="CV134" s="230">
        <v>11176800</v>
      </c>
      <c r="CW134" s="230">
        <v>11404800</v>
      </c>
      <c r="CX134" s="230">
        <v>-228000</v>
      </c>
      <c r="CY134" s="229">
        <v>-0.02</v>
      </c>
      <c r="CZ134" s="228">
        <v>30.45</v>
      </c>
      <c r="DA134" s="228">
        <v>31.27</v>
      </c>
      <c r="DB134" s="228">
        <v>-0.82</v>
      </c>
      <c r="DC134" s="228">
        <v>-0.82</v>
      </c>
      <c r="DD134" s="228">
        <v>31.94</v>
      </c>
      <c r="DE134" s="228">
        <v>32</v>
      </c>
      <c r="DF134" s="228">
        <v>-1.49</v>
      </c>
      <c r="DG134" s="228">
        <v>-0.06</v>
      </c>
      <c r="DH134" s="228">
        <v>28.76</v>
      </c>
      <c r="DI134" s="228">
        <v>29.3</v>
      </c>
      <c r="DJ134" s="228">
        <v>-0.54</v>
      </c>
      <c r="DK134" s="228">
        <v>-0.54</v>
      </c>
      <c r="DL134" s="228">
        <v>32.51</v>
      </c>
      <c r="DM134" s="228">
        <v>34.74</v>
      </c>
      <c r="DN134" s="228">
        <v>-2.23</v>
      </c>
      <c r="DO134" s="228">
        <v>-2.23</v>
      </c>
      <c r="DP134" s="228">
        <v>0.61</v>
      </c>
      <c r="DQ134" s="228">
        <v>0.64</v>
      </c>
      <c r="DR134" s="228">
        <v>-0.03</v>
      </c>
      <c r="DS134" s="229">
        <v>-4.6899999999999997E-2</v>
      </c>
      <c r="DT134" s="231">
        <v>1800</v>
      </c>
      <c r="DU134" s="231">
        <v>1460</v>
      </c>
      <c r="DV134" s="228">
        <v>0.81</v>
      </c>
      <c r="DW134" s="228">
        <v>0.56999999999999995</v>
      </c>
      <c r="DX134" s="228">
        <v>0.24</v>
      </c>
      <c r="DY134" s="229">
        <v>0.42109999999999997</v>
      </c>
      <c r="DZ134" s="229">
        <v>3.8999999999999998E-3</v>
      </c>
      <c r="EA134" s="230">
        <v>36800</v>
      </c>
      <c r="EB134" s="229">
        <v>2E-3</v>
      </c>
      <c r="EC134" s="229">
        <v>3.8999999999999998E-3</v>
      </c>
      <c r="ED134" s="228">
        <v>2.94</v>
      </c>
      <c r="EE134" s="229">
        <v>1.6999999999999999E-3</v>
      </c>
      <c r="EF134" s="230">
        <v>695690</v>
      </c>
      <c r="EG134" s="230">
        <v>574425</v>
      </c>
      <c r="EH134" s="229">
        <v>0.21110000000000001</v>
      </c>
      <c r="EI134" s="229">
        <v>0.6774</v>
      </c>
      <c r="EJ134" s="231">
        <v>8855.2199999999993</v>
      </c>
      <c r="EK134" s="231">
        <v>6771.47</v>
      </c>
      <c r="EL134" s="231">
        <v>13448.5</v>
      </c>
      <c r="EM134" s="231">
        <v>2211</v>
      </c>
      <c r="EN134" s="231">
        <v>29075.19</v>
      </c>
      <c r="EO134" s="231">
        <v>26722.47</v>
      </c>
      <c r="EP134" s="231">
        <v>2352.7199999999998</v>
      </c>
      <c r="EQ134" s="229">
        <v>8.7999999999999995E-2</v>
      </c>
      <c r="ER134" s="231">
        <v>17272</v>
      </c>
      <c r="ES134" s="231">
        <v>9476</v>
      </c>
      <c r="ET134" s="231">
        <v>160735</v>
      </c>
      <c r="EU134" s="231">
        <v>35051266</v>
      </c>
      <c r="EV134" s="231">
        <v>187483</v>
      </c>
      <c r="EW134" s="231">
        <v>192519</v>
      </c>
      <c r="EX134" s="231">
        <v>-5036</v>
      </c>
      <c r="EY134" s="229">
        <v>-2.6200000000000001E-2</v>
      </c>
      <c r="EZ134" s="229">
        <v>0.31890000000000002</v>
      </c>
      <c r="FA134" s="227" t="s">
        <v>567</v>
      </c>
      <c r="FB134" s="161">
        <f t="shared" si="2"/>
        <v>37200</v>
      </c>
    </row>
    <row r="135" spans="1:158" ht="17.25" thickBot="1" x14ac:dyDescent="0.3">
      <c r="A135" s="226">
        <v>46129</v>
      </c>
      <c r="B135" s="227" t="s">
        <v>181</v>
      </c>
      <c r="C135" s="227" t="s">
        <v>562</v>
      </c>
      <c r="D135" s="228">
        <v>120</v>
      </c>
      <c r="E135" s="231">
        <v>13849.2</v>
      </c>
      <c r="F135" s="231">
        <v>13681.15</v>
      </c>
      <c r="G135" s="228">
        <v>168.05</v>
      </c>
      <c r="H135" s="229">
        <v>1.23E-2</v>
      </c>
      <c r="I135" s="231">
        <v>13838.85</v>
      </c>
      <c r="J135" s="231">
        <v>13683.7</v>
      </c>
      <c r="K135" s="228">
        <v>155.15</v>
      </c>
      <c r="L135" s="229">
        <v>1.1299999999999999E-2</v>
      </c>
      <c r="M135" s="231">
        <v>13849.2</v>
      </c>
      <c r="N135" s="231">
        <v>13681.15</v>
      </c>
      <c r="O135" s="228">
        <v>168.05</v>
      </c>
      <c r="P135" s="229">
        <v>1.23E-2</v>
      </c>
      <c r="Q135" s="231">
        <v>13880.05</v>
      </c>
      <c r="R135" s="231">
        <v>13712.3</v>
      </c>
      <c r="S135" s="228">
        <v>167.75</v>
      </c>
      <c r="T135" s="229">
        <v>1.2200000000000001E-2</v>
      </c>
      <c r="U135" s="231">
        <v>13914.65</v>
      </c>
      <c r="V135" s="231">
        <v>13754.35</v>
      </c>
      <c r="W135" s="228">
        <v>160.30000000000001</v>
      </c>
      <c r="X135" s="229">
        <v>1.17E-2</v>
      </c>
      <c r="Y135" s="228">
        <v>10.35</v>
      </c>
      <c r="Z135" s="228">
        <v>-2.5499999999999998</v>
      </c>
      <c r="AA135" s="228">
        <v>12.9</v>
      </c>
      <c r="AB135" s="229">
        <v>6.9999999999999999E-4</v>
      </c>
      <c r="AC135" s="228">
        <v>10.35</v>
      </c>
      <c r="AD135" s="228">
        <v>-2.5499999999999998</v>
      </c>
      <c r="AE135" s="228">
        <v>12.9</v>
      </c>
      <c r="AF135" s="229">
        <v>6.9999999999999999E-4</v>
      </c>
      <c r="AG135" s="228">
        <v>41.2</v>
      </c>
      <c r="AH135" s="228">
        <v>28.6</v>
      </c>
      <c r="AI135" s="228">
        <v>12.6</v>
      </c>
      <c r="AJ135" s="229">
        <v>3.0000000000000001E-3</v>
      </c>
      <c r="AK135" s="228">
        <v>75.8</v>
      </c>
      <c r="AL135" s="228">
        <v>70.650000000000006</v>
      </c>
      <c r="AM135" s="228">
        <v>5.15</v>
      </c>
      <c r="AN135" s="229">
        <v>5.4999999999999997E-3</v>
      </c>
      <c r="AO135" s="231">
        <v>13782.55</v>
      </c>
      <c r="AP135" s="231">
        <v>13809.75</v>
      </c>
      <c r="AQ135" s="228">
        <v>0</v>
      </c>
      <c r="AR135" s="230">
        <v>551520</v>
      </c>
      <c r="AS135" s="230">
        <v>585120</v>
      </c>
      <c r="AT135" s="230">
        <v>-33600</v>
      </c>
      <c r="AU135" s="229">
        <v>-5.74E-2</v>
      </c>
      <c r="AV135" s="230">
        <v>491400</v>
      </c>
      <c r="AW135" s="230">
        <v>516000</v>
      </c>
      <c r="AX135" s="230">
        <v>-24600</v>
      </c>
      <c r="AY135" s="229">
        <v>-4.7699999999999999E-2</v>
      </c>
      <c r="AZ135" s="230">
        <v>52080</v>
      </c>
      <c r="BA135" s="230">
        <v>61320</v>
      </c>
      <c r="BB135" s="230">
        <v>-9240</v>
      </c>
      <c r="BC135" s="229">
        <v>-0.1507</v>
      </c>
      <c r="BD135" s="230">
        <v>8040</v>
      </c>
      <c r="BE135" s="230">
        <v>7800</v>
      </c>
      <c r="BF135" s="228">
        <v>240</v>
      </c>
      <c r="BG135" s="229">
        <v>3.0800000000000001E-2</v>
      </c>
      <c r="BH135" s="230">
        <v>14278920</v>
      </c>
      <c r="BI135" s="230">
        <v>10998840</v>
      </c>
      <c r="BJ135" s="230">
        <v>3280080</v>
      </c>
      <c r="BK135" s="229">
        <v>0.29820000000000002</v>
      </c>
      <c r="BL135" s="230">
        <v>18796200</v>
      </c>
      <c r="BM135" s="230">
        <v>11596320</v>
      </c>
      <c r="BN135" s="230">
        <v>7199880</v>
      </c>
      <c r="BO135" s="229">
        <v>0.62090000000000001</v>
      </c>
      <c r="BP135" s="230">
        <v>33626640</v>
      </c>
      <c r="BQ135" s="230">
        <v>23180280</v>
      </c>
      <c r="BR135" s="230">
        <v>10446360</v>
      </c>
      <c r="BS135" s="229">
        <v>0.45069999999999999</v>
      </c>
      <c r="BT135" s="228">
        <v>0</v>
      </c>
      <c r="BU135" s="228">
        <v>0</v>
      </c>
      <c r="BV135" s="228">
        <v>0</v>
      </c>
      <c r="BW135" s="229">
        <v>0</v>
      </c>
      <c r="BX135" s="230">
        <v>2510880</v>
      </c>
      <c r="BY135" s="230">
        <v>2585040</v>
      </c>
      <c r="BZ135" s="230">
        <v>-74160</v>
      </c>
      <c r="CA135" s="229">
        <v>-2.87E-2</v>
      </c>
      <c r="CB135" s="230">
        <v>2381640</v>
      </c>
      <c r="CC135" s="230">
        <v>2459040</v>
      </c>
      <c r="CD135" s="230">
        <v>-77400</v>
      </c>
      <c r="CE135" s="229">
        <v>-3.15E-2</v>
      </c>
      <c r="CF135" s="230">
        <v>120480</v>
      </c>
      <c r="CG135" s="230">
        <v>115080</v>
      </c>
      <c r="CH135" s="230">
        <v>5400</v>
      </c>
      <c r="CI135" s="229">
        <v>4.6899999999999997E-2</v>
      </c>
      <c r="CJ135" s="230">
        <v>8760</v>
      </c>
      <c r="CK135" s="230">
        <v>10920</v>
      </c>
      <c r="CL135" s="230">
        <v>-2160</v>
      </c>
      <c r="CM135" s="229">
        <v>-0.1978</v>
      </c>
      <c r="CN135" s="230">
        <v>5954760</v>
      </c>
      <c r="CO135" s="230">
        <v>4880640</v>
      </c>
      <c r="CP135" s="230">
        <v>1074120</v>
      </c>
      <c r="CQ135" s="229">
        <v>0.22009999999999999</v>
      </c>
      <c r="CR135" s="230">
        <v>7229040</v>
      </c>
      <c r="CS135" s="230">
        <v>6193920</v>
      </c>
      <c r="CT135" s="230">
        <v>1035120</v>
      </c>
      <c r="CU135" s="229">
        <v>0.1671</v>
      </c>
      <c r="CV135" s="230">
        <v>15694680</v>
      </c>
      <c r="CW135" s="230">
        <v>13659600</v>
      </c>
      <c r="CX135" s="230">
        <v>2035080</v>
      </c>
      <c r="CY135" s="229">
        <v>0.14899999999999999</v>
      </c>
      <c r="CZ135" s="228">
        <v>23.83</v>
      </c>
      <c r="DA135" s="228">
        <v>24.37</v>
      </c>
      <c r="DB135" s="228">
        <v>-0.54</v>
      </c>
      <c r="DC135" s="228">
        <v>-0.54</v>
      </c>
      <c r="DD135" s="228">
        <v>25.28</v>
      </c>
      <c r="DE135" s="228">
        <v>25.29</v>
      </c>
      <c r="DF135" s="228">
        <v>-1.45</v>
      </c>
      <c r="DG135" s="228">
        <v>-0.01</v>
      </c>
      <c r="DH135" s="228">
        <v>20.100000000000001</v>
      </c>
      <c r="DI135" s="228">
        <v>21.28</v>
      </c>
      <c r="DJ135" s="228">
        <v>-1.18</v>
      </c>
      <c r="DK135" s="228">
        <v>-1.18</v>
      </c>
      <c r="DL135" s="228">
        <v>26.67</v>
      </c>
      <c r="DM135" s="228">
        <v>27.3</v>
      </c>
      <c r="DN135" s="228">
        <v>-0.63</v>
      </c>
      <c r="DO135" s="228">
        <v>-0.63</v>
      </c>
      <c r="DP135" s="228">
        <v>1.21</v>
      </c>
      <c r="DQ135" s="228">
        <v>1.27</v>
      </c>
      <c r="DR135" s="228">
        <v>-0.06</v>
      </c>
      <c r="DS135" s="229">
        <v>-4.7199999999999999E-2</v>
      </c>
      <c r="DT135" s="231">
        <v>14500</v>
      </c>
      <c r="DU135" s="231">
        <v>13500</v>
      </c>
      <c r="DV135" s="228">
        <v>1.32</v>
      </c>
      <c r="DW135" s="228">
        <v>1.05</v>
      </c>
      <c r="DX135" s="228">
        <v>0.27</v>
      </c>
      <c r="DY135" s="229">
        <v>0.2571</v>
      </c>
      <c r="DZ135" s="229">
        <v>5.1499999999999997E-2</v>
      </c>
      <c r="EA135" s="230">
        <v>126000</v>
      </c>
      <c r="EB135" s="229">
        <v>2.2000000000000001E-3</v>
      </c>
      <c r="EC135" s="229">
        <v>5.1499999999999997E-2</v>
      </c>
      <c r="ED135" s="228">
        <v>27.2</v>
      </c>
      <c r="EE135" s="229">
        <v>2E-3</v>
      </c>
      <c r="EF135" s="228">
        <v>0</v>
      </c>
      <c r="EG135" s="228">
        <v>0</v>
      </c>
      <c r="EH135" s="229">
        <v>0</v>
      </c>
      <c r="EI135" s="229">
        <v>0</v>
      </c>
      <c r="EJ135" s="231">
        <v>2029489.73</v>
      </c>
      <c r="EK135" s="231">
        <v>2483085.7000000002</v>
      </c>
      <c r="EL135" s="231">
        <v>76035.33</v>
      </c>
      <c r="EM135" s="228">
        <v>0</v>
      </c>
      <c r="EN135" s="231">
        <v>4588610.76</v>
      </c>
      <c r="EO135" s="231">
        <v>3158448.53</v>
      </c>
      <c r="EP135" s="231">
        <v>1430162.23</v>
      </c>
      <c r="EQ135" s="229">
        <v>0.45279999999999998</v>
      </c>
      <c r="ER135" s="231">
        <v>824763</v>
      </c>
      <c r="ES135" s="231">
        <v>926177</v>
      </c>
      <c r="ET135" s="231">
        <v>347780</v>
      </c>
      <c r="EU135" s="228">
        <v>0</v>
      </c>
      <c r="EV135" s="231">
        <v>2098720</v>
      </c>
      <c r="EW135" s="231">
        <v>1805230</v>
      </c>
      <c r="EX135" s="231">
        <v>293490</v>
      </c>
      <c r="EY135" s="229">
        <v>0.16259999999999999</v>
      </c>
      <c r="EZ135" s="229">
        <v>0</v>
      </c>
      <c r="FA135" s="227" t="s">
        <v>693</v>
      </c>
      <c r="FB135" s="161">
        <f t="shared" si="2"/>
        <v>129240</v>
      </c>
    </row>
    <row r="136" spans="1:158" ht="17.25" thickBot="1" x14ac:dyDescent="0.3">
      <c r="A136" s="226">
        <v>46129</v>
      </c>
      <c r="B136" s="227" t="s">
        <v>162</v>
      </c>
      <c r="C136" s="227" t="s">
        <v>558</v>
      </c>
      <c r="D136" s="228">
        <v>6150</v>
      </c>
      <c r="E136" s="228">
        <v>125.05</v>
      </c>
      <c r="F136" s="228">
        <v>123.06</v>
      </c>
      <c r="G136" s="228">
        <v>1.99</v>
      </c>
      <c r="H136" s="229">
        <v>1.6199999999999999E-2</v>
      </c>
      <c r="I136" s="228">
        <v>125.03</v>
      </c>
      <c r="J136" s="228">
        <v>122.82</v>
      </c>
      <c r="K136" s="228">
        <v>2.21</v>
      </c>
      <c r="L136" s="229">
        <v>1.7999999999999999E-2</v>
      </c>
      <c r="M136" s="228">
        <v>125.05</v>
      </c>
      <c r="N136" s="228">
        <v>123.06</v>
      </c>
      <c r="O136" s="228">
        <v>1.99</v>
      </c>
      <c r="P136" s="229">
        <v>1.6199999999999999E-2</v>
      </c>
      <c r="Q136" s="228">
        <v>125.65</v>
      </c>
      <c r="R136" s="228">
        <v>123.69</v>
      </c>
      <c r="S136" s="228">
        <v>1.96</v>
      </c>
      <c r="T136" s="229">
        <v>1.5800000000000002E-2</v>
      </c>
      <c r="U136" s="228">
        <v>126.03</v>
      </c>
      <c r="V136" s="228">
        <v>124.21</v>
      </c>
      <c r="W136" s="228">
        <v>1.82</v>
      </c>
      <c r="X136" s="229">
        <v>1.47E-2</v>
      </c>
      <c r="Y136" s="228">
        <v>0.02</v>
      </c>
      <c r="Z136" s="228">
        <v>0.24</v>
      </c>
      <c r="AA136" s="228">
        <v>-0.22</v>
      </c>
      <c r="AB136" s="229">
        <v>2.0000000000000001E-4</v>
      </c>
      <c r="AC136" s="228">
        <v>0.02</v>
      </c>
      <c r="AD136" s="228">
        <v>0.24</v>
      </c>
      <c r="AE136" s="228">
        <v>-0.22</v>
      </c>
      <c r="AF136" s="229">
        <v>2.0000000000000001E-4</v>
      </c>
      <c r="AG136" s="228">
        <v>0.62</v>
      </c>
      <c r="AH136" s="228">
        <v>0.87</v>
      </c>
      <c r="AI136" s="228">
        <v>-0.25</v>
      </c>
      <c r="AJ136" s="229">
        <v>5.0000000000000001E-3</v>
      </c>
      <c r="AK136" s="228">
        <v>1</v>
      </c>
      <c r="AL136" s="228">
        <v>1.39</v>
      </c>
      <c r="AM136" s="228">
        <v>-0.39</v>
      </c>
      <c r="AN136" s="229">
        <v>8.0000000000000002E-3</v>
      </c>
      <c r="AO136" s="228">
        <v>124.6</v>
      </c>
      <c r="AP136" s="228">
        <v>124.95</v>
      </c>
      <c r="AQ136" s="228">
        <v>0</v>
      </c>
      <c r="AR136" s="230">
        <v>35251800</v>
      </c>
      <c r="AS136" s="230">
        <v>17035500</v>
      </c>
      <c r="AT136" s="230">
        <v>18216300</v>
      </c>
      <c r="AU136" s="229">
        <v>1.0692999999999999</v>
      </c>
      <c r="AV136" s="230">
        <v>25190400</v>
      </c>
      <c r="AW136" s="230">
        <v>15036750</v>
      </c>
      <c r="AX136" s="230">
        <v>10153650</v>
      </c>
      <c r="AY136" s="229">
        <v>0.67530000000000001</v>
      </c>
      <c r="AZ136" s="230">
        <v>1728150</v>
      </c>
      <c r="BA136" s="230">
        <v>1709700</v>
      </c>
      <c r="BB136" s="230">
        <v>18450</v>
      </c>
      <c r="BC136" s="229">
        <v>1.0800000000000001E-2</v>
      </c>
      <c r="BD136" s="230">
        <v>8333250</v>
      </c>
      <c r="BE136" s="230">
        <v>289050</v>
      </c>
      <c r="BF136" s="230">
        <v>8044200</v>
      </c>
      <c r="BG136" s="229">
        <v>27.829799999999999</v>
      </c>
      <c r="BH136" s="230">
        <v>27084600</v>
      </c>
      <c r="BI136" s="230">
        <v>21814050</v>
      </c>
      <c r="BJ136" s="230">
        <v>5270550</v>
      </c>
      <c r="BK136" s="229">
        <v>0.24160000000000001</v>
      </c>
      <c r="BL136" s="230">
        <v>27306000</v>
      </c>
      <c r="BM136" s="230">
        <v>17398350</v>
      </c>
      <c r="BN136" s="230">
        <v>9907650</v>
      </c>
      <c r="BO136" s="229">
        <v>0.56950000000000001</v>
      </c>
      <c r="BP136" s="230">
        <v>89642400</v>
      </c>
      <c r="BQ136" s="230">
        <v>56247900</v>
      </c>
      <c r="BR136" s="230">
        <v>33394500</v>
      </c>
      <c r="BS136" s="229">
        <v>0.59370000000000001</v>
      </c>
      <c r="BT136" s="230">
        <v>18536579</v>
      </c>
      <c r="BU136" s="230">
        <v>21162138</v>
      </c>
      <c r="BV136" s="230">
        <v>-2625559</v>
      </c>
      <c r="BW136" s="229">
        <v>-0.1241</v>
      </c>
      <c r="BX136" s="230">
        <v>131843700</v>
      </c>
      <c r="BY136" s="230">
        <v>134211450</v>
      </c>
      <c r="BZ136" s="230">
        <v>-2367750</v>
      </c>
      <c r="CA136" s="229">
        <v>-1.7600000000000001E-2</v>
      </c>
      <c r="CB136" s="230">
        <v>119998800</v>
      </c>
      <c r="CC136" s="230">
        <v>130300050</v>
      </c>
      <c r="CD136" s="230">
        <v>-10301250</v>
      </c>
      <c r="CE136" s="229">
        <v>-7.9100000000000004E-2</v>
      </c>
      <c r="CF136" s="230">
        <v>3308700</v>
      </c>
      <c r="CG136" s="230">
        <v>3204150</v>
      </c>
      <c r="CH136" s="230">
        <v>104550</v>
      </c>
      <c r="CI136" s="229">
        <v>3.2599999999999997E-2</v>
      </c>
      <c r="CJ136" s="230">
        <v>8536200</v>
      </c>
      <c r="CK136" s="230">
        <v>707250</v>
      </c>
      <c r="CL136" s="230">
        <v>7828950</v>
      </c>
      <c r="CM136" s="229">
        <v>11.069599999999999</v>
      </c>
      <c r="CN136" s="230">
        <v>38462100</v>
      </c>
      <c r="CO136" s="230">
        <v>37779450</v>
      </c>
      <c r="CP136" s="230">
        <v>682650</v>
      </c>
      <c r="CQ136" s="229">
        <v>1.8100000000000002E-2</v>
      </c>
      <c r="CR136" s="230">
        <v>34058700</v>
      </c>
      <c r="CS136" s="230">
        <v>37312050</v>
      </c>
      <c r="CT136" s="230">
        <v>-3253350</v>
      </c>
      <c r="CU136" s="229">
        <v>-8.72E-2</v>
      </c>
      <c r="CV136" s="230">
        <v>204364500</v>
      </c>
      <c r="CW136" s="230">
        <v>209302950</v>
      </c>
      <c r="CX136" s="230">
        <v>-4938450</v>
      </c>
      <c r="CY136" s="229">
        <v>-2.3599999999999999E-2</v>
      </c>
      <c r="CZ136" s="228">
        <v>41.3</v>
      </c>
      <c r="DA136" s="228">
        <v>41.51</v>
      </c>
      <c r="DB136" s="228">
        <v>-0.21</v>
      </c>
      <c r="DC136" s="228">
        <v>-0.21</v>
      </c>
      <c r="DD136" s="228">
        <v>43.28</v>
      </c>
      <c r="DE136" s="228">
        <v>43.33</v>
      </c>
      <c r="DF136" s="228">
        <v>-1.98</v>
      </c>
      <c r="DG136" s="228">
        <v>-0.05</v>
      </c>
      <c r="DH136" s="228">
        <v>36.49</v>
      </c>
      <c r="DI136" s="228">
        <v>38.369999999999997</v>
      </c>
      <c r="DJ136" s="228">
        <v>-1.88</v>
      </c>
      <c r="DK136" s="228">
        <v>-1.88</v>
      </c>
      <c r="DL136" s="228">
        <v>46.07</v>
      </c>
      <c r="DM136" s="228">
        <v>45.44</v>
      </c>
      <c r="DN136" s="228">
        <v>0.63</v>
      </c>
      <c r="DO136" s="228">
        <v>0.63</v>
      </c>
      <c r="DP136" s="228">
        <v>0.89</v>
      </c>
      <c r="DQ136" s="228">
        <v>0.99</v>
      </c>
      <c r="DR136" s="228">
        <v>-0.1</v>
      </c>
      <c r="DS136" s="229">
        <v>-0.10100000000000001</v>
      </c>
      <c r="DT136" s="228">
        <v>130</v>
      </c>
      <c r="DU136" s="228">
        <v>120</v>
      </c>
      <c r="DV136" s="228">
        <v>1.01</v>
      </c>
      <c r="DW136" s="228">
        <v>0.8</v>
      </c>
      <c r="DX136" s="228">
        <v>0.21</v>
      </c>
      <c r="DY136" s="229">
        <v>0.26250000000000001</v>
      </c>
      <c r="DZ136" s="229">
        <v>8.9800000000000005E-2</v>
      </c>
      <c r="EA136" s="230">
        <v>3911400</v>
      </c>
      <c r="EB136" s="229">
        <v>4.7999999999999996E-3</v>
      </c>
      <c r="EC136" s="229">
        <v>8.9800000000000005E-2</v>
      </c>
      <c r="ED136" s="228">
        <v>0.35</v>
      </c>
      <c r="EE136" s="229">
        <v>2.8E-3</v>
      </c>
      <c r="EF136" s="230">
        <v>8839044</v>
      </c>
      <c r="EG136" s="230">
        <v>11197381</v>
      </c>
      <c r="EH136" s="229">
        <v>-0.21060000000000001</v>
      </c>
      <c r="EI136" s="229">
        <v>0.4768</v>
      </c>
      <c r="EJ136" s="231">
        <v>35176.49</v>
      </c>
      <c r="EK136" s="231">
        <v>31687.66</v>
      </c>
      <c r="EL136" s="231">
        <v>44097.760000000002</v>
      </c>
      <c r="EM136" s="231">
        <v>4413</v>
      </c>
      <c r="EN136" s="231">
        <v>110961.91</v>
      </c>
      <c r="EO136" s="231">
        <v>69735.740000000005</v>
      </c>
      <c r="EP136" s="231">
        <v>41226.17</v>
      </c>
      <c r="EQ136" s="229">
        <v>0.59119999999999995</v>
      </c>
      <c r="ER136" s="231">
        <v>47336</v>
      </c>
      <c r="ES136" s="231">
        <v>38412</v>
      </c>
      <c r="ET136" s="231">
        <v>164974</v>
      </c>
      <c r="EU136" s="231">
        <v>588447385</v>
      </c>
      <c r="EV136" s="231">
        <v>250722</v>
      </c>
      <c r="EW136" s="231">
        <v>253291</v>
      </c>
      <c r="EX136" s="231">
        <v>-2569</v>
      </c>
      <c r="EY136" s="229">
        <v>-1.01E-2</v>
      </c>
      <c r="EZ136" s="229">
        <v>0.3473</v>
      </c>
      <c r="FA136" s="227" t="s">
        <v>693</v>
      </c>
      <c r="FB136" s="161">
        <f t="shared" si="2"/>
        <v>11844900</v>
      </c>
    </row>
    <row r="137" spans="1:158" ht="17.25" thickBot="1" x14ac:dyDescent="0.3">
      <c r="A137" s="226">
        <v>46129</v>
      </c>
      <c r="B137" s="227" t="s">
        <v>175</v>
      </c>
      <c r="C137" s="227" t="s">
        <v>698</v>
      </c>
      <c r="D137" s="228">
        <v>775</v>
      </c>
      <c r="E137" s="228">
        <v>817.75</v>
      </c>
      <c r="F137" s="228">
        <v>784.95</v>
      </c>
      <c r="G137" s="228">
        <v>32.799999999999997</v>
      </c>
      <c r="H137" s="229">
        <v>4.1799999999999997E-2</v>
      </c>
      <c r="I137" s="228">
        <v>815.45</v>
      </c>
      <c r="J137" s="228">
        <v>782.8</v>
      </c>
      <c r="K137" s="228">
        <v>32.65</v>
      </c>
      <c r="L137" s="229">
        <v>4.1700000000000001E-2</v>
      </c>
      <c r="M137" s="228">
        <v>817.75</v>
      </c>
      <c r="N137" s="228">
        <v>784.95</v>
      </c>
      <c r="O137" s="228">
        <v>32.799999999999997</v>
      </c>
      <c r="P137" s="229">
        <v>4.1799999999999997E-2</v>
      </c>
      <c r="Q137" s="228">
        <v>816.35</v>
      </c>
      <c r="R137" s="228">
        <v>783.3</v>
      </c>
      <c r="S137" s="228">
        <v>33.049999999999997</v>
      </c>
      <c r="T137" s="229">
        <v>4.2200000000000001E-2</v>
      </c>
      <c r="U137" s="228">
        <v>814</v>
      </c>
      <c r="V137" s="228">
        <v>787.55</v>
      </c>
      <c r="W137" s="228">
        <v>26.45</v>
      </c>
      <c r="X137" s="229">
        <v>3.3599999999999998E-2</v>
      </c>
      <c r="Y137" s="228">
        <v>2.2999999999999998</v>
      </c>
      <c r="Z137" s="228">
        <v>2.15</v>
      </c>
      <c r="AA137" s="228">
        <v>0.15</v>
      </c>
      <c r="AB137" s="229">
        <v>2.8E-3</v>
      </c>
      <c r="AC137" s="228">
        <v>2.2999999999999998</v>
      </c>
      <c r="AD137" s="228">
        <v>2.15</v>
      </c>
      <c r="AE137" s="228">
        <v>0.15</v>
      </c>
      <c r="AF137" s="229">
        <v>2.8E-3</v>
      </c>
      <c r="AG137" s="228">
        <v>0.9</v>
      </c>
      <c r="AH137" s="228">
        <v>0.5</v>
      </c>
      <c r="AI137" s="228">
        <v>0.4</v>
      </c>
      <c r="AJ137" s="229">
        <v>1.1000000000000001E-3</v>
      </c>
      <c r="AK137" s="228">
        <v>-1.45</v>
      </c>
      <c r="AL137" s="228">
        <v>4.75</v>
      </c>
      <c r="AM137" s="228">
        <v>-6.2</v>
      </c>
      <c r="AN137" s="229">
        <v>-1.8E-3</v>
      </c>
      <c r="AO137" s="228">
        <v>803.94</v>
      </c>
      <c r="AP137" s="228">
        <v>804.75</v>
      </c>
      <c r="AQ137" s="228">
        <v>0</v>
      </c>
      <c r="AR137" s="230">
        <v>2463725</v>
      </c>
      <c r="AS137" s="230">
        <v>706025</v>
      </c>
      <c r="AT137" s="230">
        <v>1757700</v>
      </c>
      <c r="AU137" s="229">
        <v>2.4895999999999998</v>
      </c>
      <c r="AV137" s="230">
        <v>2307175</v>
      </c>
      <c r="AW137" s="230">
        <v>657200</v>
      </c>
      <c r="AX137" s="230">
        <v>1649975</v>
      </c>
      <c r="AY137" s="229">
        <v>2.5106000000000002</v>
      </c>
      <c r="AZ137" s="230">
        <v>147250</v>
      </c>
      <c r="BA137" s="230">
        <v>43400</v>
      </c>
      <c r="BB137" s="230">
        <v>103850</v>
      </c>
      <c r="BC137" s="229">
        <v>2.3929</v>
      </c>
      <c r="BD137" s="230">
        <v>9300</v>
      </c>
      <c r="BE137" s="230">
        <v>5425</v>
      </c>
      <c r="BF137" s="230">
        <v>3875</v>
      </c>
      <c r="BG137" s="229">
        <v>0.71430000000000005</v>
      </c>
      <c r="BH137" s="230">
        <v>7069550</v>
      </c>
      <c r="BI137" s="230">
        <v>1294250</v>
      </c>
      <c r="BJ137" s="230">
        <v>5775300</v>
      </c>
      <c r="BK137" s="229">
        <v>4.4622999999999999</v>
      </c>
      <c r="BL137" s="230">
        <v>1608900</v>
      </c>
      <c r="BM137" s="230">
        <v>2476900</v>
      </c>
      <c r="BN137" s="230">
        <v>-868000</v>
      </c>
      <c r="BO137" s="229">
        <v>-0.35039999999999999</v>
      </c>
      <c r="BP137" s="230">
        <v>11142175</v>
      </c>
      <c r="BQ137" s="230">
        <v>4477175</v>
      </c>
      <c r="BR137" s="230">
        <v>6665000</v>
      </c>
      <c r="BS137" s="229">
        <v>1.4886999999999999</v>
      </c>
      <c r="BT137" s="230">
        <v>2103784</v>
      </c>
      <c r="BU137" s="230">
        <v>1104507</v>
      </c>
      <c r="BV137" s="230">
        <v>999277</v>
      </c>
      <c r="BW137" s="229">
        <v>0.90469999999999995</v>
      </c>
      <c r="BX137" s="230">
        <v>2864400</v>
      </c>
      <c r="BY137" s="230">
        <v>2074675</v>
      </c>
      <c r="BZ137" s="230">
        <v>789725</v>
      </c>
      <c r="CA137" s="229">
        <v>0.38059999999999999</v>
      </c>
      <c r="CB137" s="230">
        <v>2757450</v>
      </c>
      <c r="CC137" s="230">
        <v>1991750</v>
      </c>
      <c r="CD137" s="230">
        <v>765700</v>
      </c>
      <c r="CE137" s="229">
        <v>0.38440000000000002</v>
      </c>
      <c r="CF137" s="230">
        <v>94550</v>
      </c>
      <c r="CG137" s="230">
        <v>69750</v>
      </c>
      <c r="CH137" s="230">
        <v>24800</v>
      </c>
      <c r="CI137" s="229">
        <v>0.35560000000000003</v>
      </c>
      <c r="CJ137" s="230">
        <v>12400</v>
      </c>
      <c r="CK137" s="230">
        <v>13175</v>
      </c>
      <c r="CL137" s="228">
        <v>-775</v>
      </c>
      <c r="CM137" s="229">
        <v>-5.8799999999999998E-2</v>
      </c>
      <c r="CN137" s="230">
        <v>1578675</v>
      </c>
      <c r="CO137" s="230">
        <v>1199700</v>
      </c>
      <c r="CP137" s="230">
        <v>378975</v>
      </c>
      <c r="CQ137" s="229">
        <v>0.31590000000000001</v>
      </c>
      <c r="CR137" s="230">
        <v>1234575</v>
      </c>
      <c r="CS137" s="230">
        <v>1026100</v>
      </c>
      <c r="CT137" s="230">
        <v>208475</v>
      </c>
      <c r="CU137" s="229">
        <v>0.20319999999999999</v>
      </c>
      <c r="CV137" s="230">
        <v>5677650</v>
      </c>
      <c r="CW137" s="230">
        <v>4300475</v>
      </c>
      <c r="CX137" s="230">
        <v>1377175</v>
      </c>
      <c r="CY137" s="229">
        <v>0.32019999999999998</v>
      </c>
      <c r="CZ137" s="228">
        <v>43.84</v>
      </c>
      <c r="DA137" s="228">
        <v>49.92</v>
      </c>
      <c r="DB137" s="228">
        <v>-6.08</v>
      </c>
      <c r="DC137" s="228">
        <v>-6.08</v>
      </c>
      <c r="DD137" s="228">
        <v>54.82</v>
      </c>
      <c r="DE137" s="228">
        <v>54.68</v>
      </c>
      <c r="DF137" s="228">
        <v>-10.98</v>
      </c>
      <c r="DG137" s="228">
        <v>0.14000000000000001</v>
      </c>
      <c r="DH137" s="228">
        <v>42.79</v>
      </c>
      <c r="DI137" s="228">
        <v>41.57</v>
      </c>
      <c r="DJ137" s="228">
        <v>1.22</v>
      </c>
      <c r="DK137" s="228">
        <v>1.22</v>
      </c>
      <c r="DL137" s="228">
        <v>48.46</v>
      </c>
      <c r="DM137" s="228">
        <v>54.28</v>
      </c>
      <c r="DN137" s="228">
        <v>-5.82</v>
      </c>
      <c r="DO137" s="228">
        <v>-5.82</v>
      </c>
      <c r="DP137" s="228">
        <v>0.78</v>
      </c>
      <c r="DQ137" s="228">
        <v>0.86</v>
      </c>
      <c r="DR137" s="228">
        <v>-0.08</v>
      </c>
      <c r="DS137" s="229">
        <v>-9.2999999999999999E-2</v>
      </c>
      <c r="DT137" s="228">
        <v>800</v>
      </c>
      <c r="DU137" s="228">
        <v>680</v>
      </c>
      <c r="DV137" s="228">
        <v>0.23</v>
      </c>
      <c r="DW137" s="228">
        <v>1.91</v>
      </c>
      <c r="DX137" s="228">
        <v>-1.68</v>
      </c>
      <c r="DY137" s="229">
        <v>-0.87960000000000005</v>
      </c>
      <c r="DZ137" s="229">
        <v>3.73E-2</v>
      </c>
      <c r="EA137" s="230">
        <v>82925</v>
      </c>
      <c r="EB137" s="229">
        <v>-1.6999999999999999E-3</v>
      </c>
      <c r="EC137" s="229">
        <v>3.73E-2</v>
      </c>
      <c r="ED137" s="228">
        <v>0.81</v>
      </c>
      <c r="EE137" s="229">
        <v>1E-3</v>
      </c>
      <c r="EF137" s="230">
        <v>890005</v>
      </c>
      <c r="EG137" s="230">
        <v>513988</v>
      </c>
      <c r="EH137" s="229">
        <v>0.73160000000000003</v>
      </c>
      <c r="EI137" s="229">
        <v>0.42299999999999999</v>
      </c>
      <c r="EJ137" s="231">
        <v>59269.54</v>
      </c>
      <c r="EK137" s="231">
        <v>12325.91</v>
      </c>
      <c r="EL137" s="231">
        <v>19807.29</v>
      </c>
      <c r="EM137" s="231">
        <v>1105</v>
      </c>
      <c r="EN137" s="231">
        <v>91402.74</v>
      </c>
      <c r="EO137" s="231">
        <v>33229.769999999997</v>
      </c>
      <c r="EP137" s="231">
        <v>58172.97</v>
      </c>
      <c r="EQ137" s="229">
        <v>1.7505999999999999</v>
      </c>
      <c r="ER137" s="231">
        <v>12444</v>
      </c>
      <c r="ES137" s="231">
        <v>8792</v>
      </c>
      <c r="ET137" s="231">
        <v>23422</v>
      </c>
      <c r="EU137" s="231">
        <v>29196111</v>
      </c>
      <c r="EV137" s="231">
        <v>44658</v>
      </c>
      <c r="EW137" s="231">
        <v>32633</v>
      </c>
      <c r="EX137" s="231">
        <v>12025</v>
      </c>
      <c r="EY137" s="229">
        <v>0.36849999999999999</v>
      </c>
      <c r="EZ137" s="229">
        <v>0.19450000000000001</v>
      </c>
      <c r="FA137" s="227" t="s">
        <v>555</v>
      </c>
      <c r="FB137" s="161">
        <f t="shared" si="2"/>
        <v>106950</v>
      </c>
    </row>
    <row r="138" spans="1:158" ht="17.25" thickBot="1" x14ac:dyDescent="0.3">
      <c r="A138" s="226">
        <v>46129</v>
      </c>
      <c r="B138" s="227" t="s">
        <v>221</v>
      </c>
      <c r="C138" s="227" t="s">
        <v>487</v>
      </c>
      <c r="D138" s="228">
        <v>275</v>
      </c>
      <c r="E138" s="231">
        <v>2470</v>
      </c>
      <c r="F138" s="231">
        <v>2448.5</v>
      </c>
      <c r="G138" s="228">
        <v>21.5</v>
      </c>
      <c r="H138" s="229">
        <v>8.8000000000000005E-3</v>
      </c>
      <c r="I138" s="231">
        <v>2462.1999999999998</v>
      </c>
      <c r="J138" s="231">
        <v>2441.8000000000002</v>
      </c>
      <c r="K138" s="228">
        <v>20.399999999999999</v>
      </c>
      <c r="L138" s="229">
        <v>8.3999999999999995E-3</v>
      </c>
      <c r="M138" s="231">
        <v>2470</v>
      </c>
      <c r="N138" s="231">
        <v>2448.5</v>
      </c>
      <c r="O138" s="228">
        <v>21.5</v>
      </c>
      <c r="P138" s="229">
        <v>8.8000000000000005E-3</v>
      </c>
      <c r="Q138" s="231">
        <v>2478.1</v>
      </c>
      <c r="R138" s="231">
        <v>2457.1</v>
      </c>
      <c r="S138" s="228">
        <v>21</v>
      </c>
      <c r="T138" s="229">
        <v>8.5000000000000006E-3</v>
      </c>
      <c r="U138" s="231">
        <v>2489.4</v>
      </c>
      <c r="V138" s="231">
        <v>2455</v>
      </c>
      <c r="W138" s="228">
        <v>34.4</v>
      </c>
      <c r="X138" s="229">
        <v>1.4E-2</v>
      </c>
      <c r="Y138" s="228">
        <v>7.8</v>
      </c>
      <c r="Z138" s="228">
        <v>6.7</v>
      </c>
      <c r="AA138" s="228">
        <v>1.1000000000000001</v>
      </c>
      <c r="AB138" s="229">
        <v>3.2000000000000002E-3</v>
      </c>
      <c r="AC138" s="228">
        <v>7.8</v>
      </c>
      <c r="AD138" s="228">
        <v>6.7</v>
      </c>
      <c r="AE138" s="228">
        <v>1.1000000000000001</v>
      </c>
      <c r="AF138" s="229">
        <v>3.2000000000000002E-3</v>
      </c>
      <c r="AG138" s="228">
        <v>15.9</v>
      </c>
      <c r="AH138" s="228">
        <v>15.3</v>
      </c>
      <c r="AI138" s="228">
        <v>0.6</v>
      </c>
      <c r="AJ138" s="229">
        <v>6.4999999999999997E-3</v>
      </c>
      <c r="AK138" s="228">
        <v>27.2</v>
      </c>
      <c r="AL138" s="228">
        <v>13.2</v>
      </c>
      <c r="AM138" s="228">
        <v>14</v>
      </c>
      <c r="AN138" s="229">
        <v>1.0999999999999999E-2</v>
      </c>
      <c r="AO138" s="231">
        <v>2451.69</v>
      </c>
      <c r="AP138" s="231">
        <v>2462.79</v>
      </c>
      <c r="AQ138" s="228">
        <v>0</v>
      </c>
      <c r="AR138" s="230">
        <v>614350</v>
      </c>
      <c r="AS138" s="230">
        <v>759000</v>
      </c>
      <c r="AT138" s="230">
        <v>-144650</v>
      </c>
      <c r="AU138" s="229">
        <v>-0.19059999999999999</v>
      </c>
      <c r="AV138" s="230">
        <v>580525</v>
      </c>
      <c r="AW138" s="230">
        <v>661375</v>
      </c>
      <c r="AX138" s="230">
        <v>-80850</v>
      </c>
      <c r="AY138" s="229">
        <v>-0.1222</v>
      </c>
      <c r="AZ138" s="230">
        <v>31900</v>
      </c>
      <c r="BA138" s="230">
        <v>89375</v>
      </c>
      <c r="BB138" s="230">
        <v>-57475</v>
      </c>
      <c r="BC138" s="229">
        <v>-0.6431</v>
      </c>
      <c r="BD138" s="230">
        <v>1925</v>
      </c>
      <c r="BE138" s="230">
        <v>8250</v>
      </c>
      <c r="BF138" s="230">
        <v>-6325</v>
      </c>
      <c r="BG138" s="229">
        <v>-0.76670000000000005</v>
      </c>
      <c r="BH138" s="230">
        <v>987525</v>
      </c>
      <c r="BI138" s="230">
        <v>2338050</v>
      </c>
      <c r="BJ138" s="230">
        <v>-1350525</v>
      </c>
      <c r="BK138" s="229">
        <v>-0.5776</v>
      </c>
      <c r="BL138" s="230">
        <v>751300</v>
      </c>
      <c r="BM138" s="230">
        <v>760100</v>
      </c>
      <c r="BN138" s="230">
        <v>-8800</v>
      </c>
      <c r="BO138" s="229">
        <v>-1.1599999999999999E-2</v>
      </c>
      <c r="BP138" s="230">
        <v>2353175</v>
      </c>
      <c r="BQ138" s="230">
        <v>3857150</v>
      </c>
      <c r="BR138" s="230">
        <v>-1503975</v>
      </c>
      <c r="BS138" s="229">
        <v>-0.38990000000000002</v>
      </c>
      <c r="BT138" s="230">
        <v>490558</v>
      </c>
      <c r="BU138" s="230">
        <v>550381</v>
      </c>
      <c r="BV138" s="230">
        <v>-59823</v>
      </c>
      <c r="BW138" s="229">
        <v>-0.1087</v>
      </c>
      <c r="BX138" s="230">
        <v>4718450</v>
      </c>
      <c r="BY138" s="230">
        <v>4829275</v>
      </c>
      <c r="BZ138" s="230">
        <v>-110825</v>
      </c>
      <c r="CA138" s="229">
        <v>-2.29E-2</v>
      </c>
      <c r="CB138" s="230">
        <v>4452525</v>
      </c>
      <c r="CC138" s="230">
        <v>4563900</v>
      </c>
      <c r="CD138" s="230">
        <v>-111375</v>
      </c>
      <c r="CE138" s="229">
        <v>-2.4400000000000002E-2</v>
      </c>
      <c r="CF138" s="230">
        <v>259325</v>
      </c>
      <c r="CG138" s="230">
        <v>257950</v>
      </c>
      <c r="CH138" s="230">
        <v>1375</v>
      </c>
      <c r="CI138" s="229">
        <v>5.3E-3</v>
      </c>
      <c r="CJ138" s="230">
        <v>6600</v>
      </c>
      <c r="CK138" s="230">
        <v>7425</v>
      </c>
      <c r="CL138" s="228">
        <v>-825</v>
      </c>
      <c r="CM138" s="229">
        <v>-0.1111</v>
      </c>
      <c r="CN138" s="230">
        <v>1187175</v>
      </c>
      <c r="CO138" s="230">
        <v>1246575</v>
      </c>
      <c r="CP138" s="230">
        <v>-59400</v>
      </c>
      <c r="CQ138" s="229">
        <v>-4.7699999999999999E-2</v>
      </c>
      <c r="CR138" s="230">
        <v>924000</v>
      </c>
      <c r="CS138" s="230">
        <v>976525</v>
      </c>
      <c r="CT138" s="230">
        <v>-52525</v>
      </c>
      <c r="CU138" s="229">
        <v>-5.3800000000000001E-2</v>
      </c>
      <c r="CV138" s="230">
        <v>6829625</v>
      </c>
      <c r="CW138" s="230">
        <v>7052375</v>
      </c>
      <c r="CX138" s="230">
        <v>-222750</v>
      </c>
      <c r="CY138" s="229">
        <v>-3.1600000000000003E-2</v>
      </c>
      <c r="CZ138" s="228">
        <v>35.29</v>
      </c>
      <c r="DA138" s="228">
        <v>36.22</v>
      </c>
      <c r="DB138" s="228">
        <v>-0.93</v>
      </c>
      <c r="DC138" s="228">
        <v>-0.93</v>
      </c>
      <c r="DD138" s="228">
        <v>36.450000000000003</v>
      </c>
      <c r="DE138" s="228">
        <v>36.520000000000003</v>
      </c>
      <c r="DF138" s="228">
        <v>-1.1599999999999999</v>
      </c>
      <c r="DG138" s="228">
        <v>-7.0000000000000007E-2</v>
      </c>
      <c r="DH138" s="228">
        <v>33.43</v>
      </c>
      <c r="DI138" s="228">
        <v>35.25</v>
      </c>
      <c r="DJ138" s="228">
        <v>-1.82</v>
      </c>
      <c r="DK138" s="228">
        <v>-1.82</v>
      </c>
      <c r="DL138" s="228">
        <v>37.729999999999997</v>
      </c>
      <c r="DM138" s="228">
        <v>39.22</v>
      </c>
      <c r="DN138" s="228">
        <v>-1.49</v>
      </c>
      <c r="DO138" s="228">
        <v>-1.49</v>
      </c>
      <c r="DP138" s="228">
        <v>0.78</v>
      </c>
      <c r="DQ138" s="228">
        <v>0.78</v>
      </c>
      <c r="DR138" s="228">
        <v>0</v>
      </c>
      <c r="DS138" s="229">
        <v>0</v>
      </c>
      <c r="DT138" s="231">
        <v>2600</v>
      </c>
      <c r="DU138" s="231">
        <v>2300</v>
      </c>
      <c r="DV138" s="228">
        <v>0.76</v>
      </c>
      <c r="DW138" s="228">
        <v>0.33</v>
      </c>
      <c r="DX138" s="228">
        <v>0.43</v>
      </c>
      <c r="DY138" s="229">
        <v>1.3029999999999999</v>
      </c>
      <c r="DZ138" s="229">
        <v>5.6399999999999999E-2</v>
      </c>
      <c r="EA138" s="230">
        <v>265375</v>
      </c>
      <c r="EB138" s="229">
        <v>3.3E-3</v>
      </c>
      <c r="EC138" s="229">
        <v>5.6399999999999999E-2</v>
      </c>
      <c r="ED138" s="228">
        <v>11.1</v>
      </c>
      <c r="EE138" s="229">
        <v>4.4999999999999997E-3</v>
      </c>
      <c r="EF138" s="230">
        <v>249876</v>
      </c>
      <c r="EG138" s="230">
        <v>215607</v>
      </c>
      <c r="EH138" s="229">
        <v>0.15890000000000001</v>
      </c>
      <c r="EI138" s="229">
        <v>0.50939999999999996</v>
      </c>
      <c r="EJ138" s="231">
        <v>25136.880000000001</v>
      </c>
      <c r="EK138" s="231">
        <v>17486.5</v>
      </c>
      <c r="EL138" s="231">
        <v>15065.86</v>
      </c>
      <c r="EM138" s="231">
        <v>4605</v>
      </c>
      <c r="EN138" s="231">
        <v>57689.24</v>
      </c>
      <c r="EO138" s="231">
        <v>95914.41</v>
      </c>
      <c r="EP138" s="231">
        <v>-38225.17</v>
      </c>
      <c r="EQ138" s="229">
        <v>-0.39850000000000002</v>
      </c>
      <c r="ER138" s="231">
        <v>28748</v>
      </c>
      <c r="ES138" s="231">
        <v>20862</v>
      </c>
      <c r="ET138" s="231">
        <v>116568</v>
      </c>
      <c r="EU138" s="231">
        <v>19838356</v>
      </c>
      <c r="EV138" s="231">
        <v>166178</v>
      </c>
      <c r="EW138" s="231">
        <v>170457</v>
      </c>
      <c r="EX138" s="231">
        <v>-4279</v>
      </c>
      <c r="EY138" s="229">
        <v>-2.5100000000000001E-2</v>
      </c>
      <c r="EZ138" s="229">
        <v>0.34429999999999999</v>
      </c>
      <c r="FA138" s="227" t="s">
        <v>693</v>
      </c>
      <c r="FB138" s="161">
        <f t="shared" si="2"/>
        <v>265925</v>
      </c>
    </row>
    <row r="139" spans="1:158" ht="17.25" thickBot="1" x14ac:dyDescent="0.3">
      <c r="A139" s="226">
        <v>46129</v>
      </c>
      <c r="B139" s="227" t="s">
        <v>175</v>
      </c>
      <c r="C139" s="227" t="s">
        <v>262</v>
      </c>
      <c r="D139" s="228">
        <v>275</v>
      </c>
      <c r="E139" s="231">
        <v>3572</v>
      </c>
      <c r="F139" s="231">
        <v>3549.6</v>
      </c>
      <c r="G139" s="228">
        <v>22.4</v>
      </c>
      <c r="H139" s="229">
        <v>6.3E-3</v>
      </c>
      <c r="I139" s="231">
        <v>3571.3</v>
      </c>
      <c r="J139" s="231">
        <v>3578</v>
      </c>
      <c r="K139" s="228">
        <v>-6.7</v>
      </c>
      <c r="L139" s="229">
        <v>-1.9E-3</v>
      </c>
      <c r="M139" s="231">
        <v>3572</v>
      </c>
      <c r="N139" s="231">
        <v>3549.6</v>
      </c>
      <c r="O139" s="228">
        <v>22.4</v>
      </c>
      <c r="P139" s="229">
        <v>6.3E-3</v>
      </c>
      <c r="Q139" s="231">
        <v>3578.8</v>
      </c>
      <c r="R139" s="231">
        <v>3558.9</v>
      </c>
      <c r="S139" s="228">
        <v>19.899999999999999</v>
      </c>
      <c r="T139" s="229">
        <v>5.5999999999999999E-3</v>
      </c>
      <c r="U139" s="231">
        <v>3595.2</v>
      </c>
      <c r="V139" s="231">
        <v>3574.4</v>
      </c>
      <c r="W139" s="228">
        <v>20.8</v>
      </c>
      <c r="X139" s="229">
        <v>5.7999999999999996E-3</v>
      </c>
      <c r="Y139" s="228">
        <v>0.7</v>
      </c>
      <c r="Z139" s="228">
        <v>-28.4</v>
      </c>
      <c r="AA139" s="228">
        <v>29.1</v>
      </c>
      <c r="AB139" s="229">
        <v>2.0000000000000001E-4</v>
      </c>
      <c r="AC139" s="228">
        <v>0.7</v>
      </c>
      <c r="AD139" s="228">
        <v>-28.4</v>
      </c>
      <c r="AE139" s="228">
        <v>29.1</v>
      </c>
      <c r="AF139" s="229">
        <v>2.0000000000000001E-4</v>
      </c>
      <c r="AG139" s="228">
        <v>7.5</v>
      </c>
      <c r="AH139" s="228">
        <v>-19.100000000000001</v>
      </c>
      <c r="AI139" s="228">
        <v>26.6</v>
      </c>
      <c r="AJ139" s="229">
        <v>2.0999999999999999E-3</v>
      </c>
      <c r="AK139" s="228">
        <v>23.9</v>
      </c>
      <c r="AL139" s="228">
        <v>-3.6</v>
      </c>
      <c r="AM139" s="228">
        <v>27.5</v>
      </c>
      <c r="AN139" s="229">
        <v>6.7000000000000002E-3</v>
      </c>
      <c r="AO139" s="231">
        <v>3545.65</v>
      </c>
      <c r="AP139" s="231">
        <v>3547.45</v>
      </c>
      <c r="AQ139" s="228">
        <v>0</v>
      </c>
      <c r="AR139" s="230">
        <v>1009250</v>
      </c>
      <c r="AS139" s="230">
        <v>781275</v>
      </c>
      <c r="AT139" s="230">
        <v>227975</v>
      </c>
      <c r="AU139" s="229">
        <v>0.2918</v>
      </c>
      <c r="AV139" s="230">
        <v>876425</v>
      </c>
      <c r="AW139" s="230">
        <v>694375</v>
      </c>
      <c r="AX139" s="230">
        <v>182050</v>
      </c>
      <c r="AY139" s="229">
        <v>0.26219999999999999</v>
      </c>
      <c r="AZ139" s="230">
        <v>128150</v>
      </c>
      <c r="BA139" s="230">
        <v>74800</v>
      </c>
      <c r="BB139" s="230">
        <v>53350</v>
      </c>
      <c r="BC139" s="229">
        <v>0.71319999999999995</v>
      </c>
      <c r="BD139" s="230">
        <v>4675</v>
      </c>
      <c r="BE139" s="230">
        <v>12100</v>
      </c>
      <c r="BF139" s="230">
        <v>-7425</v>
      </c>
      <c r="BG139" s="229">
        <v>-0.61360000000000003</v>
      </c>
      <c r="BH139" s="230">
        <v>4881800</v>
      </c>
      <c r="BI139" s="230">
        <v>2601225</v>
      </c>
      <c r="BJ139" s="230">
        <v>2280575</v>
      </c>
      <c r="BK139" s="229">
        <v>0.87670000000000003</v>
      </c>
      <c r="BL139" s="230">
        <v>2502225</v>
      </c>
      <c r="BM139" s="230">
        <v>1275725</v>
      </c>
      <c r="BN139" s="230">
        <v>1226500</v>
      </c>
      <c r="BO139" s="229">
        <v>0.96140000000000003</v>
      </c>
      <c r="BP139" s="230">
        <v>8393275</v>
      </c>
      <c r="BQ139" s="230">
        <v>4658225</v>
      </c>
      <c r="BR139" s="230">
        <v>3735050</v>
      </c>
      <c r="BS139" s="229">
        <v>0.80179999999999996</v>
      </c>
      <c r="BT139" s="230">
        <v>671923</v>
      </c>
      <c r="BU139" s="230">
        <v>750842</v>
      </c>
      <c r="BV139" s="230">
        <v>-78919</v>
      </c>
      <c r="BW139" s="229">
        <v>-0.1051</v>
      </c>
      <c r="BX139" s="230">
        <v>3907475</v>
      </c>
      <c r="BY139" s="230">
        <v>3836250</v>
      </c>
      <c r="BZ139" s="230">
        <v>71225</v>
      </c>
      <c r="CA139" s="229">
        <v>1.8599999999999998E-2</v>
      </c>
      <c r="CB139" s="230">
        <v>3675650</v>
      </c>
      <c r="CC139" s="230">
        <v>3661625</v>
      </c>
      <c r="CD139" s="230">
        <v>14025</v>
      </c>
      <c r="CE139" s="229">
        <v>3.8E-3</v>
      </c>
      <c r="CF139" s="230">
        <v>207625</v>
      </c>
      <c r="CG139" s="230">
        <v>152350</v>
      </c>
      <c r="CH139" s="230">
        <v>55275</v>
      </c>
      <c r="CI139" s="229">
        <v>0.36280000000000001</v>
      </c>
      <c r="CJ139" s="230">
        <v>24200</v>
      </c>
      <c r="CK139" s="230">
        <v>22275</v>
      </c>
      <c r="CL139" s="230">
        <v>1925</v>
      </c>
      <c r="CM139" s="229">
        <v>8.6400000000000005E-2</v>
      </c>
      <c r="CN139" s="230">
        <v>2358950</v>
      </c>
      <c r="CO139" s="230">
        <v>2189000</v>
      </c>
      <c r="CP139" s="230">
        <v>169950</v>
      </c>
      <c r="CQ139" s="229">
        <v>7.7600000000000002E-2</v>
      </c>
      <c r="CR139" s="230">
        <v>1438525</v>
      </c>
      <c r="CS139" s="230">
        <v>1472350</v>
      </c>
      <c r="CT139" s="230">
        <v>-33825</v>
      </c>
      <c r="CU139" s="229">
        <v>-2.3E-2</v>
      </c>
      <c r="CV139" s="230">
        <v>7704950</v>
      </c>
      <c r="CW139" s="230">
        <v>7497600</v>
      </c>
      <c r="CX139" s="230">
        <v>207350</v>
      </c>
      <c r="CY139" s="229">
        <v>2.7699999999999999E-2</v>
      </c>
      <c r="CZ139" s="228">
        <v>35.81</v>
      </c>
      <c r="DA139" s="228">
        <v>37.21</v>
      </c>
      <c r="DB139" s="228">
        <v>-1.4</v>
      </c>
      <c r="DC139" s="228">
        <v>-1.4</v>
      </c>
      <c r="DD139" s="228">
        <v>44.26</v>
      </c>
      <c r="DE139" s="228">
        <v>44.37</v>
      </c>
      <c r="DF139" s="228">
        <v>-8.4499999999999993</v>
      </c>
      <c r="DG139" s="228">
        <v>-0.11</v>
      </c>
      <c r="DH139" s="228">
        <v>34.75</v>
      </c>
      <c r="DI139" s="228">
        <v>36.33</v>
      </c>
      <c r="DJ139" s="228">
        <v>-1.58</v>
      </c>
      <c r="DK139" s="228">
        <v>-1.58</v>
      </c>
      <c r="DL139" s="228">
        <v>37.869999999999997</v>
      </c>
      <c r="DM139" s="228">
        <v>39.01</v>
      </c>
      <c r="DN139" s="228">
        <v>-1.1399999999999999</v>
      </c>
      <c r="DO139" s="228">
        <v>-1.1399999999999999</v>
      </c>
      <c r="DP139" s="228">
        <v>0.61</v>
      </c>
      <c r="DQ139" s="228">
        <v>0.67</v>
      </c>
      <c r="DR139" s="228">
        <v>-0.06</v>
      </c>
      <c r="DS139" s="229">
        <v>-8.9599999999999999E-2</v>
      </c>
      <c r="DT139" s="231">
        <v>3500</v>
      </c>
      <c r="DU139" s="231">
        <v>3500</v>
      </c>
      <c r="DV139" s="228">
        <v>0.51</v>
      </c>
      <c r="DW139" s="228">
        <v>0.49</v>
      </c>
      <c r="DX139" s="228">
        <v>0.02</v>
      </c>
      <c r="DY139" s="229">
        <v>4.0800000000000003E-2</v>
      </c>
      <c r="DZ139" s="229">
        <v>5.9299999999999999E-2</v>
      </c>
      <c r="EA139" s="230">
        <v>174625</v>
      </c>
      <c r="EB139" s="229">
        <v>1.9E-3</v>
      </c>
      <c r="EC139" s="229">
        <v>5.9299999999999999E-2</v>
      </c>
      <c r="ED139" s="228">
        <v>1.8</v>
      </c>
      <c r="EE139" s="229">
        <v>5.0000000000000001E-4</v>
      </c>
      <c r="EF139" s="230">
        <v>252755</v>
      </c>
      <c r="EG139" s="230">
        <v>346160</v>
      </c>
      <c r="EH139" s="229">
        <v>-0.26979999999999998</v>
      </c>
      <c r="EI139" s="229">
        <v>0.37619999999999998</v>
      </c>
      <c r="EJ139" s="231">
        <v>181828.46</v>
      </c>
      <c r="EK139" s="231">
        <v>87620.25</v>
      </c>
      <c r="EL139" s="231">
        <v>35787.68</v>
      </c>
      <c r="EM139" s="231">
        <v>3641</v>
      </c>
      <c r="EN139" s="231">
        <v>305236.39</v>
      </c>
      <c r="EO139" s="231">
        <v>170966.17</v>
      </c>
      <c r="EP139" s="231">
        <v>134270.22</v>
      </c>
      <c r="EQ139" s="229">
        <v>0.78539999999999999</v>
      </c>
      <c r="ER139" s="231">
        <v>84947</v>
      </c>
      <c r="ES139" s="231">
        <v>47613</v>
      </c>
      <c r="ET139" s="231">
        <v>139595</v>
      </c>
      <c r="EU139" s="231">
        <v>16050690</v>
      </c>
      <c r="EV139" s="231">
        <v>272154</v>
      </c>
      <c r="EW139" s="231">
        <v>263447</v>
      </c>
      <c r="EX139" s="231">
        <v>8707</v>
      </c>
      <c r="EY139" s="229">
        <v>3.3099999999999997E-2</v>
      </c>
      <c r="EZ139" s="229">
        <v>0.48</v>
      </c>
      <c r="FA139" s="227" t="s">
        <v>555</v>
      </c>
      <c r="FB139" s="161">
        <f>BX139-CB139</f>
        <v>231825</v>
      </c>
    </row>
    <row r="140" spans="1:158" ht="17.25" thickBot="1" x14ac:dyDescent="0.3">
      <c r="A140" s="226">
        <v>46129</v>
      </c>
      <c r="B140" s="227" t="s">
        <v>175</v>
      </c>
      <c r="C140" s="227" t="s">
        <v>486</v>
      </c>
      <c r="D140" s="228">
        <v>625</v>
      </c>
      <c r="E140" s="231">
        <v>1000.05</v>
      </c>
      <c r="F140" s="228">
        <v>963.9</v>
      </c>
      <c r="G140" s="228">
        <v>36.15</v>
      </c>
      <c r="H140" s="229">
        <v>3.7499999999999999E-2</v>
      </c>
      <c r="I140" s="231">
        <v>1015.05</v>
      </c>
      <c r="J140" s="228">
        <v>964.85</v>
      </c>
      <c r="K140" s="228">
        <v>50.2</v>
      </c>
      <c r="L140" s="229">
        <v>5.1999999999999998E-2</v>
      </c>
      <c r="M140" s="231">
        <v>1000.05</v>
      </c>
      <c r="N140" s="228">
        <v>963.9</v>
      </c>
      <c r="O140" s="228">
        <v>36.15</v>
      </c>
      <c r="P140" s="229">
        <v>3.7499999999999999E-2</v>
      </c>
      <c r="Q140" s="228">
        <v>989.9</v>
      </c>
      <c r="R140" s="228">
        <v>955.8</v>
      </c>
      <c r="S140" s="228">
        <v>34.1</v>
      </c>
      <c r="T140" s="229">
        <v>3.5700000000000003E-2</v>
      </c>
      <c r="U140" s="228">
        <v>969.15</v>
      </c>
      <c r="V140" s="228">
        <v>952.2</v>
      </c>
      <c r="W140" s="228">
        <v>16.95</v>
      </c>
      <c r="X140" s="229">
        <v>1.78E-2</v>
      </c>
      <c r="Y140" s="228">
        <v>-15</v>
      </c>
      <c r="Z140" s="228">
        <v>-0.95</v>
      </c>
      <c r="AA140" s="228">
        <v>-14.05</v>
      </c>
      <c r="AB140" s="229">
        <v>-1.4800000000000001E-2</v>
      </c>
      <c r="AC140" s="228">
        <v>-15</v>
      </c>
      <c r="AD140" s="228">
        <v>-0.95</v>
      </c>
      <c r="AE140" s="228">
        <v>-14.05</v>
      </c>
      <c r="AF140" s="229">
        <v>-1.4800000000000001E-2</v>
      </c>
      <c r="AG140" s="228">
        <v>-25.15</v>
      </c>
      <c r="AH140" s="228">
        <v>-9.0500000000000007</v>
      </c>
      <c r="AI140" s="228">
        <v>-16.100000000000001</v>
      </c>
      <c r="AJ140" s="229">
        <v>-2.4799999999999999E-2</v>
      </c>
      <c r="AK140" s="228">
        <v>-45.9</v>
      </c>
      <c r="AL140" s="228">
        <v>-12.65</v>
      </c>
      <c r="AM140" s="228">
        <v>-33.25</v>
      </c>
      <c r="AN140" s="229">
        <v>-4.5199999999999997E-2</v>
      </c>
      <c r="AO140" s="228">
        <v>993.9</v>
      </c>
      <c r="AP140" s="228">
        <v>985.58</v>
      </c>
      <c r="AQ140" s="228">
        <v>0</v>
      </c>
      <c r="AR140" s="230">
        <v>1536875</v>
      </c>
      <c r="AS140" s="230">
        <v>889375</v>
      </c>
      <c r="AT140" s="230">
        <v>647500</v>
      </c>
      <c r="AU140" s="229">
        <v>0.72799999999999998</v>
      </c>
      <c r="AV140" s="230">
        <v>1206875</v>
      </c>
      <c r="AW140" s="230">
        <v>841250</v>
      </c>
      <c r="AX140" s="230">
        <v>365625</v>
      </c>
      <c r="AY140" s="229">
        <v>0.43459999999999999</v>
      </c>
      <c r="AZ140" s="230">
        <v>325625</v>
      </c>
      <c r="BA140" s="230">
        <v>45625</v>
      </c>
      <c r="BB140" s="230">
        <v>280000</v>
      </c>
      <c r="BC140" s="229">
        <v>6.1369999999999996</v>
      </c>
      <c r="BD140" s="230">
        <v>4375</v>
      </c>
      <c r="BE140" s="230">
        <v>2500</v>
      </c>
      <c r="BF140" s="230">
        <v>1875</v>
      </c>
      <c r="BG140" s="229">
        <v>0.75</v>
      </c>
      <c r="BH140" s="230">
        <v>2637500</v>
      </c>
      <c r="BI140" s="230">
        <v>1771875</v>
      </c>
      <c r="BJ140" s="230">
        <v>865625</v>
      </c>
      <c r="BK140" s="229">
        <v>0.48849999999999999</v>
      </c>
      <c r="BL140" s="230">
        <v>679375</v>
      </c>
      <c r="BM140" s="230">
        <v>2235000</v>
      </c>
      <c r="BN140" s="230">
        <v>-1555625</v>
      </c>
      <c r="BO140" s="229">
        <v>-0.69599999999999995</v>
      </c>
      <c r="BP140" s="230">
        <v>4853750</v>
      </c>
      <c r="BQ140" s="230">
        <v>4896250</v>
      </c>
      <c r="BR140" s="230">
        <v>-42500</v>
      </c>
      <c r="BS140" s="229">
        <v>-8.6999999999999994E-3</v>
      </c>
      <c r="BT140" s="230">
        <v>2395614</v>
      </c>
      <c r="BU140" s="230">
        <v>1493635</v>
      </c>
      <c r="BV140" s="230">
        <v>901979</v>
      </c>
      <c r="BW140" s="229">
        <v>0.60389999999999999</v>
      </c>
      <c r="BX140" s="230">
        <v>3185000</v>
      </c>
      <c r="BY140" s="230">
        <v>2536875</v>
      </c>
      <c r="BZ140" s="230">
        <v>648125</v>
      </c>
      <c r="CA140" s="229">
        <v>0.2555</v>
      </c>
      <c r="CB140" s="230">
        <v>2913750</v>
      </c>
      <c r="CC140" s="230">
        <v>2399375</v>
      </c>
      <c r="CD140" s="230">
        <v>514375</v>
      </c>
      <c r="CE140" s="229">
        <v>0.21440000000000001</v>
      </c>
      <c r="CF140" s="230">
        <v>266250</v>
      </c>
      <c r="CG140" s="230">
        <v>130000</v>
      </c>
      <c r="CH140" s="230">
        <v>136250</v>
      </c>
      <c r="CI140" s="229">
        <v>1.0481</v>
      </c>
      <c r="CJ140" s="230">
        <v>5000</v>
      </c>
      <c r="CK140" s="230">
        <v>7500</v>
      </c>
      <c r="CL140" s="230">
        <v>-2500</v>
      </c>
      <c r="CM140" s="229">
        <v>-0.33329999999999999</v>
      </c>
      <c r="CN140" s="230">
        <v>730000</v>
      </c>
      <c r="CO140" s="230">
        <v>766250</v>
      </c>
      <c r="CP140" s="230">
        <v>-36250</v>
      </c>
      <c r="CQ140" s="229">
        <v>-4.7300000000000002E-2</v>
      </c>
      <c r="CR140" s="230">
        <v>529375</v>
      </c>
      <c r="CS140" s="230">
        <v>444375</v>
      </c>
      <c r="CT140" s="230">
        <v>85000</v>
      </c>
      <c r="CU140" s="229">
        <v>0.1913</v>
      </c>
      <c r="CV140" s="230">
        <v>4444375</v>
      </c>
      <c r="CW140" s="230">
        <v>3747500</v>
      </c>
      <c r="CX140" s="230">
        <v>696875</v>
      </c>
      <c r="CY140" s="229">
        <v>0.186</v>
      </c>
      <c r="CZ140" s="228">
        <v>49.63</v>
      </c>
      <c r="DA140" s="228">
        <v>63.05</v>
      </c>
      <c r="DB140" s="228">
        <v>-13.42</v>
      </c>
      <c r="DC140" s="228">
        <v>-13.42</v>
      </c>
      <c r="DD140" s="228">
        <v>49.99</v>
      </c>
      <c r="DE140" s="228">
        <v>49.64</v>
      </c>
      <c r="DF140" s="228">
        <v>-0.36</v>
      </c>
      <c r="DG140" s="228">
        <v>0.35</v>
      </c>
      <c r="DH140" s="228">
        <v>47.62</v>
      </c>
      <c r="DI140" s="228">
        <v>49.16</v>
      </c>
      <c r="DJ140" s="228">
        <v>-1.54</v>
      </c>
      <c r="DK140" s="228">
        <v>-1.54</v>
      </c>
      <c r="DL140" s="228">
        <v>57.45</v>
      </c>
      <c r="DM140" s="228">
        <v>74.06</v>
      </c>
      <c r="DN140" s="228">
        <v>-16.61</v>
      </c>
      <c r="DO140" s="228">
        <v>-16.61</v>
      </c>
      <c r="DP140" s="228">
        <v>0.73</v>
      </c>
      <c r="DQ140" s="228">
        <v>0.57999999999999996</v>
      </c>
      <c r="DR140" s="228">
        <v>0.15</v>
      </c>
      <c r="DS140" s="229">
        <v>0.2586</v>
      </c>
      <c r="DT140" s="231">
        <v>1000</v>
      </c>
      <c r="DU140" s="231">
        <v>1000</v>
      </c>
      <c r="DV140" s="228">
        <v>0.26</v>
      </c>
      <c r="DW140" s="228">
        <v>1.26</v>
      </c>
      <c r="DX140" s="228">
        <v>-1</v>
      </c>
      <c r="DY140" s="229">
        <v>-0.79369999999999996</v>
      </c>
      <c r="DZ140" s="229">
        <v>8.5199999999999998E-2</v>
      </c>
      <c r="EA140" s="230">
        <v>137500</v>
      </c>
      <c r="EB140" s="229">
        <v>-1.01E-2</v>
      </c>
      <c r="EC140" s="229">
        <v>8.5199999999999998E-2</v>
      </c>
      <c r="ED140" s="228">
        <v>-8.32</v>
      </c>
      <c r="EE140" s="229">
        <v>-8.3999999999999995E-3</v>
      </c>
      <c r="EF140" s="230">
        <v>1302884</v>
      </c>
      <c r="EG140" s="230">
        <v>942545</v>
      </c>
      <c r="EH140" s="229">
        <v>0.38229999999999997</v>
      </c>
      <c r="EI140" s="229">
        <v>0.54390000000000005</v>
      </c>
      <c r="EJ140" s="231">
        <v>27431.1</v>
      </c>
      <c r="EK140" s="231">
        <v>6185.95</v>
      </c>
      <c r="EL140" s="231">
        <v>15246.77</v>
      </c>
      <c r="EM140" s="231">
        <v>1875</v>
      </c>
      <c r="EN140" s="231">
        <v>48863.82</v>
      </c>
      <c r="EO140" s="231">
        <v>44040.01</v>
      </c>
      <c r="EP140" s="231">
        <v>4823.8100000000004</v>
      </c>
      <c r="EQ140" s="229">
        <v>0.1095</v>
      </c>
      <c r="ER140" s="231">
        <v>7190</v>
      </c>
      <c r="ES140" s="231">
        <v>4623</v>
      </c>
      <c r="ET140" s="231">
        <v>31823</v>
      </c>
      <c r="EU140" s="231">
        <v>26709548</v>
      </c>
      <c r="EV140" s="231">
        <v>43636</v>
      </c>
      <c r="EW140" s="231">
        <v>35692</v>
      </c>
      <c r="EX140" s="231">
        <v>7944</v>
      </c>
      <c r="EY140" s="229">
        <v>0.22259999999999999</v>
      </c>
      <c r="EZ140" s="229">
        <v>0.16639999999999999</v>
      </c>
      <c r="FA140" s="227" t="s">
        <v>555</v>
      </c>
      <c r="FB140" s="161">
        <f>BX140-CB140</f>
        <v>271250</v>
      </c>
    </row>
    <row r="141" spans="1:158" ht="17.25" thickBot="1" x14ac:dyDescent="0.3">
      <c r="A141" s="226">
        <v>46129</v>
      </c>
      <c r="B141" s="227" t="s">
        <v>227</v>
      </c>
      <c r="C141" s="227" t="s">
        <v>263</v>
      </c>
      <c r="D141" s="228">
        <v>3750</v>
      </c>
      <c r="E141" s="228">
        <v>438.65</v>
      </c>
      <c r="F141" s="228">
        <v>434</v>
      </c>
      <c r="G141" s="228">
        <v>4.6500000000000004</v>
      </c>
      <c r="H141" s="229">
        <v>1.0699999999999999E-2</v>
      </c>
      <c r="I141" s="228">
        <v>438.75</v>
      </c>
      <c r="J141" s="228">
        <v>432.7</v>
      </c>
      <c r="K141" s="228">
        <v>6.05</v>
      </c>
      <c r="L141" s="229">
        <v>1.4E-2</v>
      </c>
      <c r="M141" s="228">
        <v>438.65</v>
      </c>
      <c r="N141" s="228">
        <v>434</v>
      </c>
      <c r="O141" s="228">
        <v>4.6500000000000004</v>
      </c>
      <c r="P141" s="229">
        <v>1.0699999999999999E-2</v>
      </c>
      <c r="Q141" s="228">
        <v>440.5</v>
      </c>
      <c r="R141" s="228">
        <v>436.15</v>
      </c>
      <c r="S141" s="228">
        <v>4.3499999999999996</v>
      </c>
      <c r="T141" s="229">
        <v>0.01</v>
      </c>
      <c r="U141" s="228">
        <v>442.3</v>
      </c>
      <c r="V141" s="228">
        <v>438.7</v>
      </c>
      <c r="W141" s="228">
        <v>3.6</v>
      </c>
      <c r="X141" s="229">
        <v>8.2000000000000007E-3</v>
      </c>
      <c r="Y141" s="228">
        <v>-0.1</v>
      </c>
      <c r="Z141" s="228">
        <v>1.3</v>
      </c>
      <c r="AA141" s="228">
        <v>-1.4</v>
      </c>
      <c r="AB141" s="229">
        <v>-2.0000000000000001E-4</v>
      </c>
      <c r="AC141" s="228">
        <v>-0.1</v>
      </c>
      <c r="AD141" s="228">
        <v>1.3</v>
      </c>
      <c r="AE141" s="228">
        <v>-1.4</v>
      </c>
      <c r="AF141" s="229">
        <v>-2.0000000000000001E-4</v>
      </c>
      <c r="AG141" s="228">
        <v>1.75</v>
      </c>
      <c r="AH141" s="228">
        <v>3.45</v>
      </c>
      <c r="AI141" s="228">
        <v>-1.7</v>
      </c>
      <c r="AJ141" s="229">
        <v>4.0000000000000001E-3</v>
      </c>
      <c r="AK141" s="228">
        <v>3.55</v>
      </c>
      <c r="AL141" s="228">
        <v>6</v>
      </c>
      <c r="AM141" s="228">
        <v>-2.4500000000000002</v>
      </c>
      <c r="AN141" s="229">
        <v>8.0999999999999996E-3</v>
      </c>
      <c r="AO141" s="228">
        <v>433.49</v>
      </c>
      <c r="AP141" s="228">
        <v>436.07</v>
      </c>
      <c r="AQ141" s="228">
        <v>0</v>
      </c>
      <c r="AR141" s="230">
        <v>17906250</v>
      </c>
      <c r="AS141" s="230">
        <v>22927500</v>
      </c>
      <c r="AT141" s="230">
        <v>-5021250</v>
      </c>
      <c r="AU141" s="229">
        <v>-0.219</v>
      </c>
      <c r="AV141" s="230">
        <v>15427500</v>
      </c>
      <c r="AW141" s="230">
        <v>20175000</v>
      </c>
      <c r="AX141" s="230">
        <v>-4747500</v>
      </c>
      <c r="AY141" s="229">
        <v>-0.23530000000000001</v>
      </c>
      <c r="AZ141" s="230">
        <v>2261250</v>
      </c>
      <c r="BA141" s="230">
        <v>2396250</v>
      </c>
      <c r="BB141" s="230">
        <v>-135000</v>
      </c>
      <c r="BC141" s="229">
        <v>-5.6300000000000003E-2</v>
      </c>
      <c r="BD141" s="230">
        <v>217500</v>
      </c>
      <c r="BE141" s="230">
        <v>356250</v>
      </c>
      <c r="BF141" s="230">
        <v>-138750</v>
      </c>
      <c r="BG141" s="229">
        <v>-0.38950000000000001</v>
      </c>
      <c r="BH141" s="230">
        <v>60705000</v>
      </c>
      <c r="BI141" s="230">
        <v>91001250</v>
      </c>
      <c r="BJ141" s="230">
        <v>-30296250</v>
      </c>
      <c r="BK141" s="229">
        <v>-0.33289999999999997</v>
      </c>
      <c r="BL141" s="230">
        <v>33146250</v>
      </c>
      <c r="BM141" s="230">
        <v>36465000</v>
      </c>
      <c r="BN141" s="230">
        <v>-3318750</v>
      </c>
      <c r="BO141" s="229">
        <v>-9.0999999999999998E-2</v>
      </c>
      <c r="BP141" s="230">
        <v>111757500</v>
      </c>
      <c r="BQ141" s="230">
        <v>150393750</v>
      </c>
      <c r="BR141" s="230">
        <v>-38636250</v>
      </c>
      <c r="BS141" s="229">
        <v>-0.25690000000000002</v>
      </c>
      <c r="BT141" s="230">
        <v>9158674</v>
      </c>
      <c r="BU141" s="230">
        <v>13984467</v>
      </c>
      <c r="BV141" s="230">
        <v>-4825793</v>
      </c>
      <c r="BW141" s="229">
        <v>-0.34510000000000002</v>
      </c>
      <c r="BX141" s="230">
        <v>54120000</v>
      </c>
      <c r="BY141" s="230">
        <v>54168750</v>
      </c>
      <c r="BZ141" s="230">
        <v>-48750</v>
      </c>
      <c r="CA141" s="229">
        <v>-8.9999999999999998E-4</v>
      </c>
      <c r="CB141" s="230">
        <v>51131250</v>
      </c>
      <c r="CC141" s="230">
        <v>51307500</v>
      </c>
      <c r="CD141" s="230">
        <v>-176250</v>
      </c>
      <c r="CE141" s="229">
        <v>-3.3999999999999998E-3</v>
      </c>
      <c r="CF141" s="230">
        <v>2550000</v>
      </c>
      <c r="CG141" s="230">
        <v>2460000</v>
      </c>
      <c r="CH141" s="230">
        <v>90000</v>
      </c>
      <c r="CI141" s="229">
        <v>3.6600000000000001E-2</v>
      </c>
      <c r="CJ141" s="230">
        <v>438750</v>
      </c>
      <c r="CK141" s="230">
        <v>401250</v>
      </c>
      <c r="CL141" s="230">
        <v>37500</v>
      </c>
      <c r="CM141" s="229">
        <v>9.35E-2</v>
      </c>
      <c r="CN141" s="230">
        <v>34098750</v>
      </c>
      <c r="CO141" s="230">
        <v>35760000</v>
      </c>
      <c r="CP141" s="230">
        <v>-1661250</v>
      </c>
      <c r="CQ141" s="229">
        <v>-4.65E-2</v>
      </c>
      <c r="CR141" s="230">
        <v>34046250</v>
      </c>
      <c r="CS141" s="230">
        <v>33168750</v>
      </c>
      <c r="CT141" s="230">
        <v>877500</v>
      </c>
      <c r="CU141" s="229">
        <v>2.6499999999999999E-2</v>
      </c>
      <c r="CV141" s="230">
        <v>122265000</v>
      </c>
      <c r="CW141" s="230">
        <v>123097500</v>
      </c>
      <c r="CX141" s="230">
        <v>-832500</v>
      </c>
      <c r="CY141" s="229">
        <v>-6.7999999999999996E-3</v>
      </c>
      <c r="CZ141" s="228">
        <v>40.85</v>
      </c>
      <c r="DA141" s="228">
        <v>41.92</v>
      </c>
      <c r="DB141" s="228">
        <v>-1.07</v>
      </c>
      <c r="DC141" s="228">
        <v>-1.07</v>
      </c>
      <c r="DD141" s="228">
        <v>51.68</v>
      </c>
      <c r="DE141" s="228">
        <v>51.78</v>
      </c>
      <c r="DF141" s="228">
        <v>-10.83</v>
      </c>
      <c r="DG141" s="228">
        <v>-0.1</v>
      </c>
      <c r="DH141" s="228">
        <v>39.68</v>
      </c>
      <c r="DI141" s="228">
        <v>41.24</v>
      </c>
      <c r="DJ141" s="228">
        <v>-1.56</v>
      </c>
      <c r="DK141" s="228">
        <v>-1.56</v>
      </c>
      <c r="DL141" s="228">
        <v>43</v>
      </c>
      <c r="DM141" s="228">
        <v>43.64</v>
      </c>
      <c r="DN141" s="228">
        <v>-0.64</v>
      </c>
      <c r="DO141" s="228">
        <v>-0.64</v>
      </c>
      <c r="DP141" s="228">
        <v>1</v>
      </c>
      <c r="DQ141" s="228">
        <v>0.93</v>
      </c>
      <c r="DR141" s="228">
        <v>7.0000000000000007E-2</v>
      </c>
      <c r="DS141" s="229">
        <v>7.5300000000000006E-2</v>
      </c>
      <c r="DT141" s="228">
        <v>440</v>
      </c>
      <c r="DU141" s="228">
        <v>400</v>
      </c>
      <c r="DV141" s="228">
        <v>0.55000000000000004</v>
      </c>
      <c r="DW141" s="228">
        <v>0.4</v>
      </c>
      <c r="DX141" s="228">
        <v>0.15</v>
      </c>
      <c r="DY141" s="229">
        <v>0.375</v>
      </c>
      <c r="DZ141" s="229">
        <v>5.5199999999999999E-2</v>
      </c>
      <c r="EA141" s="230">
        <v>2861250</v>
      </c>
      <c r="EB141" s="229">
        <v>4.1999999999999997E-3</v>
      </c>
      <c r="EC141" s="229">
        <v>5.5199999999999999E-2</v>
      </c>
      <c r="ED141" s="228">
        <v>2.58</v>
      </c>
      <c r="EE141" s="229">
        <v>6.0000000000000001E-3</v>
      </c>
      <c r="EF141" s="230">
        <v>3801390</v>
      </c>
      <c r="EG141" s="230">
        <v>5113419</v>
      </c>
      <c r="EH141" s="229">
        <v>-0.25659999999999999</v>
      </c>
      <c r="EI141" s="229">
        <v>0.41510000000000002</v>
      </c>
      <c r="EJ141" s="231">
        <v>276689.57</v>
      </c>
      <c r="EK141" s="231">
        <v>139219.91</v>
      </c>
      <c r="EL141" s="231">
        <v>77686.84</v>
      </c>
      <c r="EM141" s="231">
        <v>5708</v>
      </c>
      <c r="EN141" s="231">
        <v>493596.32</v>
      </c>
      <c r="EO141" s="231">
        <v>666737.93000000005</v>
      </c>
      <c r="EP141" s="231">
        <v>-173141.61</v>
      </c>
      <c r="EQ141" s="229">
        <v>-0.25969999999999999</v>
      </c>
      <c r="ER141" s="231">
        <v>146787</v>
      </c>
      <c r="ES141" s="231">
        <v>133111</v>
      </c>
      <c r="ET141" s="231">
        <v>237461</v>
      </c>
      <c r="EU141" s="231">
        <v>134225816</v>
      </c>
      <c r="EV141" s="231">
        <v>517359</v>
      </c>
      <c r="EW141" s="231">
        <v>518106</v>
      </c>
      <c r="EX141" s="228">
        <v>-747</v>
      </c>
      <c r="EY141" s="229">
        <v>-1.4E-3</v>
      </c>
      <c r="EZ141" s="229">
        <v>0.91090000000000004</v>
      </c>
      <c r="FA141" s="227" t="s">
        <v>693</v>
      </c>
      <c r="FB141" s="161">
        <f>BX220-CB220</f>
        <v>293400</v>
      </c>
    </row>
    <row r="142" spans="1:158" ht="17.25" thickBot="1" x14ac:dyDescent="0.3">
      <c r="A142" s="226">
        <v>46129</v>
      </c>
      <c r="B142" s="227" t="s">
        <v>614</v>
      </c>
      <c r="C142" s="227" t="s">
        <v>264</v>
      </c>
      <c r="D142" s="228">
        <v>375</v>
      </c>
      <c r="E142" s="231">
        <v>1055.5</v>
      </c>
      <c r="F142" s="231">
        <v>1051.0999999999999</v>
      </c>
      <c r="G142" s="228">
        <v>4.4000000000000004</v>
      </c>
      <c r="H142" s="229">
        <v>4.1999999999999997E-3</v>
      </c>
      <c r="I142" s="231">
        <v>1054.55</v>
      </c>
      <c r="J142" s="231">
        <v>1047.7</v>
      </c>
      <c r="K142" s="228">
        <v>6.85</v>
      </c>
      <c r="L142" s="229">
        <v>6.4999999999999997E-3</v>
      </c>
      <c r="M142" s="231">
        <v>1055.5</v>
      </c>
      <c r="N142" s="231">
        <v>1051.0999999999999</v>
      </c>
      <c r="O142" s="228">
        <v>4.4000000000000004</v>
      </c>
      <c r="P142" s="229">
        <v>4.1999999999999997E-3</v>
      </c>
      <c r="Q142" s="231">
        <v>1054</v>
      </c>
      <c r="R142" s="231">
        <v>1048.2</v>
      </c>
      <c r="S142" s="228">
        <v>5.8</v>
      </c>
      <c r="T142" s="229">
        <v>5.4999999999999997E-3</v>
      </c>
      <c r="U142" s="231">
        <v>1057.05</v>
      </c>
      <c r="V142" s="231">
        <v>1049.8</v>
      </c>
      <c r="W142" s="228">
        <v>7.25</v>
      </c>
      <c r="X142" s="229">
        <v>6.8999999999999999E-3</v>
      </c>
      <c r="Y142" s="228">
        <v>0.95</v>
      </c>
      <c r="Z142" s="228">
        <v>3.4</v>
      </c>
      <c r="AA142" s="228">
        <v>-2.4500000000000002</v>
      </c>
      <c r="AB142" s="229">
        <v>8.9999999999999998E-4</v>
      </c>
      <c r="AC142" s="228">
        <v>0.95</v>
      </c>
      <c r="AD142" s="228">
        <v>3.4</v>
      </c>
      <c r="AE142" s="228">
        <v>-2.4500000000000002</v>
      </c>
      <c r="AF142" s="229">
        <v>8.9999999999999998E-4</v>
      </c>
      <c r="AG142" s="228">
        <v>-0.55000000000000004</v>
      </c>
      <c r="AH142" s="228">
        <v>0.5</v>
      </c>
      <c r="AI142" s="228">
        <v>-1.05</v>
      </c>
      <c r="AJ142" s="229">
        <v>-5.0000000000000001E-4</v>
      </c>
      <c r="AK142" s="228">
        <v>2.5</v>
      </c>
      <c r="AL142" s="228">
        <v>2.1</v>
      </c>
      <c r="AM142" s="228">
        <v>0.4</v>
      </c>
      <c r="AN142" s="229">
        <v>2.3999999999999998E-3</v>
      </c>
      <c r="AO142" s="231">
        <v>1051.51</v>
      </c>
      <c r="AP142" s="231">
        <v>1050.4000000000001</v>
      </c>
      <c r="AQ142" s="228">
        <v>0</v>
      </c>
      <c r="AR142" s="230">
        <v>1220250</v>
      </c>
      <c r="AS142" s="230">
        <v>1863750</v>
      </c>
      <c r="AT142" s="230">
        <v>-643500</v>
      </c>
      <c r="AU142" s="229">
        <v>-0.3453</v>
      </c>
      <c r="AV142" s="230">
        <v>1143375</v>
      </c>
      <c r="AW142" s="230">
        <v>1762500</v>
      </c>
      <c r="AX142" s="230">
        <v>-619125</v>
      </c>
      <c r="AY142" s="229">
        <v>-0.3513</v>
      </c>
      <c r="AZ142" s="230">
        <v>68625</v>
      </c>
      <c r="BA142" s="230">
        <v>76500</v>
      </c>
      <c r="BB142" s="230">
        <v>-7875</v>
      </c>
      <c r="BC142" s="229">
        <v>-0.10290000000000001</v>
      </c>
      <c r="BD142" s="230">
        <v>8250</v>
      </c>
      <c r="BE142" s="230">
        <v>24750</v>
      </c>
      <c r="BF142" s="230">
        <v>-16500</v>
      </c>
      <c r="BG142" s="229">
        <v>-0.66669999999999996</v>
      </c>
      <c r="BH142" s="230">
        <v>2352000</v>
      </c>
      <c r="BI142" s="230">
        <v>3505125</v>
      </c>
      <c r="BJ142" s="230">
        <v>-1153125</v>
      </c>
      <c r="BK142" s="229">
        <v>-0.32900000000000001</v>
      </c>
      <c r="BL142" s="230">
        <v>1009500</v>
      </c>
      <c r="BM142" s="230">
        <v>1116375</v>
      </c>
      <c r="BN142" s="230">
        <v>-106875</v>
      </c>
      <c r="BO142" s="229">
        <v>-9.5699999999999993E-2</v>
      </c>
      <c r="BP142" s="230">
        <v>4581750</v>
      </c>
      <c r="BQ142" s="230">
        <v>6485250</v>
      </c>
      <c r="BR142" s="230">
        <v>-1903500</v>
      </c>
      <c r="BS142" s="229">
        <v>-0.29349999999999998</v>
      </c>
      <c r="BT142" s="230">
        <v>1055380</v>
      </c>
      <c r="BU142" s="230">
        <v>1358131</v>
      </c>
      <c r="BV142" s="230">
        <v>-302751</v>
      </c>
      <c r="BW142" s="229">
        <v>-0.22289999999999999</v>
      </c>
      <c r="BX142" s="230">
        <v>9961500</v>
      </c>
      <c r="BY142" s="230">
        <v>10165500</v>
      </c>
      <c r="BZ142" s="230">
        <v>-204000</v>
      </c>
      <c r="CA142" s="229">
        <v>-2.01E-2</v>
      </c>
      <c r="CB142" s="230">
        <v>9742125</v>
      </c>
      <c r="CC142" s="230">
        <v>9947250</v>
      </c>
      <c r="CD142" s="230">
        <v>-205125</v>
      </c>
      <c r="CE142" s="229">
        <v>-2.06E-2</v>
      </c>
      <c r="CF142" s="230">
        <v>190125</v>
      </c>
      <c r="CG142" s="230">
        <v>189750</v>
      </c>
      <c r="CH142" s="228">
        <v>375</v>
      </c>
      <c r="CI142" s="229">
        <v>2E-3</v>
      </c>
      <c r="CJ142" s="230">
        <v>29250</v>
      </c>
      <c r="CK142" s="230">
        <v>28500</v>
      </c>
      <c r="CL142" s="228">
        <v>750</v>
      </c>
      <c r="CM142" s="229">
        <v>2.63E-2</v>
      </c>
      <c r="CN142" s="230">
        <v>3109500</v>
      </c>
      <c r="CO142" s="230">
        <v>2860125</v>
      </c>
      <c r="CP142" s="230">
        <v>249375</v>
      </c>
      <c r="CQ142" s="229">
        <v>8.72E-2</v>
      </c>
      <c r="CR142" s="230">
        <v>1347000</v>
      </c>
      <c r="CS142" s="230">
        <v>1299375</v>
      </c>
      <c r="CT142" s="230">
        <v>47625</v>
      </c>
      <c r="CU142" s="229">
        <v>3.6700000000000003E-2</v>
      </c>
      <c r="CV142" s="230">
        <v>14418000</v>
      </c>
      <c r="CW142" s="230">
        <v>14325000</v>
      </c>
      <c r="CX142" s="230">
        <v>93000</v>
      </c>
      <c r="CY142" s="229">
        <v>6.4999999999999997E-3</v>
      </c>
      <c r="CZ142" s="228">
        <v>30.38</v>
      </c>
      <c r="DA142" s="228">
        <v>31.52</v>
      </c>
      <c r="DB142" s="228">
        <v>-1.1399999999999999</v>
      </c>
      <c r="DC142" s="228">
        <v>-1.1399999999999999</v>
      </c>
      <c r="DD142" s="228">
        <v>36.69</v>
      </c>
      <c r="DE142" s="228">
        <v>36.770000000000003</v>
      </c>
      <c r="DF142" s="228">
        <v>-6.31</v>
      </c>
      <c r="DG142" s="228">
        <v>-0.08</v>
      </c>
      <c r="DH142" s="228">
        <v>29.16</v>
      </c>
      <c r="DI142" s="228">
        <v>30.49</v>
      </c>
      <c r="DJ142" s="228">
        <v>-1.33</v>
      </c>
      <c r="DK142" s="228">
        <v>-1.33</v>
      </c>
      <c r="DL142" s="228">
        <v>33.24</v>
      </c>
      <c r="DM142" s="228">
        <v>34.75</v>
      </c>
      <c r="DN142" s="228">
        <v>-1.51</v>
      </c>
      <c r="DO142" s="228">
        <v>-1.51</v>
      </c>
      <c r="DP142" s="228">
        <v>0.43</v>
      </c>
      <c r="DQ142" s="228">
        <v>0.45</v>
      </c>
      <c r="DR142" s="228">
        <v>-0.02</v>
      </c>
      <c r="DS142" s="229">
        <v>-4.4400000000000002E-2</v>
      </c>
      <c r="DT142" s="231">
        <v>1100</v>
      </c>
      <c r="DU142" s="231">
        <v>1000</v>
      </c>
      <c r="DV142" s="228">
        <v>0.43</v>
      </c>
      <c r="DW142" s="228">
        <v>0.32</v>
      </c>
      <c r="DX142" s="228">
        <v>0.11</v>
      </c>
      <c r="DY142" s="229">
        <v>0.34370000000000001</v>
      </c>
      <c r="DZ142" s="229">
        <v>2.1999999999999999E-2</v>
      </c>
      <c r="EA142" s="230">
        <v>218250</v>
      </c>
      <c r="EB142" s="229">
        <v>-1.4E-3</v>
      </c>
      <c r="EC142" s="229">
        <v>2.1999999999999999E-2</v>
      </c>
      <c r="ED142" s="228">
        <v>-1.1100000000000001</v>
      </c>
      <c r="EE142" s="229">
        <v>-1.1000000000000001E-3</v>
      </c>
      <c r="EF142" s="230">
        <v>567858</v>
      </c>
      <c r="EG142" s="230">
        <v>769711</v>
      </c>
      <c r="EH142" s="229">
        <v>-0.26219999999999999</v>
      </c>
      <c r="EI142" s="229">
        <v>0.53810000000000002</v>
      </c>
      <c r="EJ142" s="231">
        <v>25656</v>
      </c>
      <c r="EK142" s="231">
        <v>10362.59</v>
      </c>
      <c r="EL142" s="231">
        <v>12830.45</v>
      </c>
      <c r="EM142" s="231">
        <v>5278</v>
      </c>
      <c r="EN142" s="231">
        <v>48849.04</v>
      </c>
      <c r="EO142" s="231">
        <v>68816.179999999993</v>
      </c>
      <c r="EP142" s="231">
        <v>-19967.14</v>
      </c>
      <c r="EQ142" s="229">
        <v>-0.29020000000000001</v>
      </c>
      <c r="ER142" s="231">
        <v>33037</v>
      </c>
      <c r="ES142" s="231">
        <v>13395</v>
      </c>
      <c r="ET142" s="231">
        <v>105141</v>
      </c>
      <c r="EU142" s="231">
        <v>60562281</v>
      </c>
      <c r="EV142" s="231">
        <v>151574</v>
      </c>
      <c r="EW142" s="231">
        <v>149910</v>
      </c>
      <c r="EX142" s="231">
        <v>1664</v>
      </c>
      <c r="EY142" s="229">
        <v>1.11E-2</v>
      </c>
      <c r="EZ142" s="229">
        <v>0.23810000000000001</v>
      </c>
      <c r="FA142" s="227" t="s">
        <v>693</v>
      </c>
      <c r="FB142" s="161">
        <f t="shared" ref="FB142:FB161" si="3">BX221-CB221</f>
        <v>0</v>
      </c>
    </row>
    <row r="143" spans="1:158" ht="17.25" thickBot="1" x14ac:dyDescent="0.3">
      <c r="A143" s="226">
        <v>46129</v>
      </c>
      <c r="B143" s="227" t="s">
        <v>206</v>
      </c>
      <c r="C143" s="227" t="s">
        <v>550</v>
      </c>
      <c r="D143" s="228">
        <v>6500</v>
      </c>
      <c r="E143" s="228">
        <v>94.45</v>
      </c>
      <c r="F143" s="228">
        <v>93.3</v>
      </c>
      <c r="G143" s="228">
        <v>1.1499999999999999</v>
      </c>
      <c r="H143" s="229">
        <v>1.23E-2</v>
      </c>
      <c r="I143" s="228">
        <v>94.32</v>
      </c>
      <c r="J143" s="228">
        <v>93.05</v>
      </c>
      <c r="K143" s="228">
        <v>1.27</v>
      </c>
      <c r="L143" s="229">
        <v>1.3599999999999999E-2</v>
      </c>
      <c r="M143" s="228">
        <v>94.45</v>
      </c>
      <c r="N143" s="228">
        <v>93.3</v>
      </c>
      <c r="O143" s="228">
        <v>1.1499999999999999</v>
      </c>
      <c r="P143" s="229">
        <v>1.23E-2</v>
      </c>
      <c r="Q143" s="228">
        <v>95.03</v>
      </c>
      <c r="R143" s="228">
        <v>93.74</v>
      </c>
      <c r="S143" s="228">
        <v>1.29</v>
      </c>
      <c r="T143" s="229">
        <v>1.38E-2</v>
      </c>
      <c r="U143" s="228">
        <v>95.7</v>
      </c>
      <c r="V143" s="228">
        <v>94.26</v>
      </c>
      <c r="W143" s="228">
        <v>1.44</v>
      </c>
      <c r="X143" s="229">
        <v>1.5299999999999999E-2</v>
      </c>
      <c r="Y143" s="228">
        <v>0.13</v>
      </c>
      <c r="Z143" s="228">
        <v>0.25</v>
      </c>
      <c r="AA143" s="228">
        <v>-0.12</v>
      </c>
      <c r="AB143" s="229">
        <v>1.4E-3</v>
      </c>
      <c r="AC143" s="228">
        <v>0.13</v>
      </c>
      <c r="AD143" s="228">
        <v>0.25</v>
      </c>
      <c r="AE143" s="228">
        <v>-0.12</v>
      </c>
      <c r="AF143" s="229">
        <v>1.4E-3</v>
      </c>
      <c r="AG143" s="228">
        <v>0.71</v>
      </c>
      <c r="AH143" s="228">
        <v>0.69</v>
      </c>
      <c r="AI143" s="228">
        <v>0.02</v>
      </c>
      <c r="AJ143" s="229">
        <v>7.4999999999999997E-3</v>
      </c>
      <c r="AK143" s="228">
        <v>1.38</v>
      </c>
      <c r="AL143" s="228">
        <v>1.21</v>
      </c>
      <c r="AM143" s="228">
        <v>0.17</v>
      </c>
      <c r="AN143" s="229">
        <v>1.46E-2</v>
      </c>
      <c r="AO143" s="228">
        <v>94.05</v>
      </c>
      <c r="AP143" s="228">
        <v>94.74</v>
      </c>
      <c r="AQ143" s="228">
        <v>0</v>
      </c>
      <c r="AR143" s="230">
        <v>14410500</v>
      </c>
      <c r="AS143" s="230">
        <v>10335000</v>
      </c>
      <c r="AT143" s="230">
        <v>4075500</v>
      </c>
      <c r="AU143" s="229">
        <v>0.39429999999999998</v>
      </c>
      <c r="AV143" s="230">
        <v>10114000</v>
      </c>
      <c r="AW143" s="230">
        <v>8573500</v>
      </c>
      <c r="AX143" s="230">
        <v>1540500</v>
      </c>
      <c r="AY143" s="229">
        <v>0.1797</v>
      </c>
      <c r="AZ143" s="230">
        <v>4075500</v>
      </c>
      <c r="BA143" s="230">
        <v>1540500</v>
      </c>
      <c r="BB143" s="230">
        <v>2535000</v>
      </c>
      <c r="BC143" s="229">
        <v>1.6456</v>
      </c>
      <c r="BD143" s="230">
        <v>221000</v>
      </c>
      <c r="BE143" s="230">
        <v>221000</v>
      </c>
      <c r="BF143" s="228">
        <v>0</v>
      </c>
      <c r="BG143" s="229">
        <v>0</v>
      </c>
      <c r="BH143" s="230">
        <v>23172500</v>
      </c>
      <c r="BI143" s="230">
        <v>15905500</v>
      </c>
      <c r="BJ143" s="230">
        <v>7267000</v>
      </c>
      <c r="BK143" s="229">
        <v>0.45689999999999997</v>
      </c>
      <c r="BL143" s="230">
        <v>9737000</v>
      </c>
      <c r="BM143" s="230">
        <v>7384000</v>
      </c>
      <c r="BN143" s="230">
        <v>2353000</v>
      </c>
      <c r="BO143" s="229">
        <v>0.31869999999999998</v>
      </c>
      <c r="BP143" s="230">
        <v>47320000</v>
      </c>
      <c r="BQ143" s="230">
        <v>33624500</v>
      </c>
      <c r="BR143" s="230">
        <v>13695500</v>
      </c>
      <c r="BS143" s="229">
        <v>0.4073</v>
      </c>
      <c r="BT143" s="230">
        <v>12279043</v>
      </c>
      <c r="BU143" s="230">
        <v>13482294</v>
      </c>
      <c r="BV143" s="230">
        <v>-1203251</v>
      </c>
      <c r="BW143" s="229">
        <v>-8.9200000000000002E-2</v>
      </c>
      <c r="BX143" s="230">
        <v>79170000</v>
      </c>
      <c r="BY143" s="230">
        <v>76810500</v>
      </c>
      <c r="BZ143" s="230">
        <v>2359500</v>
      </c>
      <c r="CA143" s="229">
        <v>3.0700000000000002E-2</v>
      </c>
      <c r="CB143" s="230">
        <v>73365500</v>
      </c>
      <c r="CC143" s="230">
        <v>73404500</v>
      </c>
      <c r="CD143" s="230">
        <v>-39000</v>
      </c>
      <c r="CE143" s="229">
        <v>-5.0000000000000001E-4</v>
      </c>
      <c r="CF143" s="230">
        <v>5297500</v>
      </c>
      <c r="CG143" s="230">
        <v>3022500</v>
      </c>
      <c r="CH143" s="230">
        <v>2275000</v>
      </c>
      <c r="CI143" s="229">
        <v>0.75270000000000004</v>
      </c>
      <c r="CJ143" s="230">
        <v>507000</v>
      </c>
      <c r="CK143" s="230">
        <v>383500</v>
      </c>
      <c r="CL143" s="230">
        <v>123500</v>
      </c>
      <c r="CM143" s="229">
        <v>0.32200000000000001</v>
      </c>
      <c r="CN143" s="230">
        <v>20007000</v>
      </c>
      <c r="CO143" s="230">
        <v>17803500</v>
      </c>
      <c r="CP143" s="230">
        <v>2203500</v>
      </c>
      <c r="CQ143" s="229">
        <v>0.12379999999999999</v>
      </c>
      <c r="CR143" s="230">
        <v>13500500</v>
      </c>
      <c r="CS143" s="230">
        <v>13494000</v>
      </c>
      <c r="CT143" s="230">
        <v>6500</v>
      </c>
      <c r="CU143" s="229">
        <v>5.0000000000000001E-4</v>
      </c>
      <c r="CV143" s="230">
        <v>112677500</v>
      </c>
      <c r="CW143" s="230">
        <v>108108000</v>
      </c>
      <c r="CX143" s="230">
        <v>4569500</v>
      </c>
      <c r="CY143" s="229">
        <v>4.2299999999999997E-2</v>
      </c>
      <c r="CZ143" s="228">
        <v>42.22</v>
      </c>
      <c r="DA143" s="228">
        <v>42.28</v>
      </c>
      <c r="DB143" s="228">
        <v>-0.06</v>
      </c>
      <c r="DC143" s="228">
        <v>-0.06</v>
      </c>
      <c r="DD143" s="228">
        <v>51.85</v>
      </c>
      <c r="DE143" s="228">
        <v>51.96</v>
      </c>
      <c r="DF143" s="228">
        <v>-9.6300000000000008</v>
      </c>
      <c r="DG143" s="228">
        <v>-0.11</v>
      </c>
      <c r="DH143" s="228">
        <v>39.46</v>
      </c>
      <c r="DI143" s="228">
        <v>40.479999999999997</v>
      </c>
      <c r="DJ143" s="228">
        <v>-1.02</v>
      </c>
      <c r="DK143" s="228">
        <v>-1.02</v>
      </c>
      <c r="DL143" s="228">
        <v>48.77</v>
      </c>
      <c r="DM143" s="228">
        <v>46.16</v>
      </c>
      <c r="DN143" s="228">
        <v>2.61</v>
      </c>
      <c r="DO143" s="228">
        <v>2.61</v>
      </c>
      <c r="DP143" s="228">
        <v>0.67</v>
      </c>
      <c r="DQ143" s="228">
        <v>0.76</v>
      </c>
      <c r="DR143" s="228">
        <v>-0.09</v>
      </c>
      <c r="DS143" s="229">
        <v>-0.11840000000000001</v>
      </c>
      <c r="DT143" s="228">
        <v>105</v>
      </c>
      <c r="DU143" s="228">
        <v>85</v>
      </c>
      <c r="DV143" s="228">
        <v>0.42</v>
      </c>
      <c r="DW143" s="228">
        <v>0.46</v>
      </c>
      <c r="DX143" s="228">
        <v>-0.04</v>
      </c>
      <c r="DY143" s="229">
        <v>-8.6999999999999994E-2</v>
      </c>
      <c r="DZ143" s="229">
        <v>7.3300000000000004E-2</v>
      </c>
      <c r="EA143" s="230">
        <v>3406000</v>
      </c>
      <c r="EB143" s="229">
        <v>6.1000000000000004E-3</v>
      </c>
      <c r="EC143" s="229">
        <v>7.3300000000000004E-2</v>
      </c>
      <c r="ED143" s="228">
        <v>0.69</v>
      </c>
      <c r="EE143" s="229">
        <v>7.3000000000000001E-3</v>
      </c>
      <c r="EF143" s="230">
        <v>3538105</v>
      </c>
      <c r="EG143" s="230">
        <v>3497220</v>
      </c>
      <c r="EH143" s="229">
        <v>1.17E-2</v>
      </c>
      <c r="EI143" s="229">
        <v>0.28810000000000002</v>
      </c>
      <c r="EJ143" s="231">
        <v>22968.66</v>
      </c>
      <c r="EK143" s="231">
        <v>8635.7999999999993</v>
      </c>
      <c r="EL143" s="231">
        <v>13583.49</v>
      </c>
      <c r="EM143" s="231">
        <v>1223</v>
      </c>
      <c r="EN143" s="231">
        <v>45187.95</v>
      </c>
      <c r="EO143" s="231">
        <v>31664.63</v>
      </c>
      <c r="EP143" s="231">
        <v>13523.32</v>
      </c>
      <c r="EQ143" s="229">
        <v>0.42709999999999998</v>
      </c>
      <c r="ER143" s="231">
        <v>18746</v>
      </c>
      <c r="ES143" s="231">
        <v>11594</v>
      </c>
      <c r="ET143" s="231">
        <v>74813</v>
      </c>
      <c r="EU143" s="231">
        <v>154894704</v>
      </c>
      <c r="EV143" s="231">
        <v>105153</v>
      </c>
      <c r="EW143" s="231">
        <v>99596</v>
      </c>
      <c r="EX143" s="231">
        <v>5557</v>
      </c>
      <c r="EY143" s="229">
        <v>5.5800000000000002E-2</v>
      </c>
      <c r="EZ143" s="229">
        <v>0.72740000000000005</v>
      </c>
      <c r="FA143" s="227" t="s">
        <v>555</v>
      </c>
      <c r="FB143" s="161">
        <f t="shared" si="3"/>
        <v>0</v>
      </c>
    </row>
    <row r="144" spans="1:158" ht="17.25" thickBot="1" x14ac:dyDescent="0.3">
      <c r="A144" s="226">
        <v>46129</v>
      </c>
      <c r="B144" s="227" t="s">
        <v>168</v>
      </c>
      <c r="C144" s="227" t="s">
        <v>265</v>
      </c>
      <c r="D144" s="228">
        <v>500</v>
      </c>
      <c r="E144" s="231">
        <v>1286</v>
      </c>
      <c r="F144" s="231">
        <v>1257.8</v>
      </c>
      <c r="G144" s="228">
        <v>28.2</v>
      </c>
      <c r="H144" s="229">
        <v>2.24E-2</v>
      </c>
      <c r="I144" s="231">
        <v>1285.5999999999999</v>
      </c>
      <c r="J144" s="231">
        <v>1257.4000000000001</v>
      </c>
      <c r="K144" s="228">
        <v>28.2</v>
      </c>
      <c r="L144" s="229">
        <v>2.24E-2</v>
      </c>
      <c r="M144" s="231">
        <v>1286</v>
      </c>
      <c r="N144" s="231">
        <v>1257.8</v>
      </c>
      <c r="O144" s="228">
        <v>28.2</v>
      </c>
      <c r="P144" s="229">
        <v>2.24E-2</v>
      </c>
      <c r="Q144" s="231">
        <v>1293.5</v>
      </c>
      <c r="R144" s="231">
        <v>1265.4000000000001</v>
      </c>
      <c r="S144" s="228">
        <v>28.1</v>
      </c>
      <c r="T144" s="229">
        <v>2.2200000000000001E-2</v>
      </c>
      <c r="U144" s="231">
        <v>1301.0999999999999</v>
      </c>
      <c r="V144" s="231">
        <v>1273</v>
      </c>
      <c r="W144" s="228">
        <v>28.1</v>
      </c>
      <c r="X144" s="229">
        <v>2.2100000000000002E-2</v>
      </c>
      <c r="Y144" s="228">
        <v>0.4</v>
      </c>
      <c r="Z144" s="228">
        <v>0.4</v>
      </c>
      <c r="AA144" s="228">
        <v>0</v>
      </c>
      <c r="AB144" s="229">
        <v>2.9999999999999997E-4</v>
      </c>
      <c r="AC144" s="228">
        <v>0.4</v>
      </c>
      <c r="AD144" s="228">
        <v>0.4</v>
      </c>
      <c r="AE144" s="228">
        <v>0</v>
      </c>
      <c r="AF144" s="229">
        <v>2.9999999999999997E-4</v>
      </c>
      <c r="AG144" s="228">
        <v>7.9</v>
      </c>
      <c r="AH144" s="228">
        <v>8</v>
      </c>
      <c r="AI144" s="228">
        <v>-0.1</v>
      </c>
      <c r="AJ144" s="229">
        <v>6.1000000000000004E-3</v>
      </c>
      <c r="AK144" s="228">
        <v>15.5</v>
      </c>
      <c r="AL144" s="228">
        <v>15.6</v>
      </c>
      <c r="AM144" s="228">
        <v>-0.1</v>
      </c>
      <c r="AN144" s="229">
        <v>1.21E-2</v>
      </c>
      <c r="AO144" s="231">
        <v>1280.6600000000001</v>
      </c>
      <c r="AP144" s="231">
        <v>1286.4000000000001</v>
      </c>
      <c r="AQ144" s="228">
        <v>0</v>
      </c>
      <c r="AR144" s="230">
        <v>2015500</v>
      </c>
      <c r="AS144" s="230">
        <v>3251000</v>
      </c>
      <c r="AT144" s="230">
        <v>-1235500</v>
      </c>
      <c r="AU144" s="229">
        <v>-0.38</v>
      </c>
      <c r="AV144" s="230">
        <v>1844500</v>
      </c>
      <c r="AW144" s="230">
        <v>2459500</v>
      </c>
      <c r="AX144" s="230">
        <v>-615000</v>
      </c>
      <c r="AY144" s="229">
        <v>-0.25009999999999999</v>
      </c>
      <c r="AZ144" s="230">
        <v>164000</v>
      </c>
      <c r="BA144" s="230">
        <v>137500</v>
      </c>
      <c r="BB144" s="230">
        <v>26500</v>
      </c>
      <c r="BC144" s="229">
        <v>0.19270000000000001</v>
      </c>
      <c r="BD144" s="230">
        <v>7000</v>
      </c>
      <c r="BE144" s="230">
        <v>654000</v>
      </c>
      <c r="BF144" s="230">
        <v>-647000</v>
      </c>
      <c r="BG144" s="229">
        <v>-0.98929999999999996</v>
      </c>
      <c r="BH144" s="230">
        <v>9964500</v>
      </c>
      <c r="BI144" s="230">
        <v>4699000</v>
      </c>
      <c r="BJ144" s="230">
        <v>5265500</v>
      </c>
      <c r="BK144" s="229">
        <v>1.1206</v>
      </c>
      <c r="BL144" s="230">
        <v>2599000</v>
      </c>
      <c r="BM144" s="230">
        <v>1891000</v>
      </c>
      <c r="BN144" s="230">
        <v>708000</v>
      </c>
      <c r="BO144" s="229">
        <v>0.37440000000000001</v>
      </c>
      <c r="BP144" s="230">
        <v>14579000</v>
      </c>
      <c r="BQ144" s="230">
        <v>9841000</v>
      </c>
      <c r="BR144" s="230">
        <v>4738000</v>
      </c>
      <c r="BS144" s="229">
        <v>0.48149999999999998</v>
      </c>
      <c r="BT144" s="230">
        <v>2070753</v>
      </c>
      <c r="BU144" s="230">
        <v>1230572</v>
      </c>
      <c r="BV144" s="230">
        <v>840181</v>
      </c>
      <c r="BW144" s="229">
        <v>0.68279999999999996</v>
      </c>
      <c r="BX144" s="230">
        <v>18938000</v>
      </c>
      <c r="BY144" s="230">
        <v>19189000</v>
      </c>
      <c r="BZ144" s="230">
        <v>-251000</v>
      </c>
      <c r="CA144" s="229">
        <v>-1.3100000000000001E-2</v>
      </c>
      <c r="CB144" s="230">
        <v>17624000</v>
      </c>
      <c r="CC144" s="230">
        <v>17897500</v>
      </c>
      <c r="CD144" s="230">
        <v>-273500</v>
      </c>
      <c r="CE144" s="229">
        <v>-1.5299999999999999E-2</v>
      </c>
      <c r="CF144" s="230">
        <v>578000</v>
      </c>
      <c r="CG144" s="230">
        <v>558500</v>
      </c>
      <c r="CH144" s="230">
        <v>19500</v>
      </c>
      <c r="CI144" s="229">
        <v>3.49E-2</v>
      </c>
      <c r="CJ144" s="230">
        <v>736000</v>
      </c>
      <c r="CK144" s="230">
        <v>733000</v>
      </c>
      <c r="CL144" s="230">
        <v>3000</v>
      </c>
      <c r="CM144" s="229">
        <v>4.1000000000000003E-3</v>
      </c>
      <c r="CN144" s="230">
        <v>4183500</v>
      </c>
      <c r="CO144" s="230">
        <v>2885500</v>
      </c>
      <c r="CP144" s="230">
        <v>1298000</v>
      </c>
      <c r="CQ144" s="229">
        <v>0.44979999999999998</v>
      </c>
      <c r="CR144" s="230">
        <v>2351000</v>
      </c>
      <c r="CS144" s="230">
        <v>2025000</v>
      </c>
      <c r="CT144" s="230">
        <v>326000</v>
      </c>
      <c r="CU144" s="229">
        <v>0.161</v>
      </c>
      <c r="CV144" s="230">
        <v>25472500</v>
      </c>
      <c r="CW144" s="230">
        <v>24099500</v>
      </c>
      <c r="CX144" s="230">
        <v>1373000</v>
      </c>
      <c r="CY144" s="229">
        <v>5.7000000000000002E-2</v>
      </c>
      <c r="CZ144" s="228">
        <v>28.7</v>
      </c>
      <c r="DA144" s="228">
        <v>30.66</v>
      </c>
      <c r="DB144" s="228">
        <v>-1.96</v>
      </c>
      <c r="DC144" s="228">
        <v>-1.96</v>
      </c>
      <c r="DD144" s="228">
        <v>23.57</v>
      </c>
      <c r="DE144" s="228">
        <v>23.44</v>
      </c>
      <c r="DF144" s="228">
        <v>5.13</v>
      </c>
      <c r="DG144" s="228">
        <v>0.13</v>
      </c>
      <c r="DH144" s="228">
        <v>28.27</v>
      </c>
      <c r="DI144" s="228">
        <v>30.33</v>
      </c>
      <c r="DJ144" s="228">
        <v>-2.06</v>
      </c>
      <c r="DK144" s="228">
        <v>-2.06</v>
      </c>
      <c r="DL144" s="228">
        <v>30.36</v>
      </c>
      <c r="DM144" s="228">
        <v>31.48</v>
      </c>
      <c r="DN144" s="228">
        <v>-1.1200000000000001</v>
      </c>
      <c r="DO144" s="228">
        <v>-1.1200000000000001</v>
      </c>
      <c r="DP144" s="228">
        <v>0.56000000000000005</v>
      </c>
      <c r="DQ144" s="228">
        <v>0.7</v>
      </c>
      <c r="DR144" s="228">
        <v>-0.14000000000000001</v>
      </c>
      <c r="DS144" s="229">
        <v>-0.2</v>
      </c>
      <c r="DT144" s="231">
        <v>1300</v>
      </c>
      <c r="DU144" s="231">
        <v>1200</v>
      </c>
      <c r="DV144" s="228">
        <v>0.26</v>
      </c>
      <c r="DW144" s="228">
        <v>0.4</v>
      </c>
      <c r="DX144" s="228">
        <v>-0.14000000000000001</v>
      </c>
      <c r="DY144" s="229">
        <v>-0.35</v>
      </c>
      <c r="DZ144" s="229">
        <v>6.9400000000000003E-2</v>
      </c>
      <c r="EA144" s="230">
        <v>1291500</v>
      </c>
      <c r="EB144" s="229">
        <v>5.7999999999999996E-3</v>
      </c>
      <c r="EC144" s="229">
        <v>6.9400000000000003E-2</v>
      </c>
      <c r="ED144" s="228">
        <v>5.74</v>
      </c>
      <c r="EE144" s="229">
        <v>4.4999999999999997E-3</v>
      </c>
      <c r="EF144" s="230">
        <v>1138206</v>
      </c>
      <c r="EG144" s="230">
        <v>686841</v>
      </c>
      <c r="EH144" s="229">
        <v>0.65720000000000001</v>
      </c>
      <c r="EI144" s="229">
        <v>0.54969999999999997</v>
      </c>
      <c r="EJ144" s="231">
        <v>132927.78</v>
      </c>
      <c r="EK144" s="231">
        <v>32551.96</v>
      </c>
      <c r="EL144" s="231">
        <v>25822.39</v>
      </c>
      <c r="EM144" s="231">
        <v>4409</v>
      </c>
      <c r="EN144" s="231">
        <v>191302.13</v>
      </c>
      <c r="EO144" s="231">
        <v>125101.23</v>
      </c>
      <c r="EP144" s="231">
        <v>66200.899999999994</v>
      </c>
      <c r="EQ144" s="229">
        <v>0.5292</v>
      </c>
      <c r="ER144" s="231">
        <v>53638</v>
      </c>
      <c r="ES144" s="231">
        <v>28317</v>
      </c>
      <c r="ET144" s="231">
        <v>243697</v>
      </c>
      <c r="EU144" s="231">
        <v>71801274</v>
      </c>
      <c r="EV144" s="231">
        <v>325652</v>
      </c>
      <c r="EW144" s="231">
        <v>302068</v>
      </c>
      <c r="EX144" s="231">
        <v>23584</v>
      </c>
      <c r="EY144" s="229">
        <v>7.8100000000000003E-2</v>
      </c>
      <c r="EZ144" s="229">
        <v>0.3548</v>
      </c>
      <c r="FA144" s="227" t="s">
        <v>693</v>
      </c>
      <c r="FB144" s="161">
        <f t="shared" si="3"/>
        <v>0</v>
      </c>
    </row>
    <row r="145" spans="1:158" ht="17.25" thickBot="1" x14ac:dyDescent="0.3">
      <c r="A145" s="226">
        <v>46129</v>
      </c>
      <c r="B145" s="227" t="s">
        <v>161</v>
      </c>
      <c r="C145" s="227" t="s">
        <v>584</v>
      </c>
      <c r="D145" s="228">
        <v>6400</v>
      </c>
      <c r="E145" s="228">
        <v>82.41</v>
      </c>
      <c r="F145" s="228">
        <v>81.44</v>
      </c>
      <c r="G145" s="228">
        <v>0.97</v>
      </c>
      <c r="H145" s="229">
        <v>1.1900000000000001E-2</v>
      </c>
      <c r="I145" s="228">
        <v>83.56</v>
      </c>
      <c r="J145" s="228">
        <v>81.38</v>
      </c>
      <c r="K145" s="228">
        <v>2.1800000000000002</v>
      </c>
      <c r="L145" s="229">
        <v>2.6800000000000001E-2</v>
      </c>
      <c r="M145" s="228">
        <v>82.41</v>
      </c>
      <c r="N145" s="228">
        <v>81.44</v>
      </c>
      <c r="O145" s="228">
        <v>0.97</v>
      </c>
      <c r="P145" s="229">
        <v>1.1900000000000001E-2</v>
      </c>
      <c r="Q145" s="228">
        <v>82.5</v>
      </c>
      <c r="R145" s="228">
        <v>81.94</v>
      </c>
      <c r="S145" s="228">
        <v>0.56000000000000005</v>
      </c>
      <c r="T145" s="229">
        <v>6.7999999999999996E-3</v>
      </c>
      <c r="U145" s="228">
        <v>82.93</v>
      </c>
      <c r="V145" s="228">
        <v>82.27</v>
      </c>
      <c r="W145" s="228">
        <v>0.66</v>
      </c>
      <c r="X145" s="229">
        <v>8.0000000000000002E-3</v>
      </c>
      <c r="Y145" s="228">
        <v>-1.1499999999999999</v>
      </c>
      <c r="Z145" s="228">
        <v>0.06</v>
      </c>
      <c r="AA145" s="228">
        <v>-1.21</v>
      </c>
      <c r="AB145" s="229">
        <v>-1.38E-2</v>
      </c>
      <c r="AC145" s="228">
        <v>-1.1499999999999999</v>
      </c>
      <c r="AD145" s="228">
        <v>0.06</v>
      </c>
      <c r="AE145" s="228">
        <v>-1.21</v>
      </c>
      <c r="AF145" s="229">
        <v>-1.38E-2</v>
      </c>
      <c r="AG145" s="228">
        <v>-1.06</v>
      </c>
      <c r="AH145" s="228">
        <v>0.56000000000000005</v>
      </c>
      <c r="AI145" s="228">
        <v>-1.62</v>
      </c>
      <c r="AJ145" s="229">
        <v>-1.2699999999999999E-2</v>
      </c>
      <c r="AK145" s="228">
        <v>-0.63</v>
      </c>
      <c r="AL145" s="228">
        <v>0.89</v>
      </c>
      <c r="AM145" s="228">
        <v>-1.52</v>
      </c>
      <c r="AN145" s="229">
        <v>-7.4999999999999997E-3</v>
      </c>
      <c r="AO145" s="228">
        <v>82.42</v>
      </c>
      <c r="AP145" s="228">
        <v>82.6</v>
      </c>
      <c r="AQ145" s="228">
        <v>0</v>
      </c>
      <c r="AR145" s="230">
        <v>43148800</v>
      </c>
      <c r="AS145" s="230">
        <v>21344000</v>
      </c>
      <c r="AT145" s="230">
        <v>21804800</v>
      </c>
      <c r="AU145" s="229">
        <v>1.0216000000000001</v>
      </c>
      <c r="AV145" s="230">
        <v>36761600</v>
      </c>
      <c r="AW145" s="230">
        <v>18624000</v>
      </c>
      <c r="AX145" s="230">
        <v>18137600</v>
      </c>
      <c r="AY145" s="229">
        <v>0.97389999999999999</v>
      </c>
      <c r="AZ145" s="230">
        <v>5651200</v>
      </c>
      <c r="BA145" s="230">
        <v>2342400</v>
      </c>
      <c r="BB145" s="230">
        <v>3308800</v>
      </c>
      <c r="BC145" s="229">
        <v>1.4126000000000001</v>
      </c>
      <c r="BD145" s="230">
        <v>736000</v>
      </c>
      <c r="BE145" s="230">
        <v>377600</v>
      </c>
      <c r="BF145" s="230">
        <v>358400</v>
      </c>
      <c r="BG145" s="229">
        <v>0.94920000000000004</v>
      </c>
      <c r="BH145" s="230">
        <v>60691200</v>
      </c>
      <c r="BI145" s="230">
        <v>55014400</v>
      </c>
      <c r="BJ145" s="230">
        <v>5676800</v>
      </c>
      <c r="BK145" s="229">
        <v>0.1032</v>
      </c>
      <c r="BL145" s="230">
        <v>25971200</v>
      </c>
      <c r="BM145" s="230">
        <v>25516800</v>
      </c>
      <c r="BN145" s="230">
        <v>454400</v>
      </c>
      <c r="BO145" s="229">
        <v>1.78E-2</v>
      </c>
      <c r="BP145" s="230">
        <v>129811200</v>
      </c>
      <c r="BQ145" s="230">
        <v>101875200</v>
      </c>
      <c r="BR145" s="230">
        <v>27936000</v>
      </c>
      <c r="BS145" s="229">
        <v>0.2742</v>
      </c>
      <c r="BT145" s="230">
        <v>52883630</v>
      </c>
      <c r="BU145" s="230">
        <v>20385084</v>
      </c>
      <c r="BV145" s="230">
        <v>32498546</v>
      </c>
      <c r="BW145" s="229">
        <v>1.5942000000000001</v>
      </c>
      <c r="BX145" s="230">
        <v>85280000</v>
      </c>
      <c r="BY145" s="230">
        <v>76652800</v>
      </c>
      <c r="BZ145" s="230">
        <v>8627200</v>
      </c>
      <c r="CA145" s="229">
        <v>0.1125</v>
      </c>
      <c r="CB145" s="230">
        <v>79686400</v>
      </c>
      <c r="CC145" s="230">
        <v>72563200</v>
      </c>
      <c r="CD145" s="230">
        <v>7123200</v>
      </c>
      <c r="CE145" s="229">
        <v>9.8199999999999996E-2</v>
      </c>
      <c r="CF145" s="230">
        <v>4825600</v>
      </c>
      <c r="CG145" s="230">
        <v>3488000</v>
      </c>
      <c r="CH145" s="230">
        <v>1337600</v>
      </c>
      <c r="CI145" s="229">
        <v>0.38350000000000001</v>
      </c>
      <c r="CJ145" s="230">
        <v>768000</v>
      </c>
      <c r="CK145" s="230">
        <v>601600</v>
      </c>
      <c r="CL145" s="230">
        <v>166400</v>
      </c>
      <c r="CM145" s="229">
        <v>0.27660000000000001</v>
      </c>
      <c r="CN145" s="230">
        <v>37728000</v>
      </c>
      <c r="CO145" s="230">
        <v>40480000</v>
      </c>
      <c r="CP145" s="230">
        <v>-2752000</v>
      </c>
      <c r="CQ145" s="229">
        <v>-6.8000000000000005E-2</v>
      </c>
      <c r="CR145" s="230">
        <v>30323200</v>
      </c>
      <c r="CS145" s="230">
        <v>29644800</v>
      </c>
      <c r="CT145" s="230">
        <v>678400</v>
      </c>
      <c r="CU145" s="229">
        <v>2.29E-2</v>
      </c>
      <c r="CV145" s="230">
        <v>153331200</v>
      </c>
      <c r="CW145" s="230">
        <v>146777600</v>
      </c>
      <c r="CX145" s="230">
        <v>6553600</v>
      </c>
      <c r="CY145" s="229">
        <v>4.4600000000000001E-2</v>
      </c>
      <c r="CZ145" s="228">
        <v>31.46</v>
      </c>
      <c r="DA145" s="228">
        <v>32.229999999999997</v>
      </c>
      <c r="DB145" s="228">
        <v>-0.77</v>
      </c>
      <c r="DC145" s="228">
        <v>-0.77</v>
      </c>
      <c r="DD145" s="228">
        <v>34.950000000000003</v>
      </c>
      <c r="DE145" s="228">
        <v>35.01</v>
      </c>
      <c r="DF145" s="228">
        <v>-3.49</v>
      </c>
      <c r="DG145" s="228">
        <v>-0.06</v>
      </c>
      <c r="DH145" s="228">
        <v>31.44</v>
      </c>
      <c r="DI145" s="228">
        <v>32.39</v>
      </c>
      <c r="DJ145" s="228">
        <v>-0.95</v>
      </c>
      <c r="DK145" s="228">
        <v>-0.95</v>
      </c>
      <c r="DL145" s="228">
        <v>31.52</v>
      </c>
      <c r="DM145" s="228">
        <v>31.89</v>
      </c>
      <c r="DN145" s="228">
        <v>-0.37</v>
      </c>
      <c r="DO145" s="228">
        <v>-0.37</v>
      </c>
      <c r="DP145" s="228">
        <v>0.8</v>
      </c>
      <c r="DQ145" s="228">
        <v>0.73</v>
      </c>
      <c r="DR145" s="228">
        <v>7.0000000000000007E-2</v>
      </c>
      <c r="DS145" s="229">
        <v>9.5899999999999999E-2</v>
      </c>
      <c r="DT145" s="228">
        <v>90</v>
      </c>
      <c r="DU145" s="228">
        <v>77</v>
      </c>
      <c r="DV145" s="228">
        <v>0.43</v>
      </c>
      <c r="DW145" s="228">
        <v>0.46</v>
      </c>
      <c r="DX145" s="228">
        <v>-0.03</v>
      </c>
      <c r="DY145" s="229">
        <v>-6.5199999999999994E-2</v>
      </c>
      <c r="DZ145" s="229">
        <v>6.5600000000000006E-2</v>
      </c>
      <c r="EA145" s="230">
        <v>4089600</v>
      </c>
      <c r="EB145" s="229">
        <v>1.1000000000000001E-3</v>
      </c>
      <c r="EC145" s="229">
        <v>6.5600000000000006E-2</v>
      </c>
      <c r="ED145" s="228">
        <v>0.18</v>
      </c>
      <c r="EE145" s="229">
        <v>2.2000000000000001E-3</v>
      </c>
      <c r="EF145" s="230">
        <v>31580380</v>
      </c>
      <c r="EG145" s="230">
        <v>8360761</v>
      </c>
      <c r="EH145" s="229">
        <v>2.7772000000000001</v>
      </c>
      <c r="EI145" s="229">
        <v>0.59719999999999995</v>
      </c>
      <c r="EJ145" s="231">
        <v>52064.19</v>
      </c>
      <c r="EK145" s="231">
        <v>20744.48</v>
      </c>
      <c r="EL145" s="231">
        <v>35579.800000000003</v>
      </c>
      <c r="EM145" s="231">
        <v>2838</v>
      </c>
      <c r="EN145" s="231">
        <v>108388.47</v>
      </c>
      <c r="EO145" s="231">
        <v>83758.460000000006</v>
      </c>
      <c r="EP145" s="231">
        <v>24630.01</v>
      </c>
      <c r="EQ145" s="229">
        <v>0.29409999999999997</v>
      </c>
      <c r="ER145" s="231">
        <v>31515</v>
      </c>
      <c r="ES145" s="231">
        <v>23086</v>
      </c>
      <c r="ET145" s="231">
        <v>70288</v>
      </c>
      <c r="EU145" s="231">
        <v>491233252</v>
      </c>
      <c r="EV145" s="231">
        <v>124889</v>
      </c>
      <c r="EW145" s="231">
        <v>118604</v>
      </c>
      <c r="EX145" s="231">
        <v>6285</v>
      </c>
      <c r="EY145" s="229">
        <v>5.2999999999999999E-2</v>
      </c>
      <c r="EZ145" s="229">
        <v>0.31209999999999999</v>
      </c>
      <c r="FA145" s="227" t="s">
        <v>555</v>
      </c>
      <c r="FB145" s="161">
        <f t="shared" si="3"/>
        <v>0</v>
      </c>
    </row>
    <row r="146" spans="1:158" ht="17.25" thickBot="1" x14ac:dyDescent="0.3">
      <c r="A146" s="226">
        <v>46129</v>
      </c>
      <c r="B146" s="227" t="s">
        <v>181</v>
      </c>
      <c r="C146" s="227" t="s">
        <v>266</v>
      </c>
      <c r="D146" s="228">
        <v>65</v>
      </c>
      <c r="E146" s="231">
        <v>24368</v>
      </c>
      <c r="F146" s="231">
        <v>24195.8</v>
      </c>
      <c r="G146" s="228">
        <v>172.2</v>
      </c>
      <c r="H146" s="229">
        <v>7.1000000000000004E-3</v>
      </c>
      <c r="I146" s="231">
        <v>24353.55</v>
      </c>
      <c r="J146" s="231">
        <v>24196.75</v>
      </c>
      <c r="K146" s="228">
        <v>156.80000000000001</v>
      </c>
      <c r="L146" s="229">
        <v>6.4999999999999997E-3</v>
      </c>
      <c r="M146" s="231">
        <v>24368</v>
      </c>
      <c r="N146" s="231">
        <v>24195.8</v>
      </c>
      <c r="O146" s="228">
        <v>172.2</v>
      </c>
      <c r="P146" s="229">
        <v>7.1000000000000004E-3</v>
      </c>
      <c r="Q146" s="231">
        <v>24500.400000000001</v>
      </c>
      <c r="R146" s="231">
        <v>24328.2</v>
      </c>
      <c r="S146" s="228">
        <v>172.2</v>
      </c>
      <c r="T146" s="229">
        <v>7.1000000000000004E-3</v>
      </c>
      <c r="U146" s="231">
        <v>24653</v>
      </c>
      <c r="V146" s="231">
        <v>24487.4</v>
      </c>
      <c r="W146" s="228">
        <v>165.6</v>
      </c>
      <c r="X146" s="229">
        <v>6.7999999999999996E-3</v>
      </c>
      <c r="Y146" s="228">
        <v>14.45</v>
      </c>
      <c r="Z146" s="228">
        <v>-0.95</v>
      </c>
      <c r="AA146" s="228">
        <v>15.4</v>
      </c>
      <c r="AB146" s="229">
        <v>5.9999999999999995E-4</v>
      </c>
      <c r="AC146" s="228">
        <v>14.45</v>
      </c>
      <c r="AD146" s="228">
        <v>-0.95</v>
      </c>
      <c r="AE146" s="228">
        <v>15.4</v>
      </c>
      <c r="AF146" s="229">
        <v>5.9999999999999995E-4</v>
      </c>
      <c r="AG146" s="228">
        <v>146.85</v>
      </c>
      <c r="AH146" s="228">
        <v>131.44999999999999</v>
      </c>
      <c r="AI146" s="228">
        <v>15.4</v>
      </c>
      <c r="AJ146" s="229">
        <v>6.0000000000000001E-3</v>
      </c>
      <c r="AK146" s="228">
        <v>299.45</v>
      </c>
      <c r="AL146" s="228">
        <v>290.64999999999998</v>
      </c>
      <c r="AM146" s="228">
        <v>8.8000000000000007</v>
      </c>
      <c r="AN146" s="229">
        <v>1.23E-2</v>
      </c>
      <c r="AO146" s="231">
        <v>24290.58</v>
      </c>
      <c r="AP146" s="231">
        <v>24425.11</v>
      </c>
      <c r="AQ146" s="228">
        <v>0</v>
      </c>
      <c r="AR146" s="230">
        <v>4074395</v>
      </c>
      <c r="AS146" s="230">
        <v>5315635</v>
      </c>
      <c r="AT146" s="230">
        <v>-1241240</v>
      </c>
      <c r="AU146" s="229">
        <v>-0.23350000000000001</v>
      </c>
      <c r="AV146" s="230">
        <v>3358875</v>
      </c>
      <c r="AW146" s="230">
        <v>4463940</v>
      </c>
      <c r="AX146" s="230">
        <v>-1105065</v>
      </c>
      <c r="AY146" s="229">
        <v>-0.24759999999999999</v>
      </c>
      <c r="AZ146" s="230">
        <v>528125</v>
      </c>
      <c r="BA146" s="230">
        <v>651235</v>
      </c>
      <c r="BB146" s="230">
        <v>-123110</v>
      </c>
      <c r="BC146" s="229">
        <v>-0.189</v>
      </c>
      <c r="BD146" s="230">
        <v>187395</v>
      </c>
      <c r="BE146" s="230">
        <v>200460</v>
      </c>
      <c r="BF146" s="230">
        <v>-13065</v>
      </c>
      <c r="BG146" s="229">
        <v>-6.5199999999999994E-2</v>
      </c>
      <c r="BH146" s="230">
        <v>2459491775</v>
      </c>
      <c r="BI146" s="230">
        <v>1456665730</v>
      </c>
      <c r="BJ146" s="230">
        <v>1002826045</v>
      </c>
      <c r="BK146" s="229">
        <v>0.68840000000000001</v>
      </c>
      <c r="BL146" s="230">
        <v>2067548600</v>
      </c>
      <c r="BM146" s="230">
        <v>1444170260</v>
      </c>
      <c r="BN146" s="230">
        <v>623378340</v>
      </c>
      <c r="BO146" s="229">
        <v>0.43169999999999997</v>
      </c>
      <c r="BP146" s="230">
        <v>4531114770</v>
      </c>
      <c r="BQ146" s="230">
        <v>2906151625</v>
      </c>
      <c r="BR146" s="230">
        <v>1624963145</v>
      </c>
      <c r="BS146" s="229">
        <v>0.55910000000000004</v>
      </c>
      <c r="BT146" s="228">
        <v>0</v>
      </c>
      <c r="BU146" s="228">
        <v>0</v>
      </c>
      <c r="BV146" s="228">
        <v>0</v>
      </c>
      <c r="BW146" s="229">
        <v>0</v>
      </c>
      <c r="BX146" s="230">
        <v>20544095</v>
      </c>
      <c r="BY146" s="230">
        <v>20780175</v>
      </c>
      <c r="BZ146" s="230">
        <v>-236080</v>
      </c>
      <c r="CA146" s="229">
        <v>-1.14E-2</v>
      </c>
      <c r="CB146" s="230">
        <v>17201665</v>
      </c>
      <c r="CC146" s="230">
        <v>17452825</v>
      </c>
      <c r="CD146" s="230">
        <v>-251160</v>
      </c>
      <c r="CE146" s="229">
        <v>-1.44E-2</v>
      </c>
      <c r="CF146" s="230">
        <v>2466035</v>
      </c>
      <c r="CG146" s="230">
        <v>2455375</v>
      </c>
      <c r="CH146" s="230">
        <v>10660</v>
      </c>
      <c r="CI146" s="229">
        <v>4.3E-3</v>
      </c>
      <c r="CJ146" s="230">
        <v>876395</v>
      </c>
      <c r="CK146" s="230">
        <v>871975</v>
      </c>
      <c r="CL146" s="230">
        <v>4420</v>
      </c>
      <c r="CM146" s="229">
        <v>5.1000000000000004E-3</v>
      </c>
      <c r="CN146" s="230">
        <v>237893495</v>
      </c>
      <c r="CO146" s="230">
        <v>218126925</v>
      </c>
      <c r="CP146" s="230">
        <v>19766570</v>
      </c>
      <c r="CQ146" s="229">
        <v>9.06E-2</v>
      </c>
      <c r="CR146" s="230">
        <v>260436530</v>
      </c>
      <c r="CS146" s="230">
        <v>214192985</v>
      </c>
      <c r="CT146" s="230">
        <v>46243545</v>
      </c>
      <c r="CU146" s="229">
        <v>0.21590000000000001</v>
      </c>
      <c r="CV146" s="230">
        <v>518874120</v>
      </c>
      <c r="CW146" s="230">
        <v>453100085</v>
      </c>
      <c r="CX146" s="230">
        <v>65774035</v>
      </c>
      <c r="CY146" s="229">
        <v>0.1452</v>
      </c>
      <c r="CZ146" s="228">
        <v>18.309999999999999</v>
      </c>
      <c r="DA146" s="228">
        <v>18.75</v>
      </c>
      <c r="DB146" s="228">
        <v>-0.44</v>
      </c>
      <c r="DC146" s="228">
        <v>-0.44</v>
      </c>
      <c r="DD146" s="228">
        <v>17.7</v>
      </c>
      <c r="DE146" s="228">
        <v>17.72</v>
      </c>
      <c r="DF146" s="228">
        <v>0.61</v>
      </c>
      <c r="DG146" s="228">
        <v>-0.02</v>
      </c>
      <c r="DH146" s="228">
        <v>15.94</v>
      </c>
      <c r="DI146" s="228">
        <v>16.68</v>
      </c>
      <c r="DJ146" s="228">
        <v>-0.74</v>
      </c>
      <c r="DK146" s="228">
        <v>-0.74</v>
      </c>
      <c r="DL146" s="228">
        <v>20.46</v>
      </c>
      <c r="DM146" s="228">
        <v>20.53</v>
      </c>
      <c r="DN146" s="228">
        <v>-7.0000000000000007E-2</v>
      </c>
      <c r="DO146" s="228">
        <v>-7.0000000000000007E-2</v>
      </c>
      <c r="DP146" s="228">
        <v>1.0900000000000001</v>
      </c>
      <c r="DQ146" s="228">
        <v>0.98</v>
      </c>
      <c r="DR146" s="228">
        <v>0.11</v>
      </c>
      <c r="DS146" s="229">
        <v>0.11219999999999999</v>
      </c>
      <c r="DT146" s="231">
        <v>25000</v>
      </c>
      <c r="DU146" s="231">
        <v>23000</v>
      </c>
      <c r="DV146" s="228">
        <v>0.84</v>
      </c>
      <c r="DW146" s="228">
        <v>0.99</v>
      </c>
      <c r="DX146" s="228">
        <v>-0.15</v>
      </c>
      <c r="DY146" s="229">
        <v>-0.1515</v>
      </c>
      <c r="DZ146" s="229">
        <v>0.16270000000000001</v>
      </c>
      <c r="EA146" s="230">
        <v>3327350</v>
      </c>
      <c r="EB146" s="229">
        <v>5.4000000000000003E-3</v>
      </c>
      <c r="EC146" s="229">
        <v>0.16270000000000001</v>
      </c>
      <c r="ED146" s="228">
        <v>134.53</v>
      </c>
      <c r="EE146" s="229">
        <v>5.4999999999999997E-3</v>
      </c>
      <c r="EF146" s="228">
        <v>0</v>
      </c>
      <c r="EG146" s="228">
        <v>0</v>
      </c>
      <c r="EH146" s="229">
        <v>0</v>
      </c>
      <c r="EI146" s="229">
        <v>0</v>
      </c>
      <c r="EJ146" s="231">
        <v>607791870.63999999</v>
      </c>
      <c r="EK146" s="231">
        <v>492750971.41000003</v>
      </c>
      <c r="EL146" s="231">
        <v>990944.43</v>
      </c>
      <c r="EM146" s="231">
        <v>87796</v>
      </c>
      <c r="EN146" s="231">
        <v>1101533786.48</v>
      </c>
      <c r="EO146" s="231">
        <v>704944091.64999998</v>
      </c>
      <c r="EP146" s="231">
        <v>396589694.82999998</v>
      </c>
      <c r="EQ146" s="229">
        <v>0.56259999999999999</v>
      </c>
      <c r="ER146" s="231">
        <v>59669913</v>
      </c>
      <c r="ES146" s="231">
        <v>60605366</v>
      </c>
      <c r="ET146" s="231">
        <v>5011948</v>
      </c>
      <c r="EU146" s="228">
        <v>0</v>
      </c>
      <c r="EV146" s="231">
        <v>125287227</v>
      </c>
      <c r="EW146" s="231">
        <v>109145497</v>
      </c>
      <c r="EX146" s="231">
        <v>16141730</v>
      </c>
      <c r="EY146" s="229">
        <v>0.1479</v>
      </c>
      <c r="EZ146" s="229">
        <v>0</v>
      </c>
      <c r="FA146" s="227" t="s">
        <v>693</v>
      </c>
      <c r="FB146" s="161">
        <f t="shared" si="3"/>
        <v>0</v>
      </c>
    </row>
    <row r="147" spans="1:158" ht="17.25" thickBot="1" x14ac:dyDescent="0.3">
      <c r="A147" s="226">
        <v>46129</v>
      </c>
      <c r="B147" s="227" t="s">
        <v>181</v>
      </c>
      <c r="C147" s="227" t="s">
        <v>565</v>
      </c>
      <c r="D147" s="228">
        <v>25</v>
      </c>
      <c r="E147" s="231">
        <v>70321.2</v>
      </c>
      <c r="F147" s="231">
        <v>69334.8</v>
      </c>
      <c r="G147" s="228">
        <v>986.4</v>
      </c>
      <c r="H147" s="229">
        <v>1.4200000000000001E-2</v>
      </c>
      <c r="I147" s="231">
        <v>70273.8</v>
      </c>
      <c r="J147" s="231">
        <v>69300.600000000006</v>
      </c>
      <c r="K147" s="228">
        <v>973.2</v>
      </c>
      <c r="L147" s="229">
        <v>1.4E-2</v>
      </c>
      <c r="M147" s="231">
        <v>70321.2</v>
      </c>
      <c r="N147" s="231">
        <v>69334.8</v>
      </c>
      <c r="O147" s="228">
        <v>986.4</v>
      </c>
      <c r="P147" s="229">
        <v>1.4200000000000001E-2</v>
      </c>
      <c r="Q147" s="231">
        <v>70620.2</v>
      </c>
      <c r="R147" s="231">
        <v>69677.2</v>
      </c>
      <c r="S147" s="228">
        <v>943</v>
      </c>
      <c r="T147" s="229">
        <v>1.35E-2</v>
      </c>
      <c r="U147" s="231">
        <v>67400</v>
      </c>
      <c r="V147" s="231">
        <v>67400</v>
      </c>
      <c r="W147" s="228">
        <v>0</v>
      </c>
      <c r="X147" s="229">
        <v>0</v>
      </c>
      <c r="Y147" s="228">
        <v>47.4</v>
      </c>
      <c r="Z147" s="228">
        <v>34.200000000000003</v>
      </c>
      <c r="AA147" s="228">
        <v>13.2</v>
      </c>
      <c r="AB147" s="229">
        <v>6.9999999999999999E-4</v>
      </c>
      <c r="AC147" s="228">
        <v>47.4</v>
      </c>
      <c r="AD147" s="228">
        <v>34.200000000000003</v>
      </c>
      <c r="AE147" s="228">
        <v>13.2</v>
      </c>
      <c r="AF147" s="229">
        <v>6.9999999999999999E-4</v>
      </c>
      <c r="AG147" s="228">
        <v>346.4</v>
      </c>
      <c r="AH147" s="228">
        <v>376.6</v>
      </c>
      <c r="AI147" s="228">
        <v>-30.2</v>
      </c>
      <c r="AJ147" s="229">
        <v>4.8999999999999998E-3</v>
      </c>
      <c r="AK147" s="231">
        <v>-2873.8</v>
      </c>
      <c r="AL147" s="231">
        <v>-1900.6</v>
      </c>
      <c r="AM147" s="228">
        <v>-973.2</v>
      </c>
      <c r="AN147" s="229">
        <v>-4.0899999999999999E-2</v>
      </c>
      <c r="AO147" s="231">
        <v>69883.710000000006</v>
      </c>
      <c r="AP147" s="231">
        <v>70262</v>
      </c>
      <c r="AQ147" s="228">
        <v>0</v>
      </c>
      <c r="AR147" s="230">
        <v>7700</v>
      </c>
      <c r="AS147" s="230">
        <v>6850</v>
      </c>
      <c r="AT147" s="228">
        <v>850</v>
      </c>
      <c r="AU147" s="229">
        <v>0.1241</v>
      </c>
      <c r="AV147" s="230">
        <v>6200</v>
      </c>
      <c r="AW147" s="230">
        <v>5975</v>
      </c>
      <c r="AX147" s="228">
        <v>225</v>
      </c>
      <c r="AY147" s="229">
        <v>3.7699999999999997E-2</v>
      </c>
      <c r="AZ147" s="230">
        <v>1500</v>
      </c>
      <c r="BA147" s="228">
        <v>875</v>
      </c>
      <c r="BB147" s="228">
        <v>625</v>
      </c>
      <c r="BC147" s="229">
        <v>0.71430000000000005</v>
      </c>
      <c r="BD147" s="228">
        <v>0</v>
      </c>
      <c r="BE147" s="228">
        <v>0</v>
      </c>
      <c r="BF147" s="228">
        <v>0</v>
      </c>
      <c r="BG147" s="229">
        <v>0</v>
      </c>
      <c r="BH147" s="230">
        <v>20125</v>
      </c>
      <c r="BI147" s="230">
        <v>3650</v>
      </c>
      <c r="BJ147" s="230">
        <v>16475</v>
      </c>
      <c r="BK147" s="229">
        <v>4.5137</v>
      </c>
      <c r="BL147" s="230">
        <v>4300</v>
      </c>
      <c r="BM147" s="230">
        <v>3950</v>
      </c>
      <c r="BN147" s="228">
        <v>350</v>
      </c>
      <c r="BO147" s="229">
        <v>8.8599999999999998E-2</v>
      </c>
      <c r="BP147" s="230">
        <v>32125</v>
      </c>
      <c r="BQ147" s="230">
        <v>14450</v>
      </c>
      <c r="BR147" s="230">
        <v>17675</v>
      </c>
      <c r="BS147" s="229">
        <v>1.2232000000000001</v>
      </c>
      <c r="BT147" s="228">
        <v>0</v>
      </c>
      <c r="BU147" s="228">
        <v>0</v>
      </c>
      <c r="BV147" s="228">
        <v>0</v>
      </c>
      <c r="BW147" s="229">
        <v>0</v>
      </c>
      <c r="BX147" s="230">
        <v>20775</v>
      </c>
      <c r="BY147" s="230">
        <v>19900</v>
      </c>
      <c r="BZ147" s="228">
        <v>875</v>
      </c>
      <c r="CA147" s="229">
        <v>4.3999999999999997E-2</v>
      </c>
      <c r="CB147" s="230">
        <v>18550</v>
      </c>
      <c r="CC147" s="230">
        <v>17925</v>
      </c>
      <c r="CD147" s="228">
        <v>625</v>
      </c>
      <c r="CE147" s="229">
        <v>3.49E-2</v>
      </c>
      <c r="CF147" s="230">
        <v>2200</v>
      </c>
      <c r="CG147" s="230">
        <v>1950</v>
      </c>
      <c r="CH147" s="228">
        <v>250</v>
      </c>
      <c r="CI147" s="229">
        <v>0.12820000000000001</v>
      </c>
      <c r="CJ147" s="228">
        <v>25</v>
      </c>
      <c r="CK147" s="228">
        <v>25</v>
      </c>
      <c r="CL147" s="228">
        <v>0</v>
      </c>
      <c r="CM147" s="229">
        <v>0</v>
      </c>
      <c r="CN147" s="230">
        <v>13650</v>
      </c>
      <c r="CO147" s="230">
        <v>4250</v>
      </c>
      <c r="CP147" s="230">
        <v>9400</v>
      </c>
      <c r="CQ147" s="229">
        <v>2.2118000000000002</v>
      </c>
      <c r="CR147" s="230">
        <v>4900</v>
      </c>
      <c r="CS147" s="230">
        <v>4400</v>
      </c>
      <c r="CT147" s="228">
        <v>500</v>
      </c>
      <c r="CU147" s="229">
        <v>0.11360000000000001</v>
      </c>
      <c r="CV147" s="230">
        <v>39325</v>
      </c>
      <c r="CW147" s="230">
        <v>28550</v>
      </c>
      <c r="CX147" s="230">
        <v>10775</v>
      </c>
      <c r="CY147" s="229">
        <v>0.37740000000000001</v>
      </c>
      <c r="CZ147" s="228">
        <v>19.28</v>
      </c>
      <c r="DA147" s="228">
        <v>19.79</v>
      </c>
      <c r="DB147" s="228">
        <v>-0.51</v>
      </c>
      <c r="DC147" s="228">
        <v>-0.51</v>
      </c>
      <c r="DD147" s="228">
        <v>23.29</v>
      </c>
      <c r="DE147" s="228">
        <v>23.27</v>
      </c>
      <c r="DF147" s="228">
        <v>-4.01</v>
      </c>
      <c r="DG147" s="228">
        <v>0.02</v>
      </c>
      <c r="DH147" s="228">
        <v>18.98</v>
      </c>
      <c r="DI147" s="228">
        <v>17.63</v>
      </c>
      <c r="DJ147" s="228">
        <v>1.35</v>
      </c>
      <c r="DK147" s="228">
        <v>1.35</v>
      </c>
      <c r="DL147" s="228">
        <v>20.68</v>
      </c>
      <c r="DM147" s="228">
        <v>21.79</v>
      </c>
      <c r="DN147" s="228">
        <v>-1.1100000000000001</v>
      </c>
      <c r="DO147" s="228">
        <v>-1.1100000000000001</v>
      </c>
      <c r="DP147" s="228">
        <v>0.36</v>
      </c>
      <c r="DQ147" s="228">
        <v>1.04</v>
      </c>
      <c r="DR147" s="228">
        <v>-0.68</v>
      </c>
      <c r="DS147" s="229">
        <v>-0.65380000000000005</v>
      </c>
      <c r="DT147" s="231">
        <v>70000</v>
      </c>
      <c r="DU147" s="231">
        <v>54000</v>
      </c>
      <c r="DV147" s="228">
        <v>0.21</v>
      </c>
      <c r="DW147" s="228">
        <v>1.08</v>
      </c>
      <c r="DX147" s="228">
        <v>-0.87</v>
      </c>
      <c r="DY147" s="229">
        <v>-0.80559999999999998</v>
      </c>
      <c r="DZ147" s="229">
        <v>0.1071</v>
      </c>
      <c r="EA147" s="230">
        <v>1975</v>
      </c>
      <c r="EB147" s="229">
        <v>4.3E-3</v>
      </c>
      <c r="EC147" s="229">
        <v>0.1071</v>
      </c>
      <c r="ED147" s="228">
        <v>378.29</v>
      </c>
      <c r="EE147" s="229">
        <v>5.4000000000000003E-3</v>
      </c>
      <c r="EF147" s="228">
        <v>0</v>
      </c>
      <c r="EG147" s="228">
        <v>0</v>
      </c>
      <c r="EH147" s="229">
        <v>0</v>
      </c>
      <c r="EI147" s="229">
        <v>0</v>
      </c>
      <c r="EJ147" s="231">
        <v>14331.62</v>
      </c>
      <c r="EK147" s="231">
        <v>2865.44</v>
      </c>
      <c r="EL147" s="231">
        <v>5386.72</v>
      </c>
      <c r="EM147" s="228">
        <v>0</v>
      </c>
      <c r="EN147" s="231">
        <v>22583.78</v>
      </c>
      <c r="EO147" s="231">
        <v>9783.02</v>
      </c>
      <c r="EP147" s="231">
        <v>12800.76</v>
      </c>
      <c r="EQ147" s="229">
        <v>1.3085</v>
      </c>
      <c r="ER147" s="231">
        <v>9453</v>
      </c>
      <c r="ES147" s="231">
        <v>3074</v>
      </c>
      <c r="ET147" s="231">
        <v>14615</v>
      </c>
      <c r="EU147" s="228">
        <v>0</v>
      </c>
      <c r="EV147" s="231">
        <v>27142</v>
      </c>
      <c r="EW147" s="231">
        <v>19338</v>
      </c>
      <c r="EX147" s="231">
        <v>7804</v>
      </c>
      <c r="EY147" s="229">
        <v>0.40360000000000001</v>
      </c>
      <c r="EZ147" s="229">
        <v>0</v>
      </c>
      <c r="FA147" s="227" t="s">
        <v>555</v>
      </c>
      <c r="FB147" s="161">
        <f t="shared" si="3"/>
        <v>0</v>
      </c>
    </row>
    <row r="148" spans="1:158" ht="17.25" thickBot="1" x14ac:dyDescent="0.3">
      <c r="A148" s="226">
        <v>46129</v>
      </c>
      <c r="B148" s="227" t="s">
        <v>227</v>
      </c>
      <c r="C148" s="227" t="s">
        <v>267</v>
      </c>
      <c r="D148" s="228">
        <v>6750</v>
      </c>
      <c r="E148" s="228">
        <v>89.95</v>
      </c>
      <c r="F148" s="228">
        <v>87.23</v>
      </c>
      <c r="G148" s="228">
        <v>2.72</v>
      </c>
      <c r="H148" s="229">
        <v>3.1199999999999999E-2</v>
      </c>
      <c r="I148" s="228">
        <v>89.78</v>
      </c>
      <c r="J148" s="228">
        <v>87.16</v>
      </c>
      <c r="K148" s="228">
        <v>2.62</v>
      </c>
      <c r="L148" s="229">
        <v>3.0099999999999998E-2</v>
      </c>
      <c r="M148" s="228">
        <v>89.95</v>
      </c>
      <c r="N148" s="228">
        <v>87.23</v>
      </c>
      <c r="O148" s="228">
        <v>2.72</v>
      </c>
      <c r="P148" s="229">
        <v>3.1199999999999999E-2</v>
      </c>
      <c r="Q148" s="228">
        <v>90.45</v>
      </c>
      <c r="R148" s="228">
        <v>87.75</v>
      </c>
      <c r="S148" s="228">
        <v>2.7</v>
      </c>
      <c r="T148" s="229">
        <v>3.0800000000000001E-2</v>
      </c>
      <c r="U148" s="228">
        <v>90.89</v>
      </c>
      <c r="V148" s="228">
        <v>88.4</v>
      </c>
      <c r="W148" s="228">
        <v>2.4900000000000002</v>
      </c>
      <c r="X148" s="229">
        <v>2.8199999999999999E-2</v>
      </c>
      <c r="Y148" s="228">
        <v>0.17</v>
      </c>
      <c r="Z148" s="228">
        <v>7.0000000000000007E-2</v>
      </c>
      <c r="AA148" s="228">
        <v>0.1</v>
      </c>
      <c r="AB148" s="229">
        <v>1.9E-3</v>
      </c>
      <c r="AC148" s="228">
        <v>0.17</v>
      </c>
      <c r="AD148" s="228">
        <v>7.0000000000000007E-2</v>
      </c>
      <c r="AE148" s="228">
        <v>0.1</v>
      </c>
      <c r="AF148" s="229">
        <v>1.9E-3</v>
      </c>
      <c r="AG148" s="228">
        <v>0.67</v>
      </c>
      <c r="AH148" s="228">
        <v>0.59</v>
      </c>
      <c r="AI148" s="228">
        <v>0.08</v>
      </c>
      <c r="AJ148" s="229">
        <v>7.4999999999999997E-3</v>
      </c>
      <c r="AK148" s="228">
        <v>1.1100000000000001</v>
      </c>
      <c r="AL148" s="228">
        <v>1.24</v>
      </c>
      <c r="AM148" s="228">
        <v>-0.13</v>
      </c>
      <c r="AN148" s="229">
        <v>1.24E-2</v>
      </c>
      <c r="AO148" s="228">
        <v>89.18</v>
      </c>
      <c r="AP148" s="228">
        <v>89.75</v>
      </c>
      <c r="AQ148" s="228">
        <v>0</v>
      </c>
      <c r="AR148" s="230">
        <v>50712750</v>
      </c>
      <c r="AS148" s="230">
        <v>59427000</v>
      </c>
      <c r="AT148" s="230">
        <v>-8714250</v>
      </c>
      <c r="AU148" s="229">
        <v>-0.14660000000000001</v>
      </c>
      <c r="AV148" s="230">
        <v>39197250</v>
      </c>
      <c r="AW148" s="230">
        <v>51070500</v>
      </c>
      <c r="AX148" s="230">
        <v>-11873250</v>
      </c>
      <c r="AY148" s="229">
        <v>-0.23250000000000001</v>
      </c>
      <c r="AZ148" s="230">
        <v>6635250</v>
      </c>
      <c r="BA148" s="230">
        <v>7668000</v>
      </c>
      <c r="BB148" s="230">
        <v>-1032750</v>
      </c>
      <c r="BC148" s="229">
        <v>-0.13469999999999999</v>
      </c>
      <c r="BD148" s="230">
        <v>4880250</v>
      </c>
      <c r="BE148" s="230">
        <v>688500</v>
      </c>
      <c r="BF148" s="230">
        <v>4191750</v>
      </c>
      <c r="BG148" s="229">
        <v>6.0881999999999996</v>
      </c>
      <c r="BH148" s="230">
        <v>167042250</v>
      </c>
      <c r="BI148" s="230">
        <v>126616500</v>
      </c>
      <c r="BJ148" s="230">
        <v>40425750</v>
      </c>
      <c r="BK148" s="229">
        <v>0.31929999999999997</v>
      </c>
      <c r="BL148" s="230">
        <v>57354750</v>
      </c>
      <c r="BM148" s="230">
        <v>47297250</v>
      </c>
      <c r="BN148" s="230">
        <v>10057500</v>
      </c>
      <c r="BO148" s="229">
        <v>0.21260000000000001</v>
      </c>
      <c r="BP148" s="230">
        <v>275109750</v>
      </c>
      <c r="BQ148" s="230">
        <v>233340750</v>
      </c>
      <c r="BR148" s="230">
        <v>41769000</v>
      </c>
      <c r="BS148" s="229">
        <v>0.17899999999999999</v>
      </c>
      <c r="BT148" s="230">
        <v>44723434</v>
      </c>
      <c r="BU148" s="230">
        <v>43625487</v>
      </c>
      <c r="BV148" s="230">
        <v>1097947</v>
      </c>
      <c r="BW148" s="229">
        <v>2.52E-2</v>
      </c>
      <c r="BX148" s="230">
        <v>326457000</v>
      </c>
      <c r="BY148" s="230">
        <v>326092500</v>
      </c>
      <c r="BZ148" s="230">
        <v>364500</v>
      </c>
      <c r="CA148" s="229">
        <v>1.1000000000000001E-3</v>
      </c>
      <c r="CB148" s="230">
        <v>306652500</v>
      </c>
      <c r="CC148" s="230">
        <v>312484500</v>
      </c>
      <c r="CD148" s="230">
        <v>-5832000</v>
      </c>
      <c r="CE148" s="229">
        <v>-1.8700000000000001E-2</v>
      </c>
      <c r="CF148" s="230">
        <v>14445000</v>
      </c>
      <c r="CG148" s="230">
        <v>12379500</v>
      </c>
      <c r="CH148" s="230">
        <v>2065500</v>
      </c>
      <c r="CI148" s="229">
        <v>0.1668</v>
      </c>
      <c r="CJ148" s="230">
        <v>5359500</v>
      </c>
      <c r="CK148" s="230">
        <v>1228500</v>
      </c>
      <c r="CL148" s="230">
        <v>4131000</v>
      </c>
      <c r="CM148" s="229">
        <v>3.3626</v>
      </c>
      <c r="CN148" s="230">
        <v>80115750</v>
      </c>
      <c r="CO148" s="230">
        <v>73440000</v>
      </c>
      <c r="CP148" s="230">
        <v>6675750</v>
      </c>
      <c r="CQ148" s="229">
        <v>9.0899999999999995E-2</v>
      </c>
      <c r="CR148" s="230">
        <v>54999000</v>
      </c>
      <c r="CS148" s="230">
        <v>47493000</v>
      </c>
      <c r="CT148" s="230">
        <v>7506000</v>
      </c>
      <c r="CU148" s="229">
        <v>0.158</v>
      </c>
      <c r="CV148" s="230">
        <v>461571750</v>
      </c>
      <c r="CW148" s="230">
        <v>447025500</v>
      </c>
      <c r="CX148" s="230">
        <v>14546250</v>
      </c>
      <c r="CY148" s="229">
        <v>3.2500000000000001E-2</v>
      </c>
      <c r="CZ148" s="228">
        <v>33.1</v>
      </c>
      <c r="DA148" s="228">
        <v>34.01</v>
      </c>
      <c r="DB148" s="228">
        <v>-0.91</v>
      </c>
      <c r="DC148" s="228">
        <v>-0.91</v>
      </c>
      <c r="DD148" s="228">
        <v>39.090000000000003</v>
      </c>
      <c r="DE148" s="228">
        <v>38.96</v>
      </c>
      <c r="DF148" s="228">
        <v>-5.99</v>
      </c>
      <c r="DG148" s="228">
        <v>0.13</v>
      </c>
      <c r="DH148" s="228">
        <v>32.17</v>
      </c>
      <c r="DI148" s="228">
        <v>33.14</v>
      </c>
      <c r="DJ148" s="228">
        <v>-0.97</v>
      </c>
      <c r="DK148" s="228">
        <v>-0.97</v>
      </c>
      <c r="DL148" s="228">
        <v>35.799999999999997</v>
      </c>
      <c r="DM148" s="228">
        <v>36.32</v>
      </c>
      <c r="DN148" s="228">
        <v>-0.52</v>
      </c>
      <c r="DO148" s="228">
        <v>-0.52</v>
      </c>
      <c r="DP148" s="228">
        <v>0.69</v>
      </c>
      <c r="DQ148" s="228">
        <v>0.65</v>
      </c>
      <c r="DR148" s="228">
        <v>0.04</v>
      </c>
      <c r="DS148" s="229">
        <v>6.1499999999999999E-2</v>
      </c>
      <c r="DT148" s="228">
        <v>90</v>
      </c>
      <c r="DU148" s="228">
        <v>80</v>
      </c>
      <c r="DV148" s="228">
        <v>0.34</v>
      </c>
      <c r="DW148" s="228">
        <v>0.37</v>
      </c>
      <c r="DX148" s="228">
        <v>-0.03</v>
      </c>
      <c r="DY148" s="229">
        <v>-8.1100000000000005E-2</v>
      </c>
      <c r="DZ148" s="229">
        <v>6.0699999999999997E-2</v>
      </c>
      <c r="EA148" s="230">
        <v>13608000</v>
      </c>
      <c r="EB148" s="229">
        <v>5.5999999999999999E-3</v>
      </c>
      <c r="EC148" s="229">
        <v>6.0699999999999997E-2</v>
      </c>
      <c r="ED148" s="228">
        <v>0.56999999999999995</v>
      </c>
      <c r="EE148" s="229">
        <v>6.4000000000000003E-3</v>
      </c>
      <c r="EF148" s="230">
        <v>21621115</v>
      </c>
      <c r="EG148" s="230">
        <v>19919788</v>
      </c>
      <c r="EH148" s="229">
        <v>8.5400000000000004E-2</v>
      </c>
      <c r="EI148" s="229">
        <v>0.4834</v>
      </c>
      <c r="EJ148" s="231">
        <v>154941.78</v>
      </c>
      <c r="EK148" s="231">
        <v>49388.97</v>
      </c>
      <c r="EL148" s="231">
        <v>45337.36</v>
      </c>
      <c r="EM148" s="231">
        <v>5420</v>
      </c>
      <c r="EN148" s="231">
        <v>249668.11</v>
      </c>
      <c r="EO148" s="231">
        <v>206961.16</v>
      </c>
      <c r="EP148" s="231">
        <v>42706.95</v>
      </c>
      <c r="EQ148" s="229">
        <v>0.2064</v>
      </c>
      <c r="ER148" s="231">
        <v>70870</v>
      </c>
      <c r="ES148" s="231">
        <v>44322</v>
      </c>
      <c r="ET148" s="231">
        <v>293771</v>
      </c>
      <c r="EU148" s="231">
        <v>517037525</v>
      </c>
      <c r="EV148" s="231">
        <v>408962</v>
      </c>
      <c r="EW148" s="231">
        <v>386207</v>
      </c>
      <c r="EX148" s="231">
        <v>22755</v>
      </c>
      <c r="EY148" s="229">
        <v>5.8900000000000001E-2</v>
      </c>
      <c r="EZ148" s="229">
        <v>0.89270000000000005</v>
      </c>
      <c r="FA148" s="227" t="s">
        <v>555</v>
      </c>
      <c r="FB148" s="161">
        <f t="shared" si="3"/>
        <v>0</v>
      </c>
    </row>
    <row r="149" spans="1:158" ht="17.25" thickBot="1" x14ac:dyDescent="0.3">
      <c r="A149" s="226">
        <v>46129</v>
      </c>
      <c r="B149" s="227" t="s">
        <v>161</v>
      </c>
      <c r="C149" s="227" t="s">
        <v>268</v>
      </c>
      <c r="D149" s="228">
        <v>1500</v>
      </c>
      <c r="E149" s="228">
        <v>395.2</v>
      </c>
      <c r="F149" s="228">
        <v>391.95</v>
      </c>
      <c r="G149" s="228">
        <v>3.25</v>
      </c>
      <c r="H149" s="229">
        <v>8.3000000000000001E-3</v>
      </c>
      <c r="I149" s="228">
        <v>393.6</v>
      </c>
      <c r="J149" s="228">
        <v>390.8</v>
      </c>
      <c r="K149" s="228">
        <v>2.8</v>
      </c>
      <c r="L149" s="229">
        <v>7.1999999999999998E-3</v>
      </c>
      <c r="M149" s="228">
        <v>395.2</v>
      </c>
      <c r="N149" s="228">
        <v>391.95</v>
      </c>
      <c r="O149" s="228">
        <v>3.25</v>
      </c>
      <c r="P149" s="229">
        <v>8.3000000000000001E-3</v>
      </c>
      <c r="Q149" s="228">
        <v>397.1</v>
      </c>
      <c r="R149" s="228">
        <v>394.25</v>
      </c>
      <c r="S149" s="228">
        <v>2.85</v>
      </c>
      <c r="T149" s="229">
        <v>7.1999999999999998E-3</v>
      </c>
      <c r="U149" s="228">
        <v>399.1</v>
      </c>
      <c r="V149" s="228">
        <v>396.6</v>
      </c>
      <c r="W149" s="228">
        <v>2.5</v>
      </c>
      <c r="X149" s="229">
        <v>6.3E-3</v>
      </c>
      <c r="Y149" s="228">
        <v>1.6</v>
      </c>
      <c r="Z149" s="228">
        <v>1.1499999999999999</v>
      </c>
      <c r="AA149" s="228">
        <v>0.45</v>
      </c>
      <c r="AB149" s="229">
        <v>4.1000000000000003E-3</v>
      </c>
      <c r="AC149" s="228">
        <v>1.6</v>
      </c>
      <c r="AD149" s="228">
        <v>1.1499999999999999</v>
      </c>
      <c r="AE149" s="228">
        <v>0.45</v>
      </c>
      <c r="AF149" s="229">
        <v>4.1000000000000003E-3</v>
      </c>
      <c r="AG149" s="228">
        <v>3.5</v>
      </c>
      <c r="AH149" s="228">
        <v>3.45</v>
      </c>
      <c r="AI149" s="228">
        <v>0.05</v>
      </c>
      <c r="AJ149" s="229">
        <v>8.8999999999999999E-3</v>
      </c>
      <c r="AK149" s="228">
        <v>5.5</v>
      </c>
      <c r="AL149" s="228">
        <v>5.8</v>
      </c>
      <c r="AM149" s="228">
        <v>-0.3</v>
      </c>
      <c r="AN149" s="229">
        <v>1.4E-2</v>
      </c>
      <c r="AO149" s="228">
        <v>393.65</v>
      </c>
      <c r="AP149" s="228">
        <v>394.88</v>
      </c>
      <c r="AQ149" s="228">
        <v>0</v>
      </c>
      <c r="AR149" s="230">
        <v>20563500</v>
      </c>
      <c r="AS149" s="230">
        <v>12744000</v>
      </c>
      <c r="AT149" s="230">
        <v>7819500</v>
      </c>
      <c r="AU149" s="229">
        <v>0.61360000000000003</v>
      </c>
      <c r="AV149" s="230">
        <v>16773000</v>
      </c>
      <c r="AW149" s="230">
        <v>10233000</v>
      </c>
      <c r="AX149" s="230">
        <v>6540000</v>
      </c>
      <c r="AY149" s="229">
        <v>0.6391</v>
      </c>
      <c r="AZ149" s="230">
        <v>3672000</v>
      </c>
      <c r="BA149" s="230">
        <v>915000</v>
      </c>
      <c r="BB149" s="230">
        <v>2757000</v>
      </c>
      <c r="BC149" s="229">
        <v>3.0131000000000001</v>
      </c>
      <c r="BD149" s="230">
        <v>118500</v>
      </c>
      <c r="BE149" s="230">
        <v>1596000</v>
      </c>
      <c r="BF149" s="230">
        <v>-1477500</v>
      </c>
      <c r="BG149" s="229">
        <v>-0.92579999999999996</v>
      </c>
      <c r="BH149" s="230">
        <v>84981000</v>
      </c>
      <c r="BI149" s="230">
        <v>74103000</v>
      </c>
      <c r="BJ149" s="230">
        <v>10878000</v>
      </c>
      <c r="BK149" s="229">
        <v>0.14680000000000001</v>
      </c>
      <c r="BL149" s="230">
        <v>40204500</v>
      </c>
      <c r="BM149" s="230">
        <v>32655000</v>
      </c>
      <c r="BN149" s="230">
        <v>7549500</v>
      </c>
      <c r="BO149" s="229">
        <v>0.23119999999999999</v>
      </c>
      <c r="BP149" s="230">
        <v>145749000</v>
      </c>
      <c r="BQ149" s="230">
        <v>119502000</v>
      </c>
      <c r="BR149" s="230">
        <v>26247000</v>
      </c>
      <c r="BS149" s="229">
        <v>0.21959999999999999</v>
      </c>
      <c r="BT149" s="230">
        <v>15936041</v>
      </c>
      <c r="BU149" s="230">
        <v>10966414</v>
      </c>
      <c r="BV149" s="230">
        <v>4969627</v>
      </c>
      <c r="BW149" s="229">
        <v>0.45319999999999999</v>
      </c>
      <c r="BX149" s="230">
        <v>98035500</v>
      </c>
      <c r="BY149" s="230">
        <v>91377000</v>
      </c>
      <c r="BZ149" s="230">
        <v>6658500</v>
      </c>
      <c r="CA149" s="229">
        <v>7.2900000000000006E-2</v>
      </c>
      <c r="CB149" s="230">
        <v>82618500</v>
      </c>
      <c r="CC149" s="230">
        <v>78525000</v>
      </c>
      <c r="CD149" s="230">
        <v>4093500</v>
      </c>
      <c r="CE149" s="229">
        <v>5.21E-2</v>
      </c>
      <c r="CF149" s="230">
        <v>12052500</v>
      </c>
      <c r="CG149" s="230">
        <v>9495000</v>
      </c>
      <c r="CH149" s="230">
        <v>2557500</v>
      </c>
      <c r="CI149" s="229">
        <v>0.26939999999999997</v>
      </c>
      <c r="CJ149" s="230">
        <v>3364500</v>
      </c>
      <c r="CK149" s="230">
        <v>3357000</v>
      </c>
      <c r="CL149" s="230">
        <v>7500</v>
      </c>
      <c r="CM149" s="229">
        <v>2.2000000000000001E-3</v>
      </c>
      <c r="CN149" s="230">
        <v>59341500</v>
      </c>
      <c r="CO149" s="230">
        <v>51408000</v>
      </c>
      <c r="CP149" s="230">
        <v>7933500</v>
      </c>
      <c r="CQ149" s="229">
        <v>0.15429999999999999</v>
      </c>
      <c r="CR149" s="230">
        <v>31327500</v>
      </c>
      <c r="CS149" s="230">
        <v>28999500</v>
      </c>
      <c r="CT149" s="230">
        <v>2328000</v>
      </c>
      <c r="CU149" s="229">
        <v>8.0299999999999996E-2</v>
      </c>
      <c r="CV149" s="230">
        <v>188704500</v>
      </c>
      <c r="CW149" s="230">
        <v>171784500</v>
      </c>
      <c r="CX149" s="230">
        <v>16920000</v>
      </c>
      <c r="CY149" s="229">
        <v>9.8500000000000004E-2</v>
      </c>
      <c r="CZ149" s="228">
        <v>19.97</v>
      </c>
      <c r="DA149" s="228">
        <v>21.65</v>
      </c>
      <c r="DB149" s="228">
        <v>-1.68</v>
      </c>
      <c r="DC149" s="228">
        <v>-1.68</v>
      </c>
      <c r="DD149" s="228">
        <v>27.42</v>
      </c>
      <c r="DE149" s="228">
        <v>27.47</v>
      </c>
      <c r="DF149" s="228">
        <v>-7.45</v>
      </c>
      <c r="DG149" s="228">
        <v>-0.05</v>
      </c>
      <c r="DH149" s="228">
        <v>19.21</v>
      </c>
      <c r="DI149" s="228">
        <v>21.05</v>
      </c>
      <c r="DJ149" s="228">
        <v>-1.84</v>
      </c>
      <c r="DK149" s="228">
        <v>-1.84</v>
      </c>
      <c r="DL149" s="228">
        <v>21.58</v>
      </c>
      <c r="DM149" s="228">
        <v>23</v>
      </c>
      <c r="DN149" s="228">
        <v>-1.42</v>
      </c>
      <c r="DO149" s="228">
        <v>-1.42</v>
      </c>
      <c r="DP149" s="228">
        <v>0.53</v>
      </c>
      <c r="DQ149" s="228">
        <v>0.56000000000000005</v>
      </c>
      <c r="DR149" s="228">
        <v>-0.03</v>
      </c>
      <c r="DS149" s="229">
        <v>-5.3600000000000002E-2</v>
      </c>
      <c r="DT149" s="228">
        <v>395</v>
      </c>
      <c r="DU149" s="228">
        <v>380</v>
      </c>
      <c r="DV149" s="228">
        <v>0.47</v>
      </c>
      <c r="DW149" s="228">
        <v>0.44</v>
      </c>
      <c r="DX149" s="228">
        <v>0.03</v>
      </c>
      <c r="DY149" s="229">
        <v>6.8199999999999997E-2</v>
      </c>
      <c r="DZ149" s="229">
        <v>0.1573</v>
      </c>
      <c r="EA149" s="230">
        <v>12852000</v>
      </c>
      <c r="EB149" s="229">
        <v>4.7999999999999996E-3</v>
      </c>
      <c r="EC149" s="229">
        <v>0.1573</v>
      </c>
      <c r="ED149" s="228">
        <v>1.23</v>
      </c>
      <c r="EE149" s="229">
        <v>3.0999999999999999E-3</v>
      </c>
      <c r="EF149" s="230">
        <v>10153267</v>
      </c>
      <c r="EG149" s="230">
        <v>5164136</v>
      </c>
      <c r="EH149" s="229">
        <v>0.96609999999999996</v>
      </c>
      <c r="EI149" s="229">
        <v>0.6371</v>
      </c>
      <c r="EJ149" s="231">
        <v>342268.47</v>
      </c>
      <c r="EK149" s="231">
        <v>156749.38</v>
      </c>
      <c r="EL149" s="231">
        <v>80998.289999999994</v>
      </c>
      <c r="EM149" s="231">
        <v>9162</v>
      </c>
      <c r="EN149" s="231">
        <v>580016.14</v>
      </c>
      <c r="EO149" s="231">
        <v>476757.79</v>
      </c>
      <c r="EP149" s="231">
        <v>103258.35</v>
      </c>
      <c r="EQ149" s="229">
        <v>0.21659999999999999</v>
      </c>
      <c r="ER149" s="231">
        <v>231581</v>
      </c>
      <c r="ES149" s="231">
        <v>116822</v>
      </c>
      <c r="ET149" s="231">
        <v>387797</v>
      </c>
      <c r="EU149" s="231">
        <v>550512361</v>
      </c>
      <c r="EV149" s="231">
        <v>736199</v>
      </c>
      <c r="EW149" s="231">
        <v>666166</v>
      </c>
      <c r="EX149" s="231">
        <v>70033</v>
      </c>
      <c r="EY149" s="229">
        <v>0.1051</v>
      </c>
      <c r="EZ149" s="229">
        <v>0.34279999999999999</v>
      </c>
      <c r="FA149" s="227" t="s">
        <v>555</v>
      </c>
      <c r="FB149" s="161">
        <f t="shared" si="3"/>
        <v>0</v>
      </c>
    </row>
    <row r="150" spans="1:158" ht="17.25" thickBot="1" x14ac:dyDescent="0.3">
      <c r="A150" s="226">
        <v>46129</v>
      </c>
      <c r="B150" s="227" t="s">
        <v>175</v>
      </c>
      <c r="C150" s="227" t="s">
        <v>683</v>
      </c>
      <c r="D150" s="228">
        <v>500</v>
      </c>
      <c r="E150" s="231">
        <v>1394.8</v>
      </c>
      <c r="F150" s="231">
        <v>1355.9</v>
      </c>
      <c r="G150" s="228">
        <v>38.9</v>
      </c>
      <c r="H150" s="229">
        <v>2.87E-2</v>
      </c>
      <c r="I150" s="231">
        <v>1400.7</v>
      </c>
      <c r="J150" s="231">
        <v>1366.4</v>
      </c>
      <c r="K150" s="228">
        <v>34.299999999999997</v>
      </c>
      <c r="L150" s="229">
        <v>2.5100000000000001E-2</v>
      </c>
      <c r="M150" s="231">
        <v>1394.8</v>
      </c>
      <c r="N150" s="231">
        <v>1355.9</v>
      </c>
      <c r="O150" s="228">
        <v>38.9</v>
      </c>
      <c r="P150" s="229">
        <v>2.87E-2</v>
      </c>
      <c r="Q150" s="231">
        <v>1384.8</v>
      </c>
      <c r="R150" s="231">
        <v>1345.7</v>
      </c>
      <c r="S150" s="228">
        <v>39.1</v>
      </c>
      <c r="T150" s="229">
        <v>2.9100000000000001E-2</v>
      </c>
      <c r="U150" s="231">
        <v>1375.9</v>
      </c>
      <c r="V150" s="231">
        <v>1349.1</v>
      </c>
      <c r="W150" s="228">
        <v>26.8</v>
      </c>
      <c r="X150" s="229">
        <v>1.9900000000000001E-2</v>
      </c>
      <c r="Y150" s="228">
        <v>-5.9</v>
      </c>
      <c r="Z150" s="228">
        <v>-10.5</v>
      </c>
      <c r="AA150" s="228">
        <v>4.5999999999999996</v>
      </c>
      <c r="AB150" s="229">
        <v>-4.1999999999999997E-3</v>
      </c>
      <c r="AC150" s="228">
        <v>-5.9</v>
      </c>
      <c r="AD150" s="228">
        <v>-10.5</v>
      </c>
      <c r="AE150" s="228">
        <v>4.5999999999999996</v>
      </c>
      <c r="AF150" s="229">
        <v>-4.1999999999999997E-3</v>
      </c>
      <c r="AG150" s="228">
        <v>-15.9</v>
      </c>
      <c r="AH150" s="228">
        <v>-20.7</v>
      </c>
      <c r="AI150" s="228">
        <v>4.8</v>
      </c>
      <c r="AJ150" s="229">
        <v>-1.14E-2</v>
      </c>
      <c r="AK150" s="228">
        <v>-24.8</v>
      </c>
      <c r="AL150" s="228">
        <v>-17.3</v>
      </c>
      <c r="AM150" s="228">
        <v>-7.5</v>
      </c>
      <c r="AN150" s="229">
        <v>-1.77E-2</v>
      </c>
      <c r="AO150" s="231">
        <v>1387.62</v>
      </c>
      <c r="AP150" s="231">
        <v>1371.3</v>
      </c>
      <c r="AQ150" s="228">
        <v>0</v>
      </c>
      <c r="AR150" s="230">
        <v>680000</v>
      </c>
      <c r="AS150" s="230">
        <v>527000</v>
      </c>
      <c r="AT150" s="230">
        <v>153000</v>
      </c>
      <c r="AU150" s="229">
        <v>0.2903</v>
      </c>
      <c r="AV150" s="230">
        <v>568500</v>
      </c>
      <c r="AW150" s="230">
        <v>462500</v>
      </c>
      <c r="AX150" s="230">
        <v>106000</v>
      </c>
      <c r="AY150" s="229">
        <v>0.22919999999999999</v>
      </c>
      <c r="AZ150" s="230">
        <v>109500</v>
      </c>
      <c r="BA150" s="230">
        <v>62500</v>
      </c>
      <c r="BB150" s="230">
        <v>47000</v>
      </c>
      <c r="BC150" s="229">
        <v>0.752</v>
      </c>
      <c r="BD150" s="230">
        <v>2000</v>
      </c>
      <c r="BE150" s="230">
        <v>2000</v>
      </c>
      <c r="BF150" s="228">
        <v>0</v>
      </c>
      <c r="BG150" s="229">
        <v>0</v>
      </c>
      <c r="BH150" s="230">
        <v>1405000</v>
      </c>
      <c r="BI150" s="230">
        <v>459500</v>
      </c>
      <c r="BJ150" s="230">
        <v>945500</v>
      </c>
      <c r="BK150" s="229">
        <v>2.0577000000000001</v>
      </c>
      <c r="BL150" s="230">
        <v>411500</v>
      </c>
      <c r="BM150" s="230">
        <v>660500</v>
      </c>
      <c r="BN150" s="230">
        <v>-249000</v>
      </c>
      <c r="BO150" s="229">
        <v>-0.377</v>
      </c>
      <c r="BP150" s="230">
        <v>2496500</v>
      </c>
      <c r="BQ150" s="230">
        <v>1647000</v>
      </c>
      <c r="BR150" s="230">
        <v>849500</v>
      </c>
      <c r="BS150" s="229">
        <v>0.51580000000000004</v>
      </c>
      <c r="BT150" s="230">
        <v>389302</v>
      </c>
      <c r="BU150" s="230">
        <v>500996</v>
      </c>
      <c r="BV150" s="230">
        <v>-111694</v>
      </c>
      <c r="BW150" s="229">
        <v>-0.22289999999999999</v>
      </c>
      <c r="BX150" s="230">
        <v>2038000</v>
      </c>
      <c r="BY150" s="230">
        <v>2007000</v>
      </c>
      <c r="BZ150" s="230">
        <v>31000</v>
      </c>
      <c r="CA150" s="229">
        <v>1.54E-2</v>
      </c>
      <c r="CB150" s="230">
        <v>1877500</v>
      </c>
      <c r="CC150" s="230">
        <v>1903500</v>
      </c>
      <c r="CD150" s="230">
        <v>-26000</v>
      </c>
      <c r="CE150" s="229">
        <v>-1.37E-2</v>
      </c>
      <c r="CF150" s="230">
        <v>143000</v>
      </c>
      <c r="CG150" s="230">
        <v>87500</v>
      </c>
      <c r="CH150" s="230">
        <v>55500</v>
      </c>
      <c r="CI150" s="229">
        <v>0.63429999999999997</v>
      </c>
      <c r="CJ150" s="230">
        <v>17500</v>
      </c>
      <c r="CK150" s="230">
        <v>16000</v>
      </c>
      <c r="CL150" s="230">
        <v>1500</v>
      </c>
      <c r="CM150" s="229">
        <v>9.3799999999999994E-2</v>
      </c>
      <c r="CN150" s="230">
        <v>964000</v>
      </c>
      <c r="CO150" s="230">
        <v>879000</v>
      </c>
      <c r="CP150" s="230">
        <v>85000</v>
      </c>
      <c r="CQ150" s="229">
        <v>9.6699999999999994E-2</v>
      </c>
      <c r="CR150" s="230">
        <v>815500</v>
      </c>
      <c r="CS150" s="230">
        <v>784500</v>
      </c>
      <c r="CT150" s="230">
        <v>31000</v>
      </c>
      <c r="CU150" s="229">
        <v>3.95E-2</v>
      </c>
      <c r="CV150" s="230">
        <v>3817500</v>
      </c>
      <c r="CW150" s="230">
        <v>3670500</v>
      </c>
      <c r="CX150" s="230">
        <v>147000</v>
      </c>
      <c r="CY150" s="229">
        <v>0.04</v>
      </c>
      <c r="CZ150" s="228">
        <v>40.909999999999997</v>
      </c>
      <c r="DA150" s="228">
        <v>49.64</v>
      </c>
      <c r="DB150" s="228">
        <v>-8.73</v>
      </c>
      <c r="DC150" s="228">
        <v>-8.73</v>
      </c>
      <c r="DD150" s="228">
        <v>51.01</v>
      </c>
      <c r="DE150" s="228">
        <v>51</v>
      </c>
      <c r="DF150" s="228">
        <v>-10.1</v>
      </c>
      <c r="DG150" s="228">
        <v>0.01</v>
      </c>
      <c r="DH150" s="228">
        <v>38.950000000000003</v>
      </c>
      <c r="DI150" s="228">
        <v>38.68</v>
      </c>
      <c r="DJ150" s="228">
        <v>0.27</v>
      </c>
      <c r="DK150" s="228">
        <v>0.27</v>
      </c>
      <c r="DL150" s="228">
        <v>47.62</v>
      </c>
      <c r="DM150" s="228">
        <v>57.27</v>
      </c>
      <c r="DN150" s="228">
        <v>-9.65</v>
      </c>
      <c r="DO150" s="228">
        <v>-9.65</v>
      </c>
      <c r="DP150" s="228">
        <v>0.85</v>
      </c>
      <c r="DQ150" s="228">
        <v>0.89</v>
      </c>
      <c r="DR150" s="228">
        <v>-0.04</v>
      </c>
      <c r="DS150" s="229">
        <v>-4.4900000000000002E-2</v>
      </c>
      <c r="DT150" s="231">
        <v>1480</v>
      </c>
      <c r="DU150" s="231">
        <v>1300</v>
      </c>
      <c r="DV150" s="228">
        <v>0.28999999999999998</v>
      </c>
      <c r="DW150" s="228">
        <v>1.44</v>
      </c>
      <c r="DX150" s="228">
        <v>-1.1499999999999999</v>
      </c>
      <c r="DY150" s="229">
        <v>-0.79859999999999998</v>
      </c>
      <c r="DZ150" s="229">
        <v>7.8799999999999995E-2</v>
      </c>
      <c r="EA150" s="230">
        <v>103500</v>
      </c>
      <c r="EB150" s="229">
        <v>-7.1999999999999998E-3</v>
      </c>
      <c r="EC150" s="229">
        <v>7.8799999999999995E-2</v>
      </c>
      <c r="ED150" s="228">
        <v>-16.32</v>
      </c>
      <c r="EE150" s="229">
        <v>-1.18E-2</v>
      </c>
      <c r="EF150" s="230">
        <v>169158</v>
      </c>
      <c r="EG150" s="230">
        <v>261311</v>
      </c>
      <c r="EH150" s="229">
        <v>-0.35270000000000001</v>
      </c>
      <c r="EI150" s="229">
        <v>0.4345</v>
      </c>
      <c r="EJ150" s="231">
        <v>20518.12</v>
      </c>
      <c r="EK150" s="231">
        <v>5197.1000000000004</v>
      </c>
      <c r="EL150" s="231">
        <v>9417.68</v>
      </c>
      <c r="EM150" s="228">
        <v>730</v>
      </c>
      <c r="EN150" s="231">
        <v>35132.9</v>
      </c>
      <c r="EO150" s="231">
        <v>21192.17</v>
      </c>
      <c r="EP150" s="231">
        <v>13940.73</v>
      </c>
      <c r="EQ150" s="229">
        <v>0.65780000000000005</v>
      </c>
      <c r="ER150" s="231">
        <v>12983</v>
      </c>
      <c r="ES150" s="231">
        <v>9845</v>
      </c>
      <c r="ET150" s="231">
        <v>28408</v>
      </c>
      <c r="EU150" s="231">
        <v>12490416</v>
      </c>
      <c r="EV150" s="231">
        <v>51237</v>
      </c>
      <c r="EW150" s="231">
        <v>48214</v>
      </c>
      <c r="EX150" s="231">
        <v>3023</v>
      </c>
      <c r="EY150" s="229">
        <v>6.2700000000000006E-2</v>
      </c>
      <c r="EZ150" s="229">
        <v>0.30559999999999998</v>
      </c>
      <c r="FA150" s="227" t="s">
        <v>555</v>
      </c>
      <c r="FB150" s="161">
        <f t="shared" si="3"/>
        <v>0</v>
      </c>
    </row>
    <row r="151" spans="1:158" ht="17.25" thickBot="1" x14ac:dyDescent="0.3">
      <c r="A151" s="226">
        <v>46129</v>
      </c>
      <c r="B151" s="227" t="s">
        <v>614</v>
      </c>
      <c r="C151" s="227" t="s">
        <v>612</v>
      </c>
      <c r="D151" s="228">
        <v>3125</v>
      </c>
      <c r="E151" s="228">
        <v>270.02999999999997</v>
      </c>
      <c r="F151" s="228">
        <v>263.43</v>
      </c>
      <c r="G151" s="228">
        <v>6.6</v>
      </c>
      <c r="H151" s="229">
        <v>2.5100000000000001E-2</v>
      </c>
      <c r="I151" s="228">
        <v>269.66000000000003</v>
      </c>
      <c r="J151" s="228">
        <v>262.61</v>
      </c>
      <c r="K151" s="228">
        <v>7.05</v>
      </c>
      <c r="L151" s="229">
        <v>2.6800000000000001E-2</v>
      </c>
      <c r="M151" s="228">
        <v>270.02999999999997</v>
      </c>
      <c r="N151" s="228">
        <v>263.43</v>
      </c>
      <c r="O151" s="228">
        <v>6.6</v>
      </c>
      <c r="P151" s="229">
        <v>2.5100000000000001E-2</v>
      </c>
      <c r="Q151" s="228">
        <v>270.89</v>
      </c>
      <c r="R151" s="228">
        <v>264.91000000000003</v>
      </c>
      <c r="S151" s="228">
        <v>5.98</v>
      </c>
      <c r="T151" s="229">
        <v>2.2599999999999999E-2</v>
      </c>
      <c r="U151" s="228">
        <v>270</v>
      </c>
      <c r="V151" s="228">
        <v>264.48</v>
      </c>
      <c r="W151" s="228">
        <v>5.52</v>
      </c>
      <c r="X151" s="229">
        <v>2.0899999999999998E-2</v>
      </c>
      <c r="Y151" s="228">
        <v>0.37</v>
      </c>
      <c r="Z151" s="228">
        <v>0.82</v>
      </c>
      <c r="AA151" s="228">
        <v>-0.45</v>
      </c>
      <c r="AB151" s="229">
        <v>1.4E-3</v>
      </c>
      <c r="AC151" s="228">
        <v>0.37</v>
      </c>
      <c r="AD151" s="228">
        <v>0.82</v>
      </c>
      <c r="AE151" s="228">
        <v>-0.45</v>
      </c>
      <c r="AF151" s="229">
        <v>1.4E-3</v>
      </c>
      <c r="AG151" s="228">
        <v>1.23</v>
      </c>
      <c r="AH151" s="228">
        <v>2.2999999999999998</v>
      </c>
      <c r="AI151" s="228">
        <v>-1.07</v>
      </c>
      <c r="AJ151" s="229">
        <v>4.5999999999999999E-3</v>
      </c>
      <c r="AK151" s="228">
        <v>0.34</v>
      </c>
      <c r="AL151" s="228">
        <v>1.87</v>
      </c>
      <c r="AM151" s="228">
        <v>-1.53</v>
      </c>
      <c r="AN151" s="229">
        <v>1.2999999999999999E-3</v>
      </c>
      <c r="AO151" s="228">
        <v>268.26</v>
      </c>
      <c r="AP151" s="228">
        <v>268.88</v>
      </c>
      <c r="AQ151" s="228">
        <v>0</v>
      </c>
      <c r="AR151" s="230">
        <v>4759375</v>
      </c>
      <c r="AS151" s="230">
        <v>3018750</v>
      </c>
      <c r="AT151" s="230">
        <v>1740625</v>
      </c>
      <c r="AU151" s="229">
        <v>0.5766</v>
      </c>
      <c r="AV151" s="230">
        <v>4093750</v>
      </c>
      <c r="AW151" s="230">
        <v>2721875</v>
      </c>
      <c r="AX151" s="230">
        <v>1371875</v>
      </c>
      <c r="AY151" s="229">
        <v>0.504</v>
      </c>
      <c r="AZ151" s="230">
        <v>615625</v>
      </c>
      <c r="BA151" s="230">
        <v>259375</v>
      </c>
      <c r="BB151" s="230">
        <v>356250</v>
      </c>
      <c r="BC151" s="229">
        <v>1.3734999999999999</v>
      </c>
      <c r="BD151" s="230">
        <v>50000</v>
      </c>
      <c r="BE151" s="230">
        <v>37500</v>
      </c>
      <c r="BF151" s="230">
        <v>12500</v>
      </c>
      <c r="BG151" s="229">
        <v>0.33329999999999999</v>
      </c>
      <c r="BH151" s="230">
        <v>12515625</v>
      </c>
      <c r="BI151" s="230">
        <v>6659375</v>
      </c>
      <c r="BJ151" s="230">
        <v>5856250</v>
      </c>
      <c r="BK151" s="229">
        <v>0.87939999999999996</v>
      </c>
      <c r="BL151" s="230">
        <v>4665625</v>
      </c>
      <c r="BM151" s="230">
        <v>2134375</v>
      </c>
      <c r="BN151" s="230">
        <v>2531250</v>
      </c>
      <c r="BO151" s="229">
        <v>1.1859</v>
      </c>
      <c r="BP151" s="230">
        <v>21940625</v>
      </c>
      <c r="BQ151" s="230">
        <v>11812500</v>
      </c>
      <c r="BR151" s="230">
        <v>10128125</v>
      </c>
      <c r="BS151" s="229">
        <v>0.85740000000000005</v>
      </c>
      <c r="BT151" s="230">
        <v>3779759</v>
      </c>
      <c r="BU151" s="230">
        <v>3179795</v>
      </c>
      <c r="BV151" s="230">
        <v>599964</v>
      </c>
      <c r="BW151" s="229">
        <v>0.18870000000000001</v>
      </c>
      <c r="BX151" s="230">
        <v>45559375</v>
      </c>
      <c r="BY151" s="230">
        <v>45734375</v>
      </c>
      <c r="BZ151" s="230">
        <v>-175000</v>
      </c>
      <c r="CA151" s="229">
        <v>-3.8E-3</v>
      </c>
      <c r="CB151" s="230">
        <v>44303125</v>
      </c>
      <c r="CC151" s="230">
        <v>44609375</v>
      </c>
      <c r="CD151" s="230">
        <v>-306250</v>
      </c>
      <c r="CE151" s="229">
        <v>-6.8999999999999999E-3</v>
      </c>
      <c r="CF151" s="230">
        <v>1175000</v>
      </c>
      <c r="CG151" s="230">
        <v>1056250</v>
      </c>
      <c r="CH151" s="230">
        <v>118750</v>
      </c>
      <c r="CI151" s="229">
        <v>0.1124</v>
      </c>
      <c r="CJ151" s="230">
        <v>81250</v>
      </c>
      <c r="CK151" s="230">
        <v>68750</v>
      </c>
      <c r="CL151" s="230">
        <v>12500</v>
      </c>
      <c r="CM151" s="229">
        <v>0.18179999999999999</v>
      </c>
      <c r="CN151" s="230">
        <v>7662500</v>
      </c>
      <c r="CO151" s="230">
        <v>8190625</v>
      </c>
      <c r="CP151" s="230">
        <v>-528125</v>
      </c>
      <c r="CQ151" s="229">
        <v>-6.4500000000000002E-2</v>
      </c>
      <c r="CR151" s="230">
        <v>5409375</v>
      </c>
      <c r="CS151" s="230">
        <v>4625000</v>
      </c>
      <c r="CT151" s="230">
        <v>784375</v>
      </c>
      <c r="CU151" s="229">
        <v>0.1696</v>
      </c>
      <c r="CV151" s="230">
        <v>58631250</v>
      </c>
      <c r="CW151" s="230">
        <v>58550000</v>
      </c>
      <c r="CX151" s="230">
        <v>81250</v>
      </c>
      <c r="CY151" s="229">
        <v>1.4E-3</v>
      </c>
      <c r="CZ151" s="228">
        <v>29.56</v>
      </c>
      <c r="DA151" s="228">
        <v>30.95</v>
      </c>
      <c r="DB151" s="228">
        <v>-1.39</v>
      </c>
      <c r="DC151" s="228">
        <v>-1.39</v>
      </c>
      <c r="DD151" s="228">
        <v>36.020000000000003</v>
      </c>
      <c r="DE151" s="228">
        <v>35.94</v>
      </c>
      <c r="DF151" s="228">
        <v>-6.46</v>
      </c>
      <c r="DG151" s="228">
        <v>0.08</v>
      </c>
      <c r="DH151" s="228">
        <v>28.27</v>
      </c>
      <c r="DI151" s="228">
        <v>30.14</v>
      </c>
      <c r="DJ151" s="228">
        <v>-1.87</v>
      </c>
      <c r="DK151" s="228">
        <v>-1.87</v>
      </c>
      <c r="DL151" s="228">
        <v>33.03</v>
      </c>
      <c r="DM151" s="228">
        <v>33.49</v>
      </c>
      <c r="DN151" s="228">
        <v>-0.46</v>
      </c>
      <c r="DO151" s="228">
        <v>-0.46</v>
      </c>
      <c r="DP151" s="228">
        <v>0.71</v>
      </c>
      <c r="DQ151" s="228">
        <v>0.56000000000000005</v>
      </c>
      <c r="DR151" s="228">
        <v>0.15</v>
      </c>
      <c r="DS151" s="229">
        <v>0.26790000000000003</v>
      </c>
      <c r="DT151" s="228">
        <v>280</v>
      </c>
      <c r="DU151" s="228">
        <v>245</v>
      </c>
      <c r="DV151" s="228">
        <v>0.37</v>
      </c>
      <c r="DW151" s="228">
        <v>0.32</v>
      </c>
      <c r="DX151" s="228">
        <v>0.05</v>
      </c>
      <c r="DY151" s="229">
        <v>0.15620000000000001</v>
      </c>
      <c r="DZ151" s="229">
        <v>2.76E-2</v>
      </c>
      <c r="EA151" s="230">
        <v>1125000</v>
      </c>
      <c r="EB151" s="229">
        <v>3.2000000000000002E-3</v>
      </c>
      <c r="EC151" s="229">
        <v>2.76E-2</v>
      </c>
      <c r="ED151" s="228">
        <v>0.62</v>
      </c>
      <c r="EE151" s="229">
        <v>2.3E-3</v>
      </c>
      <c r="EF151" s="230">
        <v>1893254</v>
      </c>
      <c r="EG151" s="230">
        <v>1708444</v>
      </c>
      <c r="EH151" s="229">
        <v>0.1082</v>
      </c>
      <c r="EI151" s="229">
        <v>0.50090000000000001</v>
      </c>
      <c r="EJ151" s="231">
        <v>34614.199999999997</v>
      </c>
      <c r="EK151" s="231">
        <v>12023.17</v>
      </c>
      <c r="EL151" s="231">
        <v>12771.35</v>
      </c>
      <c r="EM151" s="231">
        <v>1141</v>
      </c>
      <c r="EN151" s="231">
        <v>59408.72</v>
      </c>
      <c r="EO151" s="231">
        <v>31654.080000000002</v>
      </c>
      <c r="EP151" s="231">
        <v>27754.639999999999</v>
      </c>
      <c r="EQ151" s="229">
        <v>0.87680000000000002</v>
      </c>
      <c r="ER151" s="231">
        <v>20601</v>
      </c>
      <c r="ES151" s="231">
        <v>13463</v>
      </c>
      <c r="ET151" s="231">
        <v>123034</v>
      </c>
      <c r="EU151" s="231">
        <v>205669742</v>
      </c>
      <c r="EV151" s="231">
        <v>157098</v>
      </c>
      <c r="EW151" s="231">
        <v>153721</v>
      </c>
      <c r="EX151" s="231">
        <v>3377</v>
      </c>
      <c r="EY151" s="229">
        <v>2.1999999999999999E-2</v>
      </c>
      <c r="EZ151" s="229">
        <v>0.28510000000000002</v>
      </c>
      <c r="FA151" s="227" t="s">
        <v>693</v>
      </c>
      <c r="FB151" s="161">
        <f t="shared" si="3"/>
        <v>0</v>
      </c>
    </row>
    <row r="152" spans="1:158" ht="17.25" thickBot="1" x14ac:dyDescent="0.3">
      <c r="A152" s="226">
        <v>46129</v>
      </c>
      <c r="B152" s="227" t="s">
        <v>206</v>
      </c>
      <c r="C152" s="227" t="s">
        <v>528</v>
      </c>
      <c r="D152" s="228">
        <v>350</v>
      </c>
      <c r="E152" s="231">
        <v>1713.1</v>
      </c>
      <c r="F152" s="231">
        <v>1714.3</v>
      </c>
      <c r="G152" s="228">
        <v>-1.2</v>
      </c>
      <c r="H152" s="229">
        <v>-6.9999999999999999E-4</v>
      </c>
      <c r="I152" s="231">
        <v>1710.6</v>
      </c>
      <c r="J152" s="231">
        <v>1710.4</v>
      </c>
      <c r="K152" s="228">
        <v>0.2</v>
      </c>
      <c r="L152" s="229">
        <v>1E-4</v>
      </c>
      <c r="M152" s="231">
        <v>1713.1</v>
      </c>
      <c r="N152" s="231">
        <v>1714.3</v>
      </c>
      <c r="O152" s="228">
        <v>-1.2</v>
      </c>
      <c r="P152" s="229">
        <v>-6.9999999999999999E-4</v>
      </c>
      <c r="Q152" s="231">
        <v>1687.9</v>
      </c>
      <c r="R152" s="231">
        <v>1686.2</v>
      </c>
      <c r="S152" s="228">
        <v>1.7</v>
      </c>
      <c r="T152" s="229">
        <v>1E-3</v>
      </c>
      <c r="U152" s="231">
        <v>1671.5</v>
      </c>
      <c r="V152" s="231">
        <v>1675.2</v>
      </c>
      <c r="W152" s="228">
        <v>-3.7</v>
      </c>
      <c r="X152" s="229">
        <v>-2.2000000000000001E-3</v>
      </c>
      <c r="Y152" s="228">
        <v>2.5</v>
      </c>
      <c r="Z152" s="228">
        <v>3.9</v>
      </c>
      <c r="AA152" s="228">
        <v>-1.4</v>
      </c>
      <c r="AB152" s="229">
        <v>1.5E-3</v>
      </c>
      <c r="AC152" s="228">
        <v>2.5</v>
      </c>
      <c r="AD152" s="228">
        <v>3.9</v>
      </c>
      <c r="AE152" s="228">
        <v>-1.4</v>
      </c>
      <c r="AF152" s="229">
        <v>1.5E-3</v>
      </c>
      <c r="AG152" s="228">
        <v>-22.7</v>
      </c>
      <c r="AH152" s="228">
        <v>-24.2</v>
      </c>
      <c r="AI152" s="228">
        <v>1.5</v>
      </c>
      <c r="AJ152" s="229">
        <v>-1.3299999999999999E-2</v>
      </c>
      <c r="AK152" s="228">
        <v>-39.1</v>
      </c>
      <c r="AL152" s="228">
        <v>-35.200000000000003</v>
      </c>
      <c r="AM152" s="228">
        <v>-3.9</v>
      </c>
      <c r="AN152" s="229">
        <v>-2.29E-2</v>
      </c>
      <c r="AO152" s="231">
        <v>1713.44</v>
      </c>
      <c r="AP152" s="231">
        <v>1685.93</v>
      </c>
      <c r="AQ152" s="228">
        <v>0</v>
      </c>
      <c r="AR152" s="230">
        <v>737450</v>
      </c>
      <c r="AS152" s="230">
        <v>1027600</v>
      </c>
      <c r="AT152" s="230">
        <v>-290150</v>
      </c>
      <c r="AU152" s="229">
        <v>-0.28239999999999998</v>
      </c>
      <c r="AV152" s="230">
        <v>596050</v>
      </c>
      <c r="AW152" s="230">
        <v>715400</v>
      </c>
      <c r="AX152" s="230">
        <v>-119350</v>
      </c>
      <c r="AY152" s="229">
        <v>-0.1668</v>
      </c>
      <c r="AZ152" s="230">
        <v>140000</v>
      </c>
      <c r="BA152" s="230">
        <v>311150</v>
      </c>
      <c r="BB152" s="230">
        <v>-171150</v>
      </c>
      <c r="BC152" s="229">
        <v>-0.55010000000000003</v>
      </c>
      <c r="BD152" s="230">
        <v>1400</v>
      </c>
      <c r="BE152" s="230">
        <v>1050</v>
      </c>
      <c r="BF152" s="228">
        <v>350</v>
      </c>
      <c r="BG152" s="229">
        <v>0.33329999999999999</v>
      </c>
      <c r="BH152" s="230">
        <v>506100</v>
      </c>
      <c r="BI152" s="230">
        <v>788200</v>
      </c>
      <c r="BJ152" s="230">
        <v>-282100</v>
      </c>
      <c r="BK152" s="229">
        <v>-0.3579</v>
      </c>
      <c r="BL152" s="230">
        <v>417900</v>
      </c>
      <c r="BM152" s="230">
        <v>647850</v>
      </c>
      <c r="BN152" s="230">
        <v>-229950</v>
      </c>
      <c r="BO152" s="229">
        <v>-0.35489999999999999</v>
      </c>
      <c r="BP152" s="230">
        <v>1661450</v>
      </c>
      <c r="BQ152" s="230">
        <v>2463650</v>
      </c>
      <c r="BR152" s="230">
        <v>-802200</v>
      </c>
      <c r="BS152" s="229">
        <v>-0.3256</v>
      </c>
      <c r="BT152" s="230">
        <v>516948</v>
      </c>
      <c r="BU152" s="230">
        <v>979573</v>
      </c>
      <c r="BV152" s="230">
        <v>-462625</v>
      </c>
      <c r="BW152" s="229">
        <v>-0.4723</v>
      </c>
      <c r="BX152" s="230">
        <v>9961350</v>
      </c>
      <c r="BY152" s="230">
        <v>10030300</v>
      </c>
      <c r="BZ152" s="230">
        <v>-68950</v>
      </c>
      <c r="CA152" s="229">
        <v>-6.8999999999999999E-3</v>
      </c>
      <c r="CB152" s="230">
        <v>8706250</v>
      </c>
      <c r="CC152" s="230">
        <v>8821050</v>
      </c>
      <c r="CD152" s="230">
        <v>-114800</v>
      </c>
      <c r="CE152" s="229">
        <v>-1.2999999999999999E-2</v>
      </c>
      <c r="CF152" s="230">
        <v>1246350</v>
      </c>
      <c r="CG152" s="230">
        <v>1201200</v>
      </c>
      <c r="CH152" s="230">
        <v>45150</v>
      </c>
      <c r="CI152" s="229">
        <v>3.7600000000000001E-2</v>
      </c>
      <c r="CJ152" s="230">
        <v>8750</v>
      </c>
      <c r="CK152" s="230">
        <v>8050</v>
      </c>
      <c r="CL152" s="228">
        <v>700</v>
      </c>
      <c r="CM152" s="229">
        <v>8.6999999999999994E-2</v>
      </c>
      <c r="CN152" s="230">
        <v>1188950</v>
      </c>
      <c r="CO152" s="230">
        <v>1193150</v>
      </c>
      <c r="CP152" s="230">
        <v>-4200</v>
      </c>
      <c r="CQ152" s="229">
        <v>-3.5000000000000001E-3</v>
      </c>
      <c r="CR152" s="230">
        <v>1105300</v>
      </c>
      <c r="CS152" s="230">
        <v>1133300</v>
      </c>
      <c r="CT152" s="230">
        <v>-28000</v>
      </c>
      <c r="CU152" s="229">
        <v>-2.47E-2</v>
      </c>
      <c r="CV152" s="230">
        <v>12255600</v>
      </c>
      <c r="CW152" s="230">
        <v>12356750</v>
      </c>
      <c r="CX152" s="230">
        <v>-101150</v>
      </c>
      <c r="CY152" s="229">
        <v>-8.2000000000000007E-3</v>
      </c>
      <c r="CZ152" s="228">
        <v>32.4</v>
      </c>
      <c r="DA152" s="228">
        <v>33.729999999999997</v>
      </c>
      <c r="DB152" s="228">
        <v>-1.33</v>
      </c>
      <c r="DC152" s="228">
        <v>-1.33</v>
      </c>
      <c r="DD152" s="228">
        <v>36.950000000000003</v>
      </c>
      <c r="DE152" s="228">
        <v>37.049999999999997</v>
      </c>
      <c r="DF152" s="228">
        <v>-4.55</v>
      </c>
      <c r="DG152" s="228">
        <v>-0.1</v>
      </c>
      <c r="DH152" s="228">
        <v>30.6</v>
      </c>
      <c r="DI152" s="228">
        <v>30.98</v>
      </c>
      <c r="DJ152" s="228">
        <v>-0.38</v>
      </c>
      <c r="DK152" s="228">
        <v>-0.38</v>
      </c>
      <c r="DL152" s="228">
        <v>34.58</v>
      </c>
      <c r="DM152" s="228">
        <v>37.090000000000003</v>
      </c>
      <c r="DN152" s="228">
        <v>-2.5099999999999998</v>
      </c>
      <c r="DO152" s="228">
        <v>-2.5099999999999998</v>
      </c>
      <c r="DP152" s="228">
        <v>0.93</v>
      </c>
      <c r="DQ152" s="228">
        <v>0.95</v>
      </c>
      <c r="DR152" s="228">
        <v>-0.02</v>
      </c>
      <c r="DS152" s="229">
        <v>-2.1100000000000001E-2</v>
      </c>
      <c r="DT152" s="231">
        <v>1800</v>
      </c>
      <c r="DU152" s="231">
        <v>1520</v>
      </c>
      <c r="DV152" s="228">
        <v>0.83</v>
      </c>
      <c r="DW152" s="228">
        <v>0.82</v>
      </c>
      <c r="DX152" s="228">
        <v>0.01</v>
      </c>
      <c r="DY152" s="229">
        <v>1.2200000000000001E-2</v>
      </c>
      <c r="DZ152" s="229">
        <v>0.126</v>
      </c>
      <c r="EA152" s="230">
        <v>1209250</v>
      </c>
      <c r="EB152" s="229">
        <v>-1.47E-2</v>
      </c>
      <c r="EC152" s="229">
        <v>0.126</v>
      </c>
      <c r="ED152" s="228">
        <v>-27.51</v>
      </c>
      <c r="EE152" s="229">
        <v>-1.61E-2</v>
      </c>
      <c r="EF152" s="230">
        <v>323385</v>
      </c>
      <c r="EG152" s="230">
        <v>677105</v>
      </c>
      <c r="EH152" s="229">
        <v>-0.52239999999999998</v>
      </c>
      <c r="EI152" s="229">
        <v>0.62560000000000004</v>
      </c>
      <c r="EJ152" s="231">
        <v>8942.1299999999992</v>
      </c>
      <c r="EK152" s="231">
        <v>6967.82</v>
      </c>
      <c r="EL152" s="231">
        <v>12596.69</v>
      </c>
      <c r="EM152" s="231">
        <v>3366</v>
      </c>
      <c r="EN152" s="231">
        <v>28506.639999999999</v>
      </c>
      <c r="EO152" s="231">
        <v>42017.78</v>
      </c>
      <c r="EP152" s="231">
        <v>-13511.14</v>
      </c>
      <c r="EQ152" s="229">
        <v>-0.3216</v>
      </c>
      <c r="ER152" s="231">
        <v>18985</v>
      </c>
      <c r="ES152" s="231">
        <v>16856</v>
      </c>
      <c r="ET152" s="231">
        <v>170330</v>
      </c>
      <c r="EU152" s="231">
        <v>17614093</v>
      </c>
      <c r="EV152" s="231">
        <v>206171</v>
      </c>
      <c r="EW152" s="231">
        <v>207923</v>
      </c>
      <c r="EX152" s="231">
        <v>-1752</v>
      </c>
      <c r="EY152" s="229">
        <v>-8.3999999999999995E-3</v>
      </c>
      <c r="EZ152" s="229">
        <v>0.69579999999999997</v>
      </c>
      <c r="FA152" s="227" t="s">
        <v>567</v>
      </c>
      <c r="FB152" s="161">
        <f t="shared" si="3"/>
        <v>0</v>
      </c>
    </row>
    <row r="153" spans="1:158" ht="17.25" thickBot="1" x14ac:dyDescent="0.3">
      <c r="A153" s="226">
        <v>46129</v>
      </c>
      <c r="B153" s="227" t="s">
        <v>221</v>
      </c>
      <c r="C153" s="227" t="s">
        <v>518</v>
      </c>
      <c r="D153" s="228">
        <v>75</v>
      </c>
      <c r="E153" s="231">
        <v>8011.5</v>
      </c>
      <c r="F153" s="231">
        <v>7748.5</v>
      </c>
      <c r="G153" s="228">
        <v>263</v>
      </c>
      <c r="H153" s="229">
        <v>3.39E-2</v>
      </c>
      <c r="I153" s="231">
        <v>7992.5</v>
      </c>
      <c r="J153" s="231">
        <v>7776</v>
      </c>
      <c r="K153" s="228">
        <v>216.5</v>
      </c>
      <c r="L153" s="229">
        <v>2.7799999999999998E-2</v>
      </c>
      <c r="M153" s="231">
        <v>8011.5</v>
      </c>
      <c r="N153" s="231">
        <v>7748.5</v>
      </c>
      <c r="O153" s="228">
        <v>263</v>
      </c>
      <c r="P153" s="229">
        <v>3.39E-2</v>
      </c>
      <c r="Q153" s="231">
        <v>7879.5</v>
      </c>
      <c r="R153" s="231">
        <v>7610</v>
      </c>
      <c r="S153" s="228">
        <v>269.5</v>
      </c>
      <c r="T153" s="229">
        <v>3.5400000000000001E-2</v>
      </c>
      <c r="U153" s="231">
        <v>7807</v>
      </c>
      <c r="V153" s="231">
        <v>7573</v>
      </c>
      <c r="W153" s="228">
        <v>234</v>
      </c>
      <c r="X153" s="229">
        <v>3.09E-2</v>
      </c>
      <c r="Y153" s="228">
        <v>19</v>
      </c>
      <c r="Z153" s="228">
        <v>-27.5</v>
      </c>
      <c r="AA153" s="228">
        <v>46.5</v>
      </c>
      <c r="AB153" s="229">
        <v>2.3999999999999998E-3</v>
      </c>
      <c r="AC153" s="228">
        <v>19</v>
      </c>
      <c r="AD153" s="228">
        <v>-27.5</v>
      </c>
      <c r="AE153" s="228">
        <v>46.5</v>
      </c>
      <c r="AF153" s="229">
        <v>2.3999999999999998E-3</v>
      </c>
      <c r="AG153" s="228">
        <v>-113</v>
      </c>
      <c r="AH153" s="228">
        <v>-166</v>
      </c>
      <c r="AI153" s="228">
        <v>53</v>
      </c>
      <c r="AJ153" s="229">
        <v>-1.41E-2</v>
      </c>
      <c r="AK153" s="228">
        <v>-185.5</v>
      </c>
      <c r="AL153" s="228">
        <v>-203</v>
      </c>
      <c r="AM153" s="228">
        <v>17.5</v>
      </c>
      <c r="AN153" s="229">
        <v>-2.3199999999999998E-2</v>
      </c>
      <c r="AO153" s="231">
        <v>7942.3</v>
      </c>
      <c r="AP153" s="231">
        <v>7804.68</v>
      </c>
      <c r="AQ153" s="228">
        <v>0</v>
      </c>
      <c r="AR153" s="230">
        <v>261450</v>
      </c>
      <c r="AS153" s="230">
        <v>268725</v>
      </c>
      <c r="AT153" s="230">
        <v>-7275</v>
      </c>
      <c r="AU153" s="229">
        <v>-2.7099999999999999E-2</v>
      </c>
      <c r="AV153" s="230">
        <v>210450</v>
      </c>
      <c r="AW153" s="230">
        <v>223725</v>
      </c>
      <c r="AX153" s="230">
        <v>-13275</v>
      </c>
      <c r="AY153" s="229">
        <v>-5.9299999999999999E-2</v>
      </c>
      <c r="AZ153" s="230">
        <v>47025</v>
      </c>
      <c r="BA153" s="230">
        <v>42225</v>
      </c>
      <c r="BB153" s="230">
        <v>4800</v>
      </c>
      <c r="BC153" s="229">
        <v>0.1137</v>
      </c>
      <c r="BD153" s="230">
        <v>3975</v>
      </c>
      <c r="BE153" s="230">
        <v>2775</v>
      </c>
      <c r="BF153" s="230">
        <v>1200</v>
      </c>
      <c r="BG153" s="229">
        <v>0.43240000000000001</v>
      </c>
      <c r="BH153" s="230">
        <v>1481325</v>
      </c>
      <c r="BI153" s="230">
        <v>1678500</v>
      </c>
      <c r="BJ153" s="230">
        <v>-197175</v>
      </c>
      <c r="BK153" s="229">
        <v>-0.11749999999999999</v>
      </c>
      <c r="BL153" s="230">
        <v>1244625</v>
      </c>
      <c r="BM153" s="230">
        <v>1202325</v>
      </c>
      <c r="BN153" s="230">
        <v>42300</v>
      </c>
      <c r="BO153" s="229">
        <v>3.5200000000000002E-2</v>
      </c>
      <c r="BP153" s="230">
        <v>2987400</v>
      </c>
      <c r="BQ153" s="230">
        <v>3149550</v>
      </c>
      <c r="BR153" s="230">
        <v>-162150</v>
      </c>
      <c r="BS153" s="229">
        <v>-5.1499999999999997E-2</v>
      </c>
      <c r="BT153" s="230">
        <v>189689</v>
      </c>
      <c r="BU153" s="230">
        <v>218410</v>
      </c>
      <c r="BV153" s="230">
        <v>-28721</v>
      </c>
      <c r="BW153" s="229">
        <v>-0.13150000000000001</v>
      </c>
      <c r="BX153" s="230">
        <v>1435725</v>
      </c>
      <c r="BY153" s="230">
        <v>1464825</v>
      </c>
      <c r="BZ153" s="230">
        <v>-29100</v>
      </c>
      <c r="CA153" s="229">
        <v>-1.9900000000000001E-2</v>
      </c>
      <c r="CB153" s="230">
        <v>1346325</v>
      </c>
      <c r="CC153" s="230">
        <v>1384875</v>
      </c>
      <c r="CD153" s="230">
        <v>-38550</v>
      </c>
      <c r="CE153" s="229">
        <v>-2.7799999999999998E-2</v>
      </c>
      <c r="CF153" s="230">
        <v>78525</v>
      </c>
      <c r="CG153" s="230">
        <v>70800</v>
      </c>
      <c r="CH153" s="230">
        <v>7725</v>
      </c>
      <c r="CI153" s="229">
        <v>0.1091</v>
      </c>
      <c r="CJ153" s="230">
        <v>10875</v>
      </c>
      <c r="CK153" s="230">
        <v>9150</v>
      </c>
      <c r="CL153" s="230">
        <v>1725</v>
      </c>
      <c r="CM153" s="229">
        <v>0.1885</v>
      </c>
      <c r="CN153" s="230">
        <v>531075</v>
      </c>
      <c r="CO153" s="230">
        <v>527400</v>
      </c>
      <c r="CP153" s="230">
        <v>3675</v>
      </c>
      <c r="CQ153" s="229">
        <v>7.0000000000000001E-3</v>
      </c>
      <c r="CR153" s="230">
        <v>599925</v>
      </c>
      <c r="CS153" s="230">
        <v>554700</v>
      </c>
      <c r="CT153" s="230">
        <v>45225</v>
      </c>
      <c r="CU153" s="229">
        <v>8.1500000000000003E-2</v>
      </c>
      <c r="CV153" s="230">
        <v>2566725</v>
      </c>
      <c r="CW153" s="230">
        <v>2546925</v>
      </c>
      <c r="CX153" s="230">
        <v>19800</v>
      </c>
      <c r="CY153" s="229">
        <v>7.7999999999999996E-3</v>
      </c>
      <c r="CZ153" s="228">
        <v>41.94</v>
      </c>
      <c r="DA153" s="228">
        <v>39.619999999999997</v>
      </c>
      <c r="DB153" s="228">
        <v>2.3199999999999998</v>
      </c>
      <c r="DC153" s="228">
        <v>2.3199999999999998</v>
      </c>
      <c r="DD153" s="228">
        <v>40.1</v>
      </c>
      <c r="DE153" s="228">
        <v>40.01</v>
      </c>
      <c r="DF153" s="228">
        <v>1.84</v>
      </c>
      <c r="DG153" s="228">
        <v>0.09</v>
      </c>
      <c r="DH153" s="228">
        <v>37.479999999999997</v>
      </c>
      <c r="DI153" s="228">
        <v>37.01</v>
      </c>
      <c r="DJ153" s="228">
        <v>0.47</v>
      </c>
      <c r="DK153" s="228">
        <v>0.47</v>
      </c>
      <c r="DL153" s="228">
        <v>47.25</v>
      </c>
      <c r="DM153" s="228">
        <v>43.25</v>
      </c>
      <c r="DN153" s="228">
        <v>4</v>
      </c>
      <c r="DO153" s="228">
        <v>4</v>
      </c>
      <c r="DP153" s="228">
        <v>1.1299999999999999</v>
      </c>
      <c r="DQ153" s="228">
        <v>1.05</v>
      </c>
      <c r="DR153" s="228">
        <v>0.08</v>
      </c>
      <c r="DS153" s="229">
        <v>7.6200000000000004E-2</v>
      </c>
      <c r="DT153" s="231">
        <v>8000</v>
      </c>
      <c r="DU153" s="231">
        <v>7000</v>
      </c>
      <c r="DV153" s="228">
        <v>0.84</v>
      </c>
      <c r="DW153" s="228">
        <v>0.72</v>
      </c>
      <c r="DX153" s="228">
        <v>0.12</v>
      </c>
      <c r="DY153" s="229">
        <v>0.16669999999999999</v>
      </c>
      <c r="DZ153" s="229">
        <v>6.2300000000000001E-2</v>
      </c>
      <c r="EA153" s="230">
        <v>79950</v>
      </c>
      <c r="EB153" s="229">
        <v>-1.6500000000000001E-2</v>
      </c>
      <c r="EC153" s="229">
        <v>6.2300000000000001E-2</v>
      </c>
      <c r="ED153" s="228">
        <v>-137.62</v>
      </c>
      <c r="EE153" s="229">
        <v>-1.7299999999999999E-2</v>
      </c>
      <c r="EF153" s="230">
        <v>67245</v>
      </c>
      <c r="EG153" s="230">
        <v>67697</v>
      </c>
      <c r="EH153" s="229">
        <v>-6.7000000000000002E-3</v>
      </c>
      <c r="EI153" s="229">
        <v>0.35449999999999998</v>
      </c>
      <c r="EJ153" s="231">
        <v>122428.59</v>
      </c>
      <c r="EK153" s="231">
        <v>90456.68</v>
      </c>
      <c r="EL153" s="231">
        <v>20692.68</v>
      </c>
      <c r="EM153" s="231">
        <v>3178</v>
      </c>
      <c r="EN153" s="231">
        <v>233577.95</v>
      </c>
      <c r="EO153" s="231">
        <v>233753.65</v>
      </c>
      <c r="EP153" s="228">
        <v>-175.7</v>
      </c>
      <c r="EQ153" s="229">
        <v>-8.0000000000000004E-4</v>
      </c>
      <c r="ER153" s="231">
        <v>40673</v>
      </c>
      <c r="ES153" s="231">
        <v>42879</v>
      </c>
      <c r="ET153" s="231">
        <v>114897</v>
      </c>
      <c r="EU153" s="231">
        <v>3594855</v>
      </c>
      <c r="EV153" s="231">
        <v>198449</v>
      </c>
      <c r="EW153" s="231">
        <v>192407</v>
      </c>
      <c r="EX153" s="231">
        <v>6042</v>
      </c>
      <c r="EY153" s="229">
        <v>3.1399999999999997E-2</v>
      </c>
      <c r="EZ153" s="229">
        <v>0.71399999999999997</v>
      </c>
      <c r="FA153" s="227" t="s">
        <v>693</v>
      </c>
      <c r="FB153" s="161">
        <f>BX232-CB232</f>
        <v>0</v>
      </c>
    </row>
    <row r="154" spans="1:158" ht="17.25" thickBot="1" x14ac:dyDescent="0.3">
      <c r="A154" s="226">
        <v>46129</v>
      </c>
      <c r="B154" s="227" t="s">
        <v>193</v>
      </c>
      <c r="C154" s="227" t="s">
        <v>586</v>
      </c>
      <c r="D154" s="228">
        <v>1400</v>
      </c>
      <c r="E154" s="228">
        <v>470.6</v>
      </c>
      <c r="F154" s="228">
        <v>463.85</v>
      </c>
      <c r="G154" s="228">
        <v>6.75</v>
      </c>
      <c r="H154" s="229">
        <v>1.46E-2</v>
      </c>
      <c r="I154" s="228">
        <v>470.1</v>
      </c>
      <c r="J154" s="228">
        <v>462.4</v>
      </c>
      <c r="K154" s="228">
        <v>7.7</v>
      </c>
      <c r="L154" s="229">
        <v>1.67E-2</v>
      </c>
      <c r="M154" s="228">
        <v>470.6</v>
      </c>
      <c r="N154" s="228">
        <v>463.85</v>
      </c>
      <c r="O154" s="228">
        <v>6.75</v>
      </c>
      <c r="P154" s="229">
        <v>1.46E-2</v>
      </c>
      <c r="Q154" s="228">
        <v>467.25</v>
      </c>
      <c r="R154" s="228">
        <v>461.15</v>
      </c>
      <c r="S154" s="228">
        <v>6.1</v>
      </c>
      <c r="T154" s="229">
        <v>1.32E-2</v>
      </c>
      <c r="U154" s="228">
        <v>465.45</v>
      </c>
      <c r="V154" s="228">
        <v>459.6</v>
      </c>
      <c r="W154" s="228">
        <v>5.85</v>
      </c>
      <c r="X154" s="229">
        <v>1.2699999999999999E-2</v>
      </c>
      <c r="Y154" s="228">
        <v>0.5</v>
      </c>
      <c r="Z154" s="228">
        <v>1.45</v>
      </c>
      <c r="AA154" s="228">
        <v>-0.95</v>
      </c>
      <c r="AB154" s="229">
        <v>1.1000000000000001E-3</v>
      </c>
      <c r="AC154" s="228">
        <v>0.5</v>
      </c>
      <c r="AD154" s="228">
        <v>1.45</v>
      </c>
      <c r="AE154" s="228">
        <v>-0.95</v>
      </c>
      <c r="AF154" s="229">
        <v>1.1000000000000001E-3</v>
      </c>
      <c r="AG154" s="228">
        <v>-2.85</v>
      </c>
      <c r="AH154" s="228">
        <v>-1.25</v>
      </c>
      <c r="AI154" s="228">
        <v>-1.6</v>
      </c>
      <c r="AJ154" s="229">
        <v>-6.1000000000000004E-3</v>
      </c>
      <c r="AK154" s="228">
        <v>-4.6500000000000004</v>
      </c>
      <c r="AL154" s="228">
        <v>-2.8</v>
      </c>
      <c r="AM154" s="228">
        <v>-1.85</v>
      </c>
      <c r="AN154" s="229">
        <v>-9.9000000000000008E-3</v>
      </c>
      <c r="AO154" s="228">
        <v>468.34</v>
      </c>
      <c r="AP154" s="228">
        <v>465.29</v>
      </c>
      <c r="AQ154" s="228">
        <v>0</v>
      </c>
      <c r="AR154" s="230">
        <v>2830800</v>
      </c>
      <c r="AS154" s="230">
        <v>2182600</v>
      </c>
      <c r="AT154" s="230">
        <v>648200</v>
      </c>
      <c r="AU154" s="229">
        <v>0.29699999999999999</v>
      </c>
      <c r="AV154" s="230">
        <v>2324000</v>
      </c>
      <c r="AW154" s="230">
        <v>1821400</v>
      </c>
      <c r="AX154" s="230">
        <v>502600</v>
      </c>
      <c r="AY154" s="229">
        <v>0.27589999999999998</v>
      </c>
      <c r="AZ154" s="230">
        <v>481600</v>
      </c>
      <c r="BA154" s="230">
        <v>343000</v>
      </c>
      <c r="BB154" s="230">
        <v>138600</v>
      </c>
      <c r="BC154" s="229">
        <v>0.40410000000000001</v>
      </c>
      <c r="BD154" s="230">
        <v>25200</v>
      </c>
      <c r="BE154" s="230">
        <v>18200</v>
      </c>
      <c r="BF154" s="230">
        <v>7000</v>
      </c>
      <c r="BG154" s="229">
        <v>0.3846</v>
      </c>
      <c r="BH154" s="230">
        <v>9622200</v>
      </c>
      <c r="BI154" s="230">
        <v>7763000</v>
      </c>
      <c r="BJ154" s="230">
        <v>1859200</v>
      </c>
      <c r="BK154" s="229">
        <v>0.23949999999999999</v>
      </c>
      <c r="BL154" s="230">
        <v>3122000</v>
      </c>
      <c r="BM154" s="230">
        <v>3462200</v>
      </c>
      <c r="BN154" s="230">
        <v>-340200</v>
      </c>
      <c r="BO154" s="229">
        <v>-9.8299999999999998E-2</v>
      </c>
      <c r="BP154" s="230">
        <v>15575000</v>
      </c>
      <c r="BQ154" s="230">
        <v>13407800</v>
      </c>
      <c r="BR154" s="230">
        <v>2167200</v>
      </c>
      <c r="BS154" s="229">
        <v>0.16159999999999999</v>
      </c>
      <c r="BT154" s="230">
        <v>3719983</v>
      </c>
      <c r="BU154" s="230">
        <v>3780055</v>
      </c>
      <c r="BV154" s="230">
        <v>-60072</v>
      </c>
      <c r="BW154" s="229">
        <v>-1.5900000000000001E-2</v>
      </c>
      <c r="BX154" s="230">
        <v>21462000</v>
      </c>
      <c r="BY154" s="230">
        <v>21821800</v>
      </c>
      <c r="BZ154" s="230">
        <v>-359800</v>
      </c>
      <c r="CA154" s="229">
        <v>-1.6500000000000001E-2</v>
      </c>
      <c r="CB154" s="230">
        <v>20428800</v>
      </c>
      <c r="CC154" s="230">
        <v>20791400</v>
      </c>
      <c r="CD154" s="230">
        <v>-362600</v>
      </c>
      <c r="CE154" s="229">
        <v>-1.7399999999999999E-2</v>
      </c>
      <c r="CF154" s="230">
        <v>852600</v>
      </c>
      <c r="CG154" s="230">
        <v>845600</v>
      </c>
      <c r="CH154" s="230">
        <v>7000</v>
      </c>
      <c r="CI154" s="229">
        <v>8.3000000000000001E-3</v>
      </c>
      <c r="CJ154" s="230">
        <v>180600</v>
      </c>
      <c r="CK154" s="230">
        <v>184800</v>
      </c>
      <c r="CL154" s="230">
        <v>-4200</v>
      </c>
      <c r="CM154" s="229">
        <v>-2.2700000000000001E-2</v>
      </c>
      <c r="CN154" s="230">
        <v>11179000</v>
      </c>
      <c r="CO154" s="230">
        <v>11501000</v>
      </c>
      <c r="CP154" s="230">
        <v>-322000</v>
      </c>
      <c r="CQ154" s="229">
        <v>-2.8000000000000001E-2</v>
      </c>
      <c r="CR154" s="230">
        <v>4888800</v>
      </c>
      <c r="CS154" s="230">
        <v>5007800</v>
      </c>
      <c r="CT154" s="230">
        <v>-119000</v>
      </c>
      <c r="CU154" s="229">
        <v>-2.3800000000000002E-2</v>
      </c>
      <c r="CV154" s="230">
        <v>37529800</v>
      </c>
      <c r="CW154" s="230">
        <v>38330600</v>
      </c>
      <c r="CX154" s="230">
        <v>-800800</v>
      </c>
      <c r="CY154" s="229">
        <v>-2.0899999999999998E-2</v>
      </c>
      <c r="CZ154" s="228">
        <v>31.09</v>
      </c>
      <c r="DA154" s="228">
        <v>33.36</v>
      </c>
      <c r="DB154" s="228">
        <v>-2.27</v>
      </c>
      <c r="DC154" s="228">
        <v>-2.27</v>
      </c>
      <c r="DD154" s="228">
        <v>41.63</v>
      </c>
      <c r="DE154" s="228">
        <v>41.68</v>
      </c>
      <c r="DF154" s="228">
        <v>-10.54</v>
      </c>
      <c r="DG154" s="228">
        <v>-0.05</v>
      </c>
      <c r="DH154" s="228">
        <v>30.89</v>
      </c>
      <c r="DI154" s="228">
        <v>33.53</v>
      </c>
      <c r="DJ154" s="228">
        <v>-2.64</v>
      </c>
      <c r="DK154" s="228">
        <v>-2.64</v>
      </c>
      <c r="DL154" s="228">
        <v>31.71</v>
      </c>
      <c r="DM154" s="228">
        <v>32.97</v>
      </c>
      <c r="DN154" s="228">
        <v>-1.26</v>
      </c>
      <c r="DO154" s="228">
        <v>-1.26</v>
      </c>
      <c r="DP154" s="228">
        <v>0.44</v>
      </c>
      <c r="DQ154" s="228">
        <v>0.44</v>
      </c>
      <c r="DR154" s="228">
        <v>0</v>
      </c>
      <c r="DS154" s="229">
        <v>0</v>
      </c>
      <c r="DT154" s="228">
        <v>500</v>
      </c>
      <c r="DU154" s="228">
        <v>470</v>
      </c>
      <c r="DV154" s="228">
        <v>0.32</v>
      </c>
      <c r="DW154" s="228">
        <v>0.45</v>
      </c>
      <c r="DX154" s="228">
        <v>-0.13</v>
      </c>
      <c r="DY154" s="229">
        <v>-0.28889999999999999</v>
      </c>
      <c r="DZ154" s="229">
        <v>4.8099999999999997E-2</v>
      </c>
      <c r="EA154" s="230">
        <v>1030400</v>
      </c>
      <c r="EB154" s="229">
        <v>-7.1000000000000004E-3</v>
      </c>
      <c r="EC154" s="229">
        <v>4.8099999999999997E-2</v>
      </c>
      <c r="ED154" s="228">
        <v>-3.05</v>
      </c>
      <c r="EE154" s="229">
        <v>-6.4999999999999997E-3</v>
      </c>
      <c r="EF154" s="230">
        <v>1962223</v>
      </c>
      <c r="EG154" s="230">
        <v>1366857</v>
      </c>
      <c r="EH154" s="229">
        <v>0.43559999999999999</v>
      </c>
      <c r="EI154" s="229">
        <v>0.52749999999999997</v>
      </c>
      <c r="EJ154" s="231">
        <v>47097.33</v>
      </c>
      <c r="EK154" s="231">
        <v>14445.27</v>
      </c>
      <c r="EL154" s="231">
        <v>13241.88</v>
      </c>
      <c r="EM154" s="231">
        <v>2819</v>
      </c>
      <c r="EN154" s="231">
        <v>74784.479999999996</v>
      </c>
      <c r="EO154" s="231">
        <v>64182.35</v>
      </c>
      <c r="EP154" s="231">
        <v>10602.13</v>
      </c>
      <c r="EQ154" s="229">
        <v>0.16520000000000001</v>
      </c>
      <c r="ER154" s="231">
        <v>56171</v>
      </c>
      <c r="ES154" s="231">
        <v>22468</v>
      </c>
      <c r="ET154" s="231">
        <v>100962</v>
      </c>
      <c r="EU154" s="231">
        <v>105756420</v>
      </c>
      <c r="EV154" s="231">
        <v>179601</v>
      </c>
      <c r="EW154" s="231">
        <v>181835</v>
      </c>
      <c r="EX154" s="231">
        <v>-2234</v>
      </c>
      <c r="EY154" s="229">
        <v>-1.23E-2</v>
      </c>
      <c r="EZ154" s="229">
        <v>0.35489999999999999</v>
      </c>
      <c r="FA154" s="227" t="s">
        <v>693</v>
      </c>
      <c r="FB154" s="161">
        <f t="shared" si="3"/>
        <v>0</v>
      </c>
    </row>
    <row r="155" spans="1:158" ht="17.25" thickBot="1" x14ac:dyDescent="0.3">
      <c r="A155" s="226">
        <v>46129</v>
      </c>
      <c r="B155" s="227" t="s">
        <v>193</v>
      </c>
      <c r="C155" s="227" t="s">
        <v>269</v>
      </c>
      <c r="D155" s="228">
        <v>2250</v>
      </c>
      <c r="E155" s="228">
        <v>284.89999999999998</v>
      </c>
      <c r="F155" s="228">
        <v>283.55</v>
      </c>
      <c r="G155" s="228">
        <v>1.35</v>
      </c>
      <c r="H155" s="229">
        <v>4.7999999999999996E-3</v>
      </c>
      <c r="I155" s="228">
        <v>284.05</v>
      </c>
      <c r="J155" s="228">
        <v>282.75</v>
      </c>
      <c r="K155" s="228">
        <v>1.3</v>
      </c>
      <c r="L155" s="229">
        <v>4.5999999999999999E-3</v>
      </c>
      <c r="M155" s="228">
        <v>284.89999999999998</v>
      </c>
      <c r="N155" s="228">
        <v>283.55</v>
      </c>
      <c r="O155" s="228">
        <v>1.35</v>
      </c>
      <c r="P155" s="229">
        <v>4.7999999999999996E-3</v>
      </c>
      <c r="Q155" s="228">
        <v>286.35000000000002</v>
      </c>
      <c r="R155" s="228">
        <v>285.14999999999998</v>
      </c>
      <c r="S155" s="228">
        <v>1.2</v>
      </c>
      <c r="T155" s="229">
        <v>4.1999999999999997E-3</v>
      </c>
      <c r="U155" s="228">
        <v>288.10000000000002</v>
      </c>
      <c r="V155" s="228">
        <v>287</v>
      </c>
      <c r="W155" s="228">
        <v>1.1000000000000001</v>
      </c>
      <c r="X155" s="229">
        <v>3.8E-3</v>
      </c>
      <c r="Y155" s="228">
        <v>0.85</v>
      </c>
      <c r="Z155" s="228">
        <v>0.8</v>
      </c>
      <c r="AA155" s="228">
        <v>0.05</v>
      </c>
      <c r="AB155" s="229">
        <v>3.0000000000000001E-3</v>
      </c>
      <c r="AC155" s="228">
        <v>0.85</v>
      </c>
      <c r="AD155" s="228">
        <v>0.8</v>
      </c>
      <c r="AE155" s="228">
        <v>0.05</v>
      </c>
      <c r="AF155" s="229">
        <v>3.0000000000000001E-3</v>
      </c>
      <c r="AG155" s="228">
        <v>2.2999999999999998</v>
      </c>
      <c r="AH155" s="228">
        <v>2.4</v>
      </c>
      <c r="AI155" s="228">
        <v>-0.1</v>
      </c>
      <c r="AJ155" s="229">
        <v>8.0999999999999996E-3</v>
      </c>
      <c r="AK155" s="228">
        <v>4.05</v>
      </c>
      <c r="AL155" s="228">
        <v>4.25</v>
      </c>
      <c r="AM155" s="228">
        <v>-0.2</v>
      </c>
      <c r="AN155" s="229">
        <v>1.43E-2</v>
      </c>
      <c r="AO155" s="228">
        <v>284.91000000000003</v>
      </c>
      <c r="AP155" s="228">
        <v>286.31</v>
      </c>
      <c r="AQ155" s="228">
        <v>0</v>
      </c>
      <c r="AR155" s="230">
        <v>13473000</v>
      </c>
      <c r="AS155" s="230">
        <v>13655250</v>
      </c>
      <c r="AT155" s="230">
        <v>-182250</v>
      </c>
      <c r="AU155" s="229">
        <v>-1.3299999999999999E-2</v>
      </c>
      <c r="AV155" s="230">
        <v>10251000</v>
      </c>
      <c r="AW155" s="230">
        <v>10291500</v>
      </c>
      <c r="AX155" s="230">
        <v>-40500</v>
      </c>
      <c r="AY155" s="229">
        <v>-3.8999999999999998E-3</v>
      </c>
      <c r="AZ155" s="230">
        <v>1332000</v>
      </c>
      <c r="BA155" s="230">
        <v>954000</v>
      </c>
      <c r="BB155" s="230">
        <v>378000</v>
      </c>
      <c r="BC155" s="229">
        <v>0.3962</v>
      </c>
      <c r="BD155" s="230">
        <v>1890000</v>
      </c>
      <c r="BE155" s="230">
        <v>2409750</v>
      </c>
      <c r="BF155" s="230">
        <v>-519750</v>
      </c>
      <c r="BG155" s="229">
        <v>-0.2157</v>
      </c>
      <c r="BH155" s="230">
        <v>56157750</v>
      </c>
      <c r="BI155" s="230">
        <v>66541500</v>
      </c>
      <c r="BJ155" s="230">
        <v>-10383750</v>
      </c>
      <c r="BK155" s="229">
        <v>-0.156</v>
      </c>
      <c r="BL155" s="230">
        <v>24954750</v>
      </c>
      <c r="BM155" s="230">
        <v>31311000</v>
      </c>
      <c r="BN155" s="230">
        <v>-6356250</v>
      </c>
      <c r="BO155" s="229">
        <v>-0.20300000000000001</v>
      </c>
      <c r="BP155" s="230">
        <v>94585500</v>
      </c>
      <c r="BQ155" s="230">
        <v>111507750</v>
      </c>
      <c r="BR155" s="230">
        <v>-16922250</v>
      </c>
      <c r="BS155" s="229">
        <v>-0.15179999999999999</v>
      </c>
      <c r="BT155" s="230">
        <v>18639168</v>
      </c>
      <c r="BU155" s="230">
        <v>13969518</v>
      </c>
      <c r="BV155" s="230">
        <v>4669650</v>
      </c>
      <c r="BW155" s="229">
        <v>0.33429999999999999</v>
      </c>
      <c r="BX155" s="230">
        <v>96527250</v>
      </c>
      <c r="BY155" s="230">
        <v>96113250</v>
      </c>
      <c r="BZ155" s="230">
        <v>414000</v>
      </c>
      <c r="CA155" s="229">
        <v>4.3E-3</v>
      </c>
      <c r="CB155" s="230">
        <v>86386500</v>
      </c>
      <c r="CC155" s="230">
        <v>88353000</v>
      </c>
      <c r="CD155" s="230">
        <v>-1966500</v>
      </c>
      <c r="CE155" s="229">
        <v>-2.23E-2</v>
      </c>
      <c r="CF155" s="230">
        <v>3244500</v>
      </c>
      <c r="CG155" s="230">
        <v>2659500</v>
      </c>
      <c r="CH155" s="230">
        <v>585000</v>
      </c>
      <c r="CI155" s="229">
        <v>0.22</v>
      </c>
      <c r="CJ155" s="230">
        <v>6896250</v>
      </c>
      <c r="CK155" s="230">
        <v>5100750</v>
      </c>
      <c r="CL155" s="230">
        <v>1795500</v>
      </c>
      <c r="CM155" s="229">
        <v>0.35199999999999998</v>
      </c>
      <c r="CN155" s="230">
        <v>97166250</v>
      </c>
      <c r="CO155" s="230">
        <v>96801750</v>
      </c>
      <c r="CP155" s="230">
        <v>364500</v>
      </c>
      <c r="CQ155" s="229">
        <v>3.8E-3</v>
      </c>
      <c r="CR155" s="230">
        <v>36182250</v>
      </c>
      <c r="CS155" s="230">
        <v>35714250</v>
      </c>
      <c r="CT155" s="230">
        <v>468000</v>
      </c>
      <c r="CU155" s="229">
        <v>1.3100000000000001E-2</v>
      </c>
      <c r="CV155" s="230">
        <v>229875750</v>
      </c>
      <c r="CW155" s="230">
        <v>228629250</v>
      </c>
      <c r="CX155" s="230">
        <v>1246500</v>
      </c>
      <c r="CY155" s="229">
        <v>5.4999999999999997E-3</v>
      </c>
      <c r="CZ155" s="228">
        <v>24.42</v>
      </c>
      <c r="DA155" s="228">
        <v>26.06</v>
      </c>
      <c r="DB155" s="228">
        <v>-1.64</v>
      </c>
      <c r="DC155" s="228">
        <v>-1.64</v>
      </c>
      <c r="DD155" s="228">
        <v>31.73</v>
      </c>
      <c r="DE155" s="228">
        <v>31.81</v>
      </c>
      <c r="DF155" s="228">
        <v>-7.31</v>
      </c>
      <c r="DG155" s="228">
        <v>-0.08</v>
      </c>
      <c r="DH155" s="228">
        <v>23.91</v>
      </c>
      <c r="DI155" s="228">
        <v>25.41</v>
      </c>
      <c r="DJ155" s="228">
        <v>-1.5</v>
      </c>
      <c r="DK155" s="228">
        <v>-1.5</v>
      </c>
      <c r="DL155" s="228">
        <v>25.58</v>
      </c>
      <c r="DM155" s="228">
        <v>27.46</v>
      </c>
      <c r="DN155" s="228">
        <v>-1.88</v>
      </c>
      <c r="DO155" s="228">
        <v>-1.88</v>
      </c>
      <c r="DP155" s="228">
        <v>0.37</v>
      </c>
      <c r="DQ155" s="228">
        <v>0.37</v>
      </c>
      <c r="DR155" s="228">
        <v>0</v>
      </c>
      <c r="DS155" s="229">
        <v>0</v>
      </c>
      <c r="DT155" s="228">
        <v>290</v>
      </c>
      <c r="DU155" s="228">
        <v>270</v>
      </c>
      <c r="DV155" s="228">
        <v>0.44</v>
      </c>
      <c r="DW155" s="228">
        <v>0.47</v>
      </c>
      <c r="DX155" s="228">
        <v>-0.03</v>
      </c>
      <c r="DY155" s="229">
        <v>-6.3799999999999996E-2</v>
      </c>
      <c r="DZ155" s="229">
        <v>0.1051</v>
      </c>
      <c r="EA155" s="230">
        <v>7760250</v>
      </c>
      <c r="EB155" s="229">
        <v>5.1000000000000004E-3</v>
      </c>
      <c r="EC155" s="229">
        <v>0.1051</v>
      </c>
      <c r="ED155" s="228">
        <v>1.4</v>
      </c>
      <c r="EE155" s="229">
        <v>4.8999999999999998E-3</v>
      </c>
      <c r="EF155" s="230">
        <v>12382494</v>
      </c>
      <c r="EG155" s="230">
        <v>6996218</v>
      </c>
      <c r="EH155" s="229">
        <v>0.76990000000000003</v>
      </c>
      <c r="EI155" s="229">
        <v>0.6643</v>
      </c>
      <c r="EJ155" s="231">
        <v>165543.31</v>
      </c>
      <c r="EK155" s="231">
        <v>70562.570000000007</v>
      </c>
      <c r="EL155" s="231">
        <v>38464.559999999998</v>
      </c>
      <c r="EM155" s="231">
        <v>6117</v>
      </c>
      <c r="EN155" s="231">
        <v>274570.44</v>
      </c>
      <c r="EO155" s="231">
        <v>324842.90999999997</v>
      </c>
      <c r="EP155" s="231">
        <v>-50272.47</v>
      </c>
      <c r="EQ155" s="229">
        <v>-0.15479999999999999</v>
      </c>
      <c r="ER155" s="231">
        <v>287315</v>
      </c>
      <c r="ES155" s="231">
        <v>99295</v>
      </c>
      <c r="ET155" s="231">
        <v>275274</v>
      </c>
      <c r="EU155" s="231">
        <v>711370982</v>
      </c>
      <c r="EV155" s="231">
        <v>661884</v>
      </c>
      <c r="EW155" s="231">
        <v>656655</v>
      </c>
      <c r="EX155" s="231">
        <v>5229</v>
      </c>
      <c r="EY155" s="229">
        <v>8.0000000000000002E-3</v>
      </c>
      <c r="EZ155" s="229">
        <v>0.3231</v>
      </c>
      <c r="FA155" s="227" t="s">
        <v>555</v>
      </c>
      <c r="FB155" s="161">
        <f t="shared" si="3"/>
        <v>0</v>
      </c>
    </row>
    <row r="156" spans="1:158" ht="17.25" thickBot="1" x14ac:dyDescent="0.3">
      <c r="A156" s="226">
        <v>46129</v>
      </c>
      <c r="B156" s="227" t="s">
        <v>197</v>
      </c>
      <c r="C156" s="227" t="s">
        <v>270</v>
      </c>
      <c r="D156" s="228">
        <v>15</v>
      </c>
      <c r="E156" s="231">
        <v>37930</v>
      </c>
      <c r="F156" s="231">
        <v>37025</v>
      </c>
      <c r="G156" s="228">
        <v>905</v>
      </c>
      <c r="H156" s="229">
        <v>2.4400000000000002E-2</v>
      </c>
      <c r="I156" s="231">
        <v>37975</v>
      </c>
      <c r="J156" s="231">
        <v>36980</v>
      </c>
      <c r="K156" s="228">
        <v>995</v>
      </c>
      <c r="L156" s="229">
        <v>2.69E-2</v>
      </c>
      <c r="M156" s="231">
        <v>37930</v>
      </c>
      <c r="N156" s="231">
        <v>37025</v>
      </c>
      <c r="O156" s="228">
        <v>905</v>
      </c>
      <c r="P156" s="229">
        <v>2.4400000000000002E-2</v>
      </c>
      <c r="Q156" s="231">
        <v>37715</v>
      </c>
      <c r="R156" s="231">
        <v>36750</v>
      </c>
      <c r="S156" s="228">
        <v>965</v>
      </c>
      <c r="T156" s="229">
        <v>2.63E-2</v>
      </c>
      <c r="U156" s="231">
        <v>37590</v>
      </c>
      <c r="V156" s="231">
        <v>36600</v>
      </c>
      <c r="W156" s="228">
        <v>990</v>
      </c>
      <c r="X156" s="229">
        <v>2.7E-2</v>
      </c>
      <c r="Y156" s="228">
        <v>-45</v>
      </c>
      <c r="Z156" s="228">
        <v>45</v>
      </c>
      <c r="AA156" s="228">
        <v>-90</v>
      </c>
      <c r="AB156" s="229">
        <v>-1.1999999999999999E-3</v>
      </c>
      <c r="AC156" s="228">
        <v>-45</v>
      </c>
      <c r="AD156" s="228">
        <v>45</v>
      </c>
      <c r="AE156" s="228">
        <v>-90</v>
      </c>
      <c r="AF156" s="229">
        <v>-1.1999999999999999E-3</v>
      </c>
      <c r="AG156" s="228">
        <v>-260</v>
      </c>
      <c r="AH156" s="228">
        <v>-230</v>
      </c>
      <c r="AI156" s="228">
        <v>-30</v>
      </c>
      <c r="AJ156" s="229">
        <v>-6.7999999999999996E-3</v>
      </c>
      <c r="AK156" s="228">
        <v>-385</v>
      </c>
      <c r="AL156" s="228">
        <v>-380</v>
      </c>
      <c r="AM156" s="228">
        <v>-5</v>
      </c>
      <c r="AN156" s="229">
        <v>-1.01E-2</v>
      </c>
      <c r="AO156" s="231">
        <v>37930.22</v>
      </c>
      <c r="AP156" s="231">
        <v>37534.53</v>
      </c>
      <c r="AQ156" s="228">
        <v>0</v>
      </c>
      <c r="AR156" s="230">
        <v>81885</v>
      </c>
      <c r="AS156" s="230">
        <v>40695</v>
      </c>
      <c r="AT156" s="230">
        <v>41190</v>
      </c>
      <c r="AU156" s="229">
        <v>1.0122</v>
      </c>
      <c r="AV156" s="230">
        <v>73830</v>
      </c>
      <c r="AW156" s="230">
        <v>36540</v>
      </c>
      <c r="AX156" s="230">
        <v>37290</v>
      </c>
      <c r="AY156" s="229">
        <v>1.0205</v>
      </c>
      <c r="AZ156" s="230">
        <v>7530</v>
      </c>
      <c r="BA156" s="230">
        <v>3810</v>
      </c>
      <c r="BB156" s="230">
        <v>3720</v>
      </c>
      <c r="BC156" s="229">
        <v>0.97640000000000005</v>
      </c>
      <c r="BD156" s="228">
        <v>525</v>
      </c>
      <c r="BE156" s="228">
        <v>345</v>
      </c>
      <c r="BF156" s="228">
        <v>180</v>
      </c>
      <c r="BG156" s="229">
        <v>0.52170000000000005</v>
      </c>
      <c r="BH156" s="230">
        <v>168630</v>
      </c>
      <c r="BI156" s="230">
        <v>33975</v>
      </c>
      <c r="BJ156" s="230">
        <v>134655</v>
      </c>
      <c r="BK156" s="229">
        <v>3.9634</v>
      </c>
      <c r="BL156" s="230">
        <v>102705</v>
      </c>
      <c r="BM156" s="230">
        <v>45630</v>
      </c>
      <c r="BN156" s="230">
        <v>57075</v>
      </c>
      <c r="BO156" s="229">
        <v>1.2507999999999999</v>
      </c>
      <c r="BP156" s="230">
        <v>353220</v>
      </c>
      <c r="BQ156" s="230">
        <v>120300</v>
      </c>
      <c r="BR156" s="230">
        <v>232920</v>
      </c>
      <c r="BS156" s="229">
        <v>1.9361999999999999</v>
      </c>
      <c r="BT156" s="230">
        <v>66226</v>
      </c>
      <c r="BU156" s="230">
        <v>18482</v>
      </c>
      <c r="BV156" s="230">
        <v>47744</v>
      </c>
      <c r="BW156" s="229">
        <v>2.5832999999999999</v>
      </c>
      <c r="BX156" s="230">
        <v>361890</v>
      </c>
      <c r="BY156" s="230">
        <v>366075</v>
      </c>
      <c r="BZ156" s="230">
        <v>-4185</v>
      </c>
      <c r="CA156" s="229">
        <v>-1.14E-2</v>
      </c>
      <c r="CB156" s="230">
        <v>349440</v>
      </c>
      <c r="CC156" s="230">
        <v>356490</v>
      </c>
      <c r="CD156" s="230">
        <v>-7050</v>
      </c>
      <c r="CE156" s="229">
        <v>-1.9800000000000002E-2</v>
      </c>
      <c r="CF156" s="230">
        <v>11535</v>
      </c>
      <c r="CG156" s="230">
        <v>8670</v>
      </c>
      <c r="CH156" s="230">
        <v>2865</v>
      </c>
      <c r="CI156" s="229">
        <v>0.33040000000000003</v>
      </c>
      <c r="CJ156" s="228">
        <v>915</v>
      </c>
      <c r="CK156" s="228">
        <v>915</v>
      </c>
      <c r="CL156" s="228">
        <v>0</v>
      </c>
      <c r="CM156" s="229">
        <v>0</v>
      </c>
      <c r="CN156" s="230">
        <v>67620</v>
      </c>
      <c r="CO156" s="230">
        <v>64215</v>
      </c>
      <c r="CP156" s="230">
        <v>3405</v>
      </c>
      <c r="CQ156" s="229">
        <v>5.2999999999999999E-2</v>
      </c>
      <c r="CR156" s="230">
        <v>73815</v>
      </c>
      <c r="CS156" s="230">
        <v>61650</v>
      </c>
      <c r="CT156" s="230">
        <v>12165</v>
      </c>
      <c r="CU156" s="229">
        <v>0.1973</v>
      </c>
      <c r="CV156" s="230">
        <v>503325</v>
      </c>
      <c r="CW156" s="230">
        <v>491940</v>
      </c>
      <c r="CX156" s="230">
        <v>11385</v>
      </c>
      <c r="CY156" s="229">
        <v>2.3099999999999999E-2</v>
      </c>
      <c r="CZ156" s="228">
        <v>29.38</v>
      </c>
      <c r="DA156" s="228">
        <v>31</v>
      </c>
      <c r="DB156" s="228">
        <v>-1.62</v>
      </c>
      <c r="DC156" s="228">
        <v>-1.62</v>
      </c>
      <c r="DD156" s="228">
        <v>28.94</v>
      </c>
      <c r="DE156" s="228">
        <v>28.79</v>
      </c>
      <c r="DF156" s="228">
        <v>0.44</v>
      </c>
      <c r="DG156" s="228">
        <v>0.15</v>
      </c>
      <c r="DH156" s="228">
        <v>28.18</v>
      </c>
      <c r="DI156" s="228">
        <v>29.78</v>
      </c>
      <c r="DJ156" s="228">
        <v>-1.6</v>
      </c>
      <c r="DK156" s="228">
        <v>-1.6</v>
      </c>
      <c r="DL156" s="228">
        <v>31.35</v>
      </c>
      <c r="DM156" s="228">
        <v>31.91</v>
      </c>
      <c r="DN156" s="228">
        <v>-0.56000000000000005</v>
      </c>
      <c r="DO156" s="228">
        <v>-0.56000000000000005</v>
      </c>
      <c r="DP156" s="228">
        <v>1.0900000000000001</v>
      </c>
      <c r="DQ156" s="228">
        <v>0.96</v>
      </c>
      <c r="DR156" s="228">
        <v>0.13</v>
      </c>
      <c r="DS156" s="229">
        <v>0.13539999999999999</v>
      </c>
      <c r="DT156" s="231">
        <v>33000</v>
      </c>
      <c r="DU156" s="231">
        <v>35500</v>
      </c>
      <c r="DV156" s="228">
        <v>0.61</v>
      </c>
      <c r="DW156" s="228">
        <v>1.34</v>
      </c>
      <c r="DX156" s="228">
        <v>-0.73</v>
      </c>
      <c r="DY156" s="229">
        <v>-0.54479999999999995</v>
      </c>
      <c r="DZ156" s="229">
        <v>3.44E-2</v>
      </c>
      <c r="EA156" s="230">
        <v>9585</v>
      </c>
      <c r="EB156" s="229">
        <v>-5.7000000000000002E-3</v>
      </c>
      <c r="EC156" s="229">
        <v>3.44E-2</v>
      </c>
      <c r="ED156" s="228">
        <v>-395.69</v>
      </c>
      <c r="EE156" s="229">
        <v>-1.04E-2</v>
      </c>
      <c r="EF156" s="230">
        <v>42074</v>
      </c>
      <c r="EG156" s="230">
        <v>7927</v>
      </c>
      <c r="EH156" s="229">
        <v>4.3076999999999996</v>
      </c>
      <c r="EI156" s="229">
        <v>0.63529999999999998</v>
      </c>
      <c r="EJ156" s="231">
        <v>66206.850000000006</v>
      </c>
      <c r="EK156" s="231">
        <v>36967.589999999997</v>
      </c>
      <c r="EL156" s="231">
        <v>31027.17</v>
      </c>
      <c r="EM156" s="231">
        <v>4582</v>
      </c>
      <c r="EN156" s="231">
        <v>134201.60999999999</v>
      </c>
      <c r="EO156" s="231">
        <v>43895.23</v>
      </c>
      <c r="EP156" s="231">
        <v>90306.38</v>
      </c>
      <c r="EQ156" s="229">
        <v>2.0573000000000001</v>
      </c>
      <c r="ER156" s="231">
        <v>24462</v>
      </c>
      <c r="ES156" s="231">
        <v>25380</v>
      </c>
      <c r="ET156" s="231">
        <v>137237</v>
      </c>
      <c r="EU156" s="231">
        <v>955549</v>
      </c>
      <c r="EV156" s="231">
        <v>187079</v>
      </c>
      <c r="EW156" s="231">
        <v>179280</v>
      </c>
      <c r="EX156" s="231">
        <v>7799</v>
      </c>
      <c r="EY156" s="229">
        <v>4.3499999999999997E-2</v>
      </c>
      <c r="EZ156" s="229">
        <v>0.52669999999999995</v>
      </c>
      <c r="FA156" s="227" t="s">
        <v>693</v>
      </c>
      <c r="FB156" s="161">
        <f t="shared" si="3"/>
        <v>0</v>
      </c>
    </row>
    <row r="157" spans="1:158" ht="17.25" thickBot="1" x14ac:dyDescent="0.3">
      <c r="A157" s="226">
        <v>46129</v>
      </c>
      <c r="B157" s="227" t="s">
        <v>168</v>
      </c>
      <c r="C157" s="227" t="s">
        <v>664</v>
      </c>
      <c r="D157" s="228">
        <v>900</v>
      </c>
      <c r="E157" s="228">
        <v>469</v>
      </c>
      <c r="F157" s="228">
        <v>464.7</v>
      </c>
      <c r="G157" s="228">
        <v>4.3</v>
      </c>
      <c r="H157" s="229">
        <v>9.2999999999999992E-3</v>
      </c>
      <c r="I157" s="228">
        <v>468.3</v>
      </c>
      <c r="J157" s="228">
        <v>464.95</v>
      </c>
      <c r="K157" s="228">
        <v>3.35</v>
      </c>
      <c r="L157" s="229">
        <v>7.1999999999999998E-3</v>
      </c>
      <c r="M157" s="228">
        <v>469</v>
      </c>
      <c r="N157" s="228">
        <v>464.7</v>
      </c>
      <c r="O157" s="228">
        <v>4.3</v>
      </c>
      <c r="P157" s="229">
        <v>9.2999999999999992E-3</v>
      </c>
      <c r="Q157" s="228">
        <v>471.4</v>
      </c>
      <c r="R157" s="228">
        <v>466.9</v>
      </c>
      <c r="S157" s="228">
        <v>4.5</v>
      </c>
      <c r="T157" s="229">
        <v>9.5999999999999992E-3</v>
      </c>
      <c r="U157" s="228">
        <v>473.8</v>
      </c>
      <c r="V157" s="228">
        <v>469.85</v>
      </c>
      <c r="W157" s="228">
        <v>3.95</v>
      </c>
      <c r="X157" s="229">
        <v>8.3999999999999995E-3</v>
      </c>
      <c r="Y157" s="228">
        <v>0.7</v>
      </c>
      <c r="Z157" s="228">
        <v>-0.25</v>
      </c>
      <c r="AA157" s="228">
        <v>0.95</v>
      </c>
      <c r="AB157" s="229">
        <v>1.5E-3</v>
      </c>
      <c r="AC157" s="228">
        <v>0.7</v>
      </c>
      <c r="AD157" s="228">
        <v>-0.25</v>
      </c>
      <c r="AE157" s="228">
        <v>0.95</v>
      </c>
      <c r="AF157" s="229">
        <v>1.5E-3</v>
      </c>
      <c r="AG157" s="228">
        <v>3.1</v>
      </c>
      <c r="AH157" s="228">
        <v>1.95</v>
      </c>
      <c r="AI157" s="228">
        <v>1.1499999999999999</v>
      </c>
      <c r="AJ157" s="229">
        <v>6.6E-3</v>
      </c>
      <c r="AK157" s="228">
        <v>5.5</v>
      </c>
      <c r="AL157" s="228">
        <v>4.9000000000000004</v>
      </c>
      <c r="AM157" s="228">
        <v>0.6</v>
      </c>
      <c r="AN157" s="229">
        <v>1.17E-2</v>
      </c>
      <c r="AO157" s="228">
        <v>469.56</v>
      </c>
      <c r="AP157" s="228">
        <v>471.44</v>
      </c>
      <c r="AQ157" s="228">
        <v>0</v>
      </c>
      <c r="AR157" s="230">
        <v>5481000</v>
      </c>
      <c r="AS157" s="230">
        <v>2575800</v>
      </c>
      <c r="AT157" s="230">
        <v>2905200</v>
      </c>
      <c r="AU157" s="229">
        <v>1.1278999999999999</v>
      </c>
      <c r="AV157" s="230">
        <v>4766400</v>
      </c>
      <c r="AW157" s="230">
        <v>2481300</v>
      </c>
      <c r="AX157" s="230">
        <v>2285100</v>
      </c>
      <c r="AY157" s="229">
        <v>0.92090000000000005</v>
      </c>
      <c r="AZ157" s="230">
        <v>697500</v>
      </c>
      <c r="BA157" s="230">
        <v>80100</v>
      </c>
      <c r="BB157" s="230">
        <v>617400</v>
      </c>
      <c r="BC157" s="229">
        <v>7.7079000000000004</v>
      </c>
      <c r="BD157" s="230">
        <v>17100</v>
      </c>
      <c r="BE157" s="230">
        <v>14400</v>
      </c>
      <c r="BF157" s="230">
        <v>2700</v>
      </c>
      <c r="BG157" s="229">
        <v>0.1875</v>
      </c>
      <c r="BH157" s="230">
        <v>12480300</v>
      </c>
      <c r="BI157" s="230">
        <v>3062700</v>
      </c>
      <c r="BJ157" s="230">
        <v>9417600</v>
      </c>
      <c r="BK157" s="229">
        <v>3.0749</v>
      </c>
      <c r="BL157" s="230">
        <v>2666700</v>
      </c>
      <c r="BM157" s="230">
        <v>995400</v>
      </c>
      <c r="BN157" s="230">
        <v>1671300</v>
      </c>
      <c r="BO157" s="229">
        <v>1.679</v>
      </c>
      <c r="BP157" s="230">
        <v>20628000</v>
      </c>
      <c r="BQ157" s="230">
        <v>6633900</v>
      </c>
      <c r="BR157" s="230">
        <v>13994100</v>
      </c>
      <c r="BS157" s="229">
        <v>2.1095000000000002</v>
      </c>
      <c r="BT157" s="230">
        <v>2788424</v>
      </c>
      <c r="BU157" s="230">
        <v>1039944</v>
      </c>
      <c r="BV157" s="230">
        <v>1748480</v>
      </c>
      <c r="BW157" s="229">
        <v>1.6813</v>
      </c>
      <c r="BX157" s="230">
        <v>34487100</v>
      </c>
      <c r="BY157" s="230">
        <v>34119900</v>
      </c>
      <c r="BZ157" s="230">
        <v>367200</v>
      </c>
      <c r="CA157" s="229">
        <v>1.0800000000000001E-2</v>
      </c>
      <c r="CB157" s="230">
        <v>34015500</v>
      </c>
      <c r="CC157" s="230">
        <v>33794100</v>
      </c>
      <c r="CD157" s="230">
        <v>221400</v>
      </c>
      <c r="CE157" s="229">
        <v>6.6E-3</v>
      </c>
      <c r="CF157" s="230">
        <v>419400</v>
      </c>
      <c r="CG157" s="230">
        <v>279900</v>
      </c>
      <c r="CH157" s="230">
        <v>139500</v>
      </c>
      <c r="CI157" s="229">
        <v>0.49840000000000001</v>
      </c>
      <c r="CJ157" s="230">
        <v>52200</v>
      </c>
      <c r="CK157" s="230">
        <v>45900</v>
      </c>
      <c r="CL157" s="230">
        <v>6300</v>
      </c>
      <c r="CM157" s="229">
        <v>0.13730000000000001</v>
      </c>
      <c r="CN157" s="230">
        <v>5181300</v>
      </c>
      <c r="CO157" s="230">
        <v>3951000</v>
      </c>
      <c r="CP157" s="230">
        <v>1230300</v>
      </c>
      <c r="CQ157" s="229">
        <v>0.31140000000000001</v>
      </c>
      <c r="CR157" s="230">
        <v>3031200</v>
      </c>
      <c r="CS157" s="230">
        <v>2459700</v>
      </c>
      <c r="CT157" s="230">
        <v>571500</v>
      </c>
      <c r="CU157" s="229">
        <v>0.23230000000000001</v>
      </c>
      <c r="CV157" s="230">
        <v>42699600</v>
      </c>
      <c r="CW157" s="230">
        <v>40530600</v>
      </c>
      <c r="CX157" s="230">
        <v>2169000</v>
      </c>
      <c r="CY157" s="229">
        <v>5.3499999999999999E-2</v>
      </c>
      <c r="CZ157" s="228">
        <v>30.98</v>
      </c>
      <c r="DA157" s="228">
        <v>30.29</v>
      </c>
      <c r="DB157" s="228">
        <v>0.69</v>
      </c>
      <c r="DC157" s="228">
        <v>0.69</v>
      </c>
      <c r="DD157" s="228">
        <v>32.25</v>
      </c>
      <c r="DE157" s="228">
        <v>32.299999999999997</v>
      </c>
      <c r="DF157" s="228">
        <v>-1.27</v>
      </c>
      <c r="DG157" s="228">
        <v>-0.05</v>
      </c>
      <c r="DH157" s="228">
        <v>31.02</v>
      </c>
      <c r="DI157" s="228">
        <v>30.13</v>
      </c>
      <c r="DJ157" s="228">
        <v>0.89</v>
      </c>
      <c r="DK157" s="228">
        <v>0.89</v>
      </c>
      <c r="DL157" s="228">
        <v>30.79</v>
      </c>
      <c r="DM157" s="228">
        <v>30.77</v>
      </c>
      <c r="DN157" s="228">
        <v>0.02</v>
      </c>
      <c r="DO157" s="228">
        <v>0.02</v>
      </c>
      <c r="DP157" s="228">
        <v>0.59</v>
      </c>
      <c r="DQ157" s="228">
        <v>0.62</v>
      </c>
      <c r="DR157" s="228">
        <v>-0.03</v>
      </c>
      <c r="DS157" s="229">
        <v>-4.8399999999999999E-2</v>
      </c>
      <c r="DT157" s="228">
        <v>480</v>
      </c>
      <c r="DU157" s="228">
        <v>510</v>
      </c>
      <c r="DV157" s="228">
        <v>0.21</v>
      </c>
      <c r="DW157" s="228">
        <v>0.33</v>
      </c>
      <c r="DX157" s="228">
        <v>-0.12</v>
      </c>
      <c r="DY157" s="229">
        <v>-0.36359999999999998</v>
      </c>
      <c r="DZ157" s="229">
        <v>1.37E-2</v>
      </c>
      <c r="EA157" s="230">
        <v>325800</v>
      </c>
      <c r="EB157" s="229">
        <v>5.1000000000000004E-3</v>
      </c>
      <c r="EC157" s="229">
        <v>1.37E-2</v>
      </c>
      <c r="ED157" s="228">
        <v>1.88</v>
      </c>
      <c r="EE157" s="229">
        <v>4.0000000000000001E-3</v>
      </c>
      <c r="EF157" s="230">
        <v>1432085</v>
      </c>
      <c r="EG157" s="230">
        <v>373613</v>
      </c>
      <c r="EH157" s="229">
        <v>2.8331</v>
      </c>
      <c r="EI157" s="229">
        <v>0.51359999999999995</v>
      </c>
      <c r="EJ157" s="231">
        <v>61086.36</v>
      </c>
      <c r="EK157" s="231">
        <v>12894.91</v>
      </c>
      <c r="EL157" s="231">
        <v>25750.47</v>
      </c>
      <c r="EM157" s="231">
        <v>3535</v>
      </c>
      <c r="EN157" s="231">
        <v>99731.74</v>
      </c>
      <c r="EO157" s="231">
        <v>31670.3</v>
      </c>
      <c r="EP157" s="231">
        <v>68061.440000000002</v>
      </c>
      <c r="EQ157" s="229">
        <v>2.1490999999999998</v>
      </c>
      <c r="ER157" s="231">
        <v>25339</v>
      </c>
      <c r="ES157" s="231">
        <v>14652</v>
      </c>
      <c r="ET157" s="231">
        <v>161757</v>
      </c>
      <c r="EU157" s="231">
        <v>51786533</v>
      </c>
      <c r="EV157" s="231">
        <v>201748</v>
      </c>
      <c r="EW157" s="231">
        <v>189931</v>
      </c>
      <c r="EX157" s="231">
        <v>11817</v>
      </c>
      <c r="EY157" s="229">
        <v>6.2199999999999998E-2</v>
      </c>
      <c r="EZ157" s="229">
        <v>0.82450000000000001</v>
      </c>
      <c r="FA157" s="227" t="s">
        <v>555</v>
      </c>
      <c r="FB157" s="161">
        <f t="shared" si="3"/>
        <v>0</v>
      </c>
    </row>
    <row r="158" spans="1:158" ht="17.25" thickBot="1" x14ac:dyDescent="0.3">
      <c r="A158" s="226">
        <v>46129</v>
      </c>
      <c r="B158" s="227" t="s">
        <v>614</v>
      </c>
      <c r="C158" s="227" t="s">
        <v>574</v>
      </c>
      <c r="D158" s="228">
        <v>725</v>
      </c>
      <c r="E158" s="231">
        <v>1161.7</v>
      </c>
      <c r="F158" s="231">
        <v>1148.7</v>
      </c>
      <c r="G158" s="228">
        <v>13</v>
      </c>
      <c r="H158" s="229">
        <v>1.1299999999999999E-2</v>
      </c>
      <c r="I158" s="231">
        <v>1161.6500000000001</v>
      </c>
      <c r="J158" s="231">
        <v>1148.8499999999999</v>
      </c>
      <c r="K158" s="228">
        <v>12.8</v>
      </c>
      <c r="L158" s="229">
        <v>1.11E-2</v>
      </c>
      <c r="M158" s="231">
        <v>1161.7</v>
      </c>
      <c r="N158" s="231">
        <v>1148.7</v>
      </c>
      <c r="O158" s="228">
        <v>13</v>
      </c>
      <c r="P158" s="229">
        <v>1.1299999999999999E-2</v>
      </c>
      <c r="Q158" s="231">
        <v>1166.6500000000001</v>
      </c>
      <c r="R158" s="231">
        <v>1155.05</v>
      </c>
      <c r="S158" s="228">
        <v>11.6</v>
      </c>
      <c r="T158" s="229">
        <v>0.01</v>
      </c>
      <c r="U158" s="231">
        <v>1175.8</v>
      </c>
      <c r="V158" s="231">
        <v>1160.1500000000001</v>
      </c>
      <c r="W158" s="228">
        <v>15.65</v>
      </c>
      <c r="X158" s="229">
        <v>1.35E-2</v>
      </c>
      <c r="Y158" s="228">
        <v>0.05</v>
      </c>
      <c r="Z158" s="228">
        <v>-0.15</v>
      </c>
      <c r="AA158" s="228">
        <v>0.2</v>
      </c>
      <c r="AB158" s="229">
        <v>0</v>
      </c>
      <c r="AC158" s="228">
        <v>0.05</v>
      </c>
      <c r="AD158" s="228">
        <v>-0.15</v>
      </c>
      <c r="AE158" s="228">
        <v>0.2</v>
      </c>
      <c r="AF158" s="229">
        <v>0</v>
      </c>
      <c r="AG158" s="228">
        <v>5</v>
      </c>
      <c r="AH158" s="228">
        <v>6.2</v>
      </c>
      <c r="AI158" s="228">
        <v>-1.2</v>
      </c>
      <c r="AJ158" s="229">
        <v>4.3E-3</v>
      </c>
      <c r="AK158" s="228">
        <v>14.15</v>
      </c>
      <c r="AL158" s="228">
        <v>11.3</v>
      </c>
      <c r="AM158" s="228">
        <v>2.85</v>
      </c>
      <c r="AN158" s="229">
        <v>1.2200000000000001E-2</v>
      </c>
      <c r="AO158" s="231">
        <v>1158.33</v>
      </c>
      <c r="AP158" s="231">
        <v>1163.9000000000001</v>
      </c>
      <c r="AQ158" s="228">
        <v>0</v>
      </c>
      <c r="AR158" s="230">
        <v>2160500</v>
      </c>
      <c r="AS158" s="230">
        <v>2568675</v>
      </c>
      <c r="AT158" s="230">
        <v>-408175</v>
      </c>
      <c r="AU158" s="229">
        <v>-0.15890000000000001</v>
      </c>
      <c r="AV158" s="230">
        <v>1955325</v>
      </c>
      <c r="AW158" s="230">
        <v>2391775</v>
      </c>
      <c r="AX158" s="230">
        <v>-436450</v>
      </c>
      <c r="AY158" s="229">
        <v>-0.1825</v>
      </c>
      <c r="AZ158" s="230">
        <v>199375</v>
      </c>
      <c r="BA158" s="230">
        <v>169650</v>
      </c>
      <c r="BB158" s="230">
        <v>29725</v>
      </c>
      <c r="BC158" s="229">
        <v>0.17519999999999999</v>
      </c>
      <c r="BD158" s="230">
        <v>5800</v>
      </c>
      <c r="BE158" s="230">
        <v>7250</v>
      </c>
      <c r="BF158" s="230">
        <v>-1450</v>
      </c>
      <c r="BG158" s="229">
        <v>-0.2</v>
      </c>
      <c r="BH158" s="230">
        <v>6519925</v>
      </c>
      <c r="BI158" s="230">
        <v>7592200</v>
      </c>
      <c r="BJ158" s="230">
        <v>-1072275</v>
      </c>
      <c r="BK158" s="229">
        <v>-0.14119999999999999</v>
      </c>
      <c r="BL158" s="230">
        <v>4702350</v>
      </c>
      <c r="BM158" s="230">
        <v>4137575</v>
      </c>
      <c r="BN158" s="230">
        <v>564775</v>
      </c>
      <c r="BO158" s="229">
        <v>0.13650000000000001</v>
      </c>
      <c r="BP158" s="230">
        <v>13382775</v>
      </c>
      <c r="BQ158" s="230">
        <v>14298450</v>
      </c>
      <c r="BR158" s="230">
        <v>-915675</v>
      </c>
      <c r="BS158" s="229">
        <v>-6.4000000000000001E-2</v>
      </c>
      <c r="BT158" s="230">
        <v>1766172</v>
      </c>
      <c r="BU158" s="230">
        <v>2302362</v>
      </c>
      <c r="BV158" s="230">
        <v>-536190</v>
      </c>
      <c r="BW158" s="229">
        <v>-0.2329</v>
      </c>
      <c r="BX158" s="230">
        <v>15618675</v>
      </c>
      <c r="BY158" s="230">
        <v>15889100</v>
      </c>
      <c r="BZ158" s="230">
        <v>-270425</v>
      </c>
      <c r="CA158" s="229">
        <v>-1.7000000000000001E-2</v>
      </c>
      <c r="CB158" s="230">
        <v>14884975</v>
      </c>
      <c r="CC158" s="230">
        <v>15157575</v>
      </c>
      <c r="CD158" s="230">
        <v>-272600</v>
      </c>
      <c r="CE158" s="229">
        <v>-1.7999999999999999E-2</v>
      </c>
      <c r="CF158" s="230">
        <v>693100</v>
      </c>
      <c r="CG158" s="230">
        <v>693825</v>
      </c>
      <c r="CH158" s="228">
        <v>-725</v>
      </c>
      <c r="CI158" s="229">
        <v>-1E-3</v>
      </c>
      <c r="CJ158" s="230">
        <v>40600</v>
      </c>
      <c r="CK158" s="230">
        <v>37700</v>
      </c>
      <c r="CL158" s="230">
        <v>2900</v>
      </c>
      <c r="CM158" s="229">
        <v>7.6899999999999996E-2</v>
      </c>
      <c r="CN158" s="230">
        <v>6360425</v>
      </c>
      <c r="CO158" s="230">
        <v>6081300</v>
      </c>
      <c r="CP158" s="230">
        <v>279125</v>
      </c>
      <c r="CQ158" s="229">
        <v>4.5900000000000003E-2</v>
      </c>
      <c r="CR158" s="230">
        <v>6106675</v>
      </c>
      <c r="CS158" s="230">
        <v>5183750</v>
      </c>
      <c r="CT158" s="230">
        <v>922925</v>
      </c>
      <c r="CU158" s="229">
        <v>0.17799999999999999</v>
      </c>
      <c r="CV158" s="230">
        <v>28085775</v>
      </c>
      <c r="CW158" s="230">
        <v>27154150</v>
      </c>
      <c r="CX158" s="230">
        <v>931625</v>
      </c>
      <c r="CY158" s="229">
        <v>3.4299999999999997E-2</v>
      </c>
      <c r="CZ158" s="228">
        <v>37.31</v>
      </c>
      <c r="DA158" s="228">
        <v>37.020000000000003</v>
      </c>
      <c r="DB158" s="228">
        <v>0.28999999999999998</v>
      </c>
      <c r="DC158" s="228">
        <v>0.28999999999999998</v>
      </c>
      <c r="DD158" s="228">
        <v>52.74</v>
      </c>
      <c r="DE158" s="228">
        <v>52.85</v>
      </c>
      <c r="DF158" s="228">
        <v>-15.43</v>
      </c>
      <c r="DG158" s="228">
        <v>-0.11</v>
      </c>
      <c r="DH158" s="228">
        <v>35.18</v>
      </c>
      <c r="DI158" s="228">
        <v>35.76</v>
      </c>
      <c r="DJ158" s="228">
        <v>-0.57999999999999996</v>
      </c>
      <c r="DK158" s="228">
        <v>-0.57999999999999996</v>
      </c>
      <c r="DL158" s="228">
        <v>40.25</v>
      </c>
      <c r="DM158" s="228">
        <v>39.33</v>
      </c>
      <c r="DN158" s="228">
        <v>0.92</v>
      </c>
      <c r="DO158" s="228">
        <v>0.92</v>
      </c>
      <c r="DP158" s="228">
        <v>0.96</v>
      </c>
      <c r="DQ158" s="228">
        <v>0.85</v>
      </c>
      <c r="DR158" s="228">
        <v>0.11</v>
      </c>
      <c r="DS158" s="229">
        <v>0.12939999999999999</v>
      </c>
      <c r="DT158" s="231">
        <v>1100</v>
      </c>
      <c r="DU158" s="231">
        <v>1100</v>
      </c>
      <c r="DV158" s="228">
        <v>0.72</v>
      </c>
      <c r="DW158" s="228">
        <v>0.54</v>
      </c>
      <c r="DX158" s="228">
        <v>0.18</v>
      </c>
      <c r="DY158" s="229">
        <v>0.33329999999999999</v>
      </c>
      <c r="DZ158" s="229">
        <v>4.7E-2</v>
      </c>
      <c r="EA158" s="230">
        <v>731525</v>
      </c>
      <c r="EB158" s="229">
        <v>4.3E-3</v>
      </c>
      <c r="EC158" s="229">
        <v>4.7E-2</v>
      </c>
      <c r="ED158" s="228">
        <v>5.57</v>
      </c>
      <c r="EE158" s="229">
        <v>4.7999999999999996E-3</v>
      </c>
      <c r="EF158" s="230">
        <v>716694</v>
      </c>
      <c r="EG158" s="230">
        <v>853535</v>
      </c>
      <c r="EH158" s="229">
        <v>-0.1603</v>
      </c>
      <c r="EI158" s="229">
        <v>0.40579999999999999</v>
      </c>
      <c r="EJ158" s="231">
        <v>78101.95</v>
      </c>
      <c r="EK158" s="231">
        <v>52381.02</v>
      </c>
      <c r="EL158" s="231">
        <v>25037.64</v>
      </c>
      <c r="EM158" s="231">
        <v>3178</v>
      </c>
      <c r="EN158" s="231">
        <v>155520.60999999999</v>
      </c>
      <c r="EO158" s="231">
        <v>166401.47</v>
      </c>
      <c r="EP158" s="231">
        <v>-10880.86</v>
      </c>
      <c r="EQ158" s="229">
        <v>-6.54E-2</v>
      </c>
      <c r="ER158" s="231">
        <v>71641</v>
      </c>
      <c r="ES158" s="231">
        <v>64642</v>
      </c>
      <c r="ET158" s="231">
        <v>181482</v>
      </c>
      <c r="EU158" s="231">
        <v>95930888</v>
      </c>
      <c r="EV158" s="231">
        <v>317765</v>
      </c>
      <c r="EW158" s="231">
        <v>305320</v>
      </c>
      <c r="EX158" s="231">
        <v>12445</v>
      </c>
      <c r="EY158" s="229">
        <v>4.0800000000000003E-2</v>
      </c>
      <c r="EZ158" s="229">
        <v>0.2928</v>
      </c>
      <c r="FA158" s="227" t="s">
        <v>693</v>
      </c>
      <c r="FB158" s="161">
        <f t="shared" si="3"/>
        <v>0</v>
      </c>
    </row>
    <row r="159" spans="1:158" ht="17.25" thickBot="1" x14ac:dyDescent="0.3">
      <c r="A159" s="226">
        <v>46129</v>
      </c>
      <c r="B159" s="227" t="s">
        <v>221</v>
      </c>
      <c r="C159" s="227" t="s">
        <v>529</v>
      </c>
      <c r="D159" s="228">
        <v>100</v>
      </c>
      <c r="E159" s="231">
        <v>5452.2</v>
      </c>
      <c r="F159" s="231">
        <v>5490.7</v>
      </c>
      <c r="G159" s="228">
        <v>-38.5</v>
      </c>
      <c r="H159" s="229">
        <v>-7.0000000000000001E-3</v>
      </c>
      <c r="I159" s="231">
        <v>5446.5</v>
      </c>
      <c r="J159" s="231">
        <v>5500.5</v>
      </c>
      <c r="K159" s="228">
        <v>-54</v>
      </c>
      <c r="L159" s="229">
        <v>-9.7999999999999997E-3</v>
      </c>
      <c r="M159" s="231">
        <v>5452.2</v>
      </c>
      <c r="N159" s="231">
        <v>5490.7</v>
      </c>
      <c r="O159" s="228">
        <v>-38.5</v>
      </c>
      <c r="P159" s="229">
        <v>-7.0000000000000001E-3</v>
      </c>
      <c r="Q159" s="231">
        <v>5359.1</v>
      </c>
      <c r="R159" s="231">
        <v>5398.7</v>
      </c>
      <c r="S159" s="228">
        <v>-39.6</v>
      </c>
      <c r="T159" s="229">
        <v>-7.3000000000000001E-3</v>
      </c>
      <c r="U159" s="231">
        <v>5293.6</v>
      </c>
      <c r="V159" s="231">
        <v>5350.4</v>
      </c>
      <c r="W159" s="228">
        <v>-56.8</v>
      </c>
      <c r="X159" s="229">
        <v>-1.06E-2</v>
      </c>
      <c r="Y159" s="228">
        <v>5.7</v>
      </c>
      <c r="Z159" s="228">
        <v>-9.8000000000000007</v>
      </c>
      <c r="AA159" s="228">
        <v>15.5</v>
      </c>
      <c r="AB159" s="229">
        <v>1E-3</v>
      </c>
      <c r="AC159" s="228">
        <v>5.7</v>
      </c>
      <c r="AD159" s="228">
        <v>-9.8000000000000007</v>
      </c>
      <c r="AE159" s="228">
        <v>15.5</v>
      </c>
      <c r="AF159" s="229">
        <v>1E-3</v>
      </c>
      <c r="AG159" s="228">
        <v>-87.4</v>
      </c>
      <c r="AH159" s="228">
        <v>-101.8</v>
      </c>
      <c r="AI159" s="228">
        <v>14.4</v>
      </c>
      <c r="AJ159" s="229">
        <v>-1.6E-2</v>
      </c>
      <c r="AK159" s="228">
        <v>-152.9</v>
      </c>
      <c r="AL159" s="228">
        <v>-150.1</v>
      </c>
      <c r="AM159" s="228">
        <v>-2.8</v>
      </c>
      <c r="AN159" s="229">
        <v>-2.81E-2</v>
      </c>
      <c r="AO159" s="231">
        <v>5416.73</v>
      </c>
      <c r="AP159" s="231">
        <v>5319.23</v>
      </c>
      <c r="AQ159" s="228">
        <v>0</v>
      </c>
      <c r="AR159" s="230">
        <v>1548900</v>
      </c>
      <c r="AS159" s="230">
        <v>1356900</v>
      </c>
      <c r="AT159" s="230">
        <v>192000</v>
      </c>
      <c r="AU159" s="229">
        <v>0.14149999999999999</v>
      </c>
      <c r="AV159" s="230">
        <v>1351900</v>
      </c>
      <c r="AW159" s="230">
        <v>1064700</v>
      </c>
      <c r="AX159" s="230">
        <v>287200</v>
      </c>
      <c r="AY159" s="229">
        <v>0.2697</v>
      </c>
      <c r="AZ159" s="230">
        <v>192300</v>
      </c>
      <c r="BA159" s="230">
        <v>284000</v>
      </c>
      <c r="BB159" s="230">
        <v>-91700</v>
      </c>
      <c r="BC159" s="229">
        <v>-0.32290000000000002</v>
      </c>
      <c r="BD159" s="230">
        <v>4700</v>
      </c>
      <c r="BE159" s="230">
        <v>8200</v>
      </c>
      <c r="BF159" s="230">
        <v>-3500</v>
      </c>
      <c r="BG159" s="229">
        <v>-0.42680000000000001</v>
      </c>
      <c r="BH159" s="230">
        <v>2191500</v>
      </c>
      <c r="BI159" s="230">
        <v>1888100</v>
      </c>
      <c r="BJ159" s="230">
        <v>303400</v>
      </c>
      <c r="BK159" s="229">
        <v>0.16070000000000001</v>
      </c>
      <c r="BL159" s="230">
        <v>1765600</v>
      </c>
      <c r="BM159" s="230">
        <v>1364300</v>
      </c>
      <c r="BN159" s="230">
        <v>401300</v>
      </c>
      <c r="BO159" s="229">
        <v>0.29409999999999997</v>
      </c>
      <c r="BP159" s="230">
        <v>5506000</v>
      </c>
      <c r="BQ159" s="230">
        <v>4609300</v>
      </c>
      <c r="BR159" s="230">
        <v>896700</v>
      </c>
      <c r="BS159" s="229">
        <v>0.19450000000000001</v>
      </c>
      <c r="BT159" s="230">
        <v>854309</v>
      </c>
      <c r="BU159" s="230">
        <v>630890</v>
      </c>
      <c r="BV159" s="230">
        <v>223419</v>
      </c>
      <c r="BW159" s="229">
        <v>0.35410000000000003</v>
      </c>
      <c r="BX159" s="230">
        <v>5995900</v>
      </c>
      <c r="BY159" s="230">
        <v>5884300</v>
      </c>
      <c r="BZ159" s="230">
        <v>111600</v>
      </c>
      <c r="CA159" s="229">
        <v>1.9E-2</v>
      </c>
      <c r="CB159" s="230">
        <v>5197100</v>
      </c>
      <c r="CC159" s="230">
        <v>5209900</v>
      </c>
      <c r="CD159" s="230">
        <v>-12800</v>
      </c>
      <c r="CE159" s="229">
        <v>-2.5000000000000001E-3</v>
      </c>
      <c r="CF159" s="230">
        <v>770500</v>
      </c>
      <c r="CG159" s="230">
        <v>649400</v>
      </c>
      <c r="CH159" s="230">
        <v>121100</v>
      </c>
      <c r="CI159" s="229">
        <v>0.1865</v>
      </c>
      <c r="CJ159" s="230">
        <v>28300</v>
      </c>
      <c r="CK159" s="230">
        <v>25000</v>
      </c>
      <c r="CL159" s="230">
        <v>3300</v>
      </c>
      <c r="CM159" s="229">
        <v>0.13200000000000001</v>
      </c>
      <c r="CN159" s="230">
        <v>1207600</v>
      </c>
      <c r="CO159" s="230">
        <v>1117700</v>
      </c>
      <c r="CP159" s="230">
        <v>89900</v>
      </c>
      <c r="CQ159" s="229">
        <v>8.0399999999999999E-2</v>
      </c>
      <c r="CR159" s="230">
        <v>1154200</v>
      </c>
      <c r="CS159" s="230">
        <v>1158800</v>
      </c>
      <c r="CT159" s="230">
        <v>-4600</v>
      </c>
      <c r="CU159" s="229">
        <v>-4.0000000000000001E-3</v>
      </c>
      <c r="CV159" s="230">
        <v>8357700</v>
      </c>
      <c r="CW159" s="230">
        <v>8160800</v>
      </c>
      <c r="CX159" s="230">
        <v>196900</v>
      </c>
      <c r="CY159" s="229">
        <v>2.41E-2</v>
      </c>
      <c r="CZ159" s="228">
        <v>49.82</v>
      </c>
      <c r="DA159" s="228">
        <v>47.66</v>
      </c>
      <c r="DB159" s="228">
        <v>2.16</v>
      </c>
      <c r="DC159" s="228">
        <v>2.16</v>
      </c>
      <c r="DD159" s="228">
        <v>40.08</v>
      </c>
      <c r="DE159" s="228">
        <v>40.17</v>
      </c>
      <c r="DF159" s="228">
        <v>9.74</v>
      </c>
      <c r="DG159" s="228">
        <v>-0.09</v>
      </c>
      <c r="DH159" s="228">
        <v>48.35</v>
      </c>
      <c r="DI159" s="228">
        <v>46.04</v>
      </c>
      <c r="DJ159" s="228">
        <v>2.31</v>
      </c>
      <c r="DK159" s="228">
        <v>2.31</v>
      </c>
      <c r="DL159" s="228">
        <v>51.66</v>
      </c>
      <c r="DM159" s="228">
        <v>49.91</v>
      </c>
      <c r="DN159" s="228">
        <v>1.75</v>
      </c>
      <c r="DO159" s="228">
        <v>1.75</v>
      </c>
      <c r="DP159" s="228">
        <v>0.96</v>
      </c>
      <c r="DQ159" s="228">
        <v>1.04</v>
      </c>
      <c r="DR159" s="228">
        <v>-0.08</v>
      </c>
      <c r="DS159" s="229">
        <v>-7.6899999999999996E-2</v>
      </c>
      <c r="DT159" s="231">
        <v>5600</v>
      </c>
      <c r="DU159" s="231">
        <v>5300</v>
      </c>
      <c r="DV159" s="228">
        <v>0.81</v>
      </c>
      <c r="DW159" s="228">
        <v>0.72</v>
      </c>
      <c r="DX159" s="228">
        <v>0.09</v>
      </c>
      <c r="DY159" s="229">
        <v>0.125</v>
      </c>
      <c r="DZ159" s="229">
        <v>0.13320000000000001</v>
      </c>
      <c r="EA159" s="230">
        <v>674400</v>
      </c>
      <c r="EB159" s="229">
        <v>-1.7100000000000001E-2</v>
      </c>
      <c r="EC159" s="229">
        <v>0.13320000000000001</v>
      </c>
      <c r="ED159" s="228">
        <v>-97.5</v>
      </c>
      <c r="EE159" s="229">
        <v>-1.7999999999999999E-2</v>
      </c>
      <c r="EF159" s="230">
        <v>285792</v>
      </c>
      <c r="EG159" s="230">
        <v>246597</v>
      </c>
      <c r="EH159" s="229">
        <v>0.15890000000000001</v>
      </c>
      <c r="EI159" s="229">
        <v>0.33450000000000002</v>
      </c>
      <c r="EJ159" s="231">
        <v>124978.14</v>
      </c>
      <c r="EK159" s="231">
        <v>95486.73</v>
      </c>
      <c r="EL159" s="231">
        <v>83706.740000000005</v>
      </c>
      <c r="EM159" s="231">
        <v>10740</v>
      </c>
      <c r="EN159" s="231">
        <v>304171.61</v>
      </c>
      <c r="EO159" s="231">
        <v>257423.5</v>
      </c>
      <c r="EP159" s="231">
        <v>46748.11</v>
      </c>
      <c r="EQ159" s="229">
        <v>0.18160000000000001</v>
      </c>
      <c r="ER159" s="231">
        <v>65853</v>
      </c>
      <c r="ES159" s="231">
        <v>58045</v>
      </c>
      <c r="ET159" s="231">
        <v>326146</v>
      </c>
      <c r="EU159" s="231">
        <v>16286398</v>
      </c>
      <c r="EV159" s="231">
        <v>450044</v>
      </c>
      <c r="EW159" s="231">
        <v>441507</v>
      </c>
      <c r="EX159" s="231">
        <v>8537</v>
      </c>
      <c r="EY159" s="229">
        <v>1.9300000000000001E-2</v>
      </c>
      <c r="EZ159" s="229">
        <v>0.51319999999999999</v>
      </c>
      <c r="FA159" s="227" t="s">
        <v>566</v>
      </c>
      <c r="FB159" s="161">
        <f t="shared" si="3"/>
        <v>0</v>
      </c>
    </row>
    <row r="160" spans="1:158" ht="17.25" thickBot="1" x14ac:dyDescent="0.3">
      <c r="A160" s="226">
        <v>46129</v>
      </c>
      <c r="B160" s="227" t="s">
        <v>193</v>
      </c>
      <c r="C160" s="227" t="s">
        <v>272</v>
      </c>
      <c r="D160" s="228">
        <v>1900</v>
      </c>
      <c r="E160" s="228">
        <v>273.19</v>
      </c>
      <c r="F160" s="228">
        <v>271.16000000000003</v>
      </c>
      <c r="G160" s="228">
        <v>2.0299999999999998</v>
      </c>
      <c r="H160" s="229">
        <v>7.4999999999999997E-3</v>
      </c>
      <c r="I160" s="228">
        <v>273.22000000000003</v>
      </c>
      <c r="J160" s="228">
        <v>271.49</v>
      </c>
      <c r="K160" s="228">
        <v>1.73</v>
      </c>
      <c r="L160" s="229">
        <v>6.4000000000000003E-3</v>
      </c>
      <c r="M160" s="228">
        <v>273.19</v>
      </c>
      <c r="N160" s="228">
        <v>271.16000000000003</v>
      </c>
      <c r="O160" s="228">
        <v>2.0299999999999998</v>
      </c>
      <c r="P160" s="229">
        <v>7.4999999999999997E-3</v>
      </c>
      <c r="Q160" s="228">
        <v>272.39</v>
      </c>
      <c r="R160" s="228">
        <v>270.61</v>
      </c>
      <c r="S160" s="228">
        <v>1.78</v>
      </c>
      <c r="T160" s="229">
        <v>6.6E-3</v>
      </c>
      <c r="U160" s="228">
        <v>273.25</v>
      </c>
      <c r="V160" s="228">
        <v>271.88</v>
      </c>
      <c r="W160" s="228">
        <v>1.37</v>
      </c>
      <c r="X160" s="229">
        <v>5.0000000000000001E-3</v>
      </c>
      <c r="Y160" s="228">
        <v>-0.03</v>
      </c>
      <c r="Z160" s="228">
        <v>-0.33</v>
      </c>
      <c r="AA160" s="228">
        <v>0.3</v>
      </c>
      <c r="AB160" s="229">
        <v>-1E-4</v>
      </c>
      <c r="AC160" s="228">
        <v>-0.03</v>
      </c>
      <c r="AD160" s="228">
        <v>-0.33</v>
      </c>
      <c r="AE160" s="228">
        <v>0.3</v>
      </c>
      <c r="AF160" s="229">
        <v>-1E-4</v>
      </c>
      <c r="AG160" s="228">
        <v>-0.83</v>
      </c>
      <c r="AH160" s="228">
        <v>-0.88</v>
      </c>
      <c r="AI160" s="228">
        <v>0.05</v>
      </c>
      <c r="AJ160" s="229">
        <v>-3.0000000000000001E-3</v>
      </c>
      <c r="AK160" s="228">
        <v>0.03</v>
      </c>
      <c r="AL160" s="228">
        <v>0.39</v>
      </c>
      <c r="AM160" s="228">
        <v>-0.36</v>
      </c>
      <c r="AN160" s="229">
        <v>1E-4</v>
      </c>
      <c r="AO160" s="228">
        <v>272.10000000000002</v>
      </c>
      <c r="AP160" s="228">
        <v>271.26</v>
      </c>
      <c r="AQ160" s="228">
        <v>0</v>
      </c>
      <c r="AR160" s="230">
        <v>2787300</v>
      </c>
      <c r="AS160" s="230">
        <v>3577700</v>
      </c>
      <c r="AT160" s="230">
        <v>-790400</v>
      </c>
      <c r="AU160" s="229">
        <v>-0.22090000000000001</v>
      </c>
      <c r="AV160" s="230">
        <v>2264800</v>
      </c>
      <c r="AW160" s="230">
        <v>3211000</v>
      </c>
      <c r="AX160" s="230">
        <v>-946200</v>
      </c>
      <c r="AY160" s="229">
        <v>-0.29470000000000002</v>
      </c>
      <c r="AZ160" s="230">
        <v>494000</v>
      </c>
      <c r="BA160" s="230">
        <v>288800</v>
      </c>
      <c r="BB160" s="230">
        <v>205200</v>
      </c>
      <c r="BC160" s="229">
        <v>0.71050000000000002</v>
      </c>
      <c r="BD160" s="230">
        <v>28500</v>
      </c>
      <c r="BE160" s="230">
        <v>77900</v>
      </c>
      <c r="BF160" s="230">
        <v>-49400</v>
      </c>
      <c r="BG160" s="229">
        <v>-0.6341</v>
      </c>
      <c r="BH160" s="230">
        <v>6644300</v>
      </c>
      <c r="BI160" s="230">
        <v>9030700</v>
      </c>
      <c r="BJ160" s="230">
        <v>-2386400</v>
      </c>
      <c r="BK160" s="229">
        <v>-0.26429999999999998</v>
      </c>
      <c r="BL160" s="230">
        <v>2897500</v>
      </c>
      <c r="BM160" s="230">
        <v>4710100</v>
      </c>
      <c r="BN160" s="230">
        <v>-1812600</v>
      </c>
      <c r="BO160" s="229">
        <v>-0.38479999999999998</v>
      </c>
      <c r="BP160" s="230">
        <v>12329100</v>
      </c>
      <c r="BQ160" s="230">
        <v>17318500</v>
      </c>
      <c r="BR160" s="230">
        <v>-4989400</v>
      </c>
      <c r="BS160" s="229">
        <v>-0.28810000000000002</v>
      </c>
      <c r="BT160" s="230">
        <v>1935460</v>
      </c>
      <c r="BU160" s="230">
        <v>2540106</v>
      </c>
      <c r="BV160" s="230">
        <v>-604646</v>
      </c>
      <c r="BW160" s="229">
        <v>-0.23799999999999999</v>
      </c>
      <c r="BX160" s="230">
        <v>35782700</v>
      </c>
      <c r="BY160" s="230">
        <v>36075300</v>
      </c>
      <c r="BZ160" s="230">
        <v>-292600</v>
      </c>
      <c r="CA160" s="229">
        <v>-8.0999999999999996E-3</v>
      </c>
      <c r="CB160" s="230">
        <v>34445100</v>
      </c>
      <c r="CC160" s="230">
        <v>34885900</v>
      </c>
      <c r="CD160" s="230">
        <v>-440800</v>
      </c>
      <c r="CE160" s="229">
        <v>-1.26E-2</v>
      </c>
      <c r="CF160" s="230">
        <v>1202700</v>
      </c>
      <c r="CG160" s="230">
        <v>1065900</v>
      </c>
      <c r="CH160" s="230">
        <v>136800</v>
      </c>
      <c r="CI160" s="229">
        <v>0.1283</v>
      </c>
      <c r="CJ160" s="230">
        <v>134900</v>
      </c>
      <c r="CK160" s="230">
        <v>123500</v>
      </c>
      <c r="CL160" s="230">
        <v>11400</v>
      </c>
      <c r="CM160" s="229">
        <v>9.2299999999999993E-2</v>
      </c>
      <c r="CN160" s="230">
        <v>15821300</v>
      </c>
      <c r="CO160" s="230">
        <v>15008100</v>
      </c>
      <c r="CP160" s="230">
        <v>813200</v>
      </c>
      <c r="CQ160" s="229">
        <v>5.4199999999999998E-2</v>
      </c>
      <c r="CR160" s="230">
        <v>10180200</v>
      </c>
      <c r="CS160" s="230">
        <v>9811600</v>
      </c>
      <c r="CT160" s="230">
        <v>368600</v>
      </c>
      <c r="CU160" s="229">
        <v>3.7600000000000001E-2</v>
      </c>
      <c r="CV160" s="230">
        <v>61784200</v>
      </c>
      <c r="CW160" s="230">
        <v>60895000</v>
      </c>
      <c r="CX160" s="230">
        <v>889200</v>
      </c>
      <c r="CY160" s="229">
        <v>1.46E-2</v>
      </c>
      <c r="CZ160" s="228">
        <v>38.69</v>
      </c>
      <c r="DA160" s="228">
        <v>38.799999999999997</v>
      </c>
      <c r="DB160" s="228">
        <v>-0.11</v>
      </c>
      <c r="DC160" s="228">
        <v>-0.11</v>
      </c>
      <c r="DD160" s="228">
        <v>39.159999999999997</v>
      </c>
      <c r="DE160" s="228">
        <v>39.24</v>
      </c>
      <c r="DF160" s="228">
        <v>-0.47</v>
      </c>
      <c r="DG160" s="228">
        <v>-0.08</v>
      </c>
      <c r="DH160" s="228">
        <v>38.21</v>
      </c>
      <c r="DI160" s="228">
        <v>38.35</v>
      </c>
      <c r="DJ160" s="228">
        <v>-0.14000000000000001</v>
      </c>
      <c r="DK160" s="228">
        <v>-0.14000000000000001</v>
      </c>
      <c r="DL160" s="228">
        <v>39.770000000000003</v>
      </c>
      <c r="DM160" s="228">
        <v>39.659999999999997</v>
      </c>
      <c r="DN160" s="228">
        <v>0.11</v>
      </c>
      <c r="DO160" s="228">
        <v>0.11</v>
      </c>
      <c r="DP160" s="228">
        <v>0.64</v>
      </c>
      <c r="DQ160" s="228">
        <v>0.65</v>
      </c>
      <c r="DR160" s="228">
        <v>-0.01</v>
      </c>
      <c r="DS160" s="229">
        <v>-1.54E-2</v>
      </c>
      <c r="DT160" s="228">
        <v>300</v>
      </c>
      <c r="DU160" s="228">
        <v>250</v>
      </c>
      <c r="DV160" s="228">
        <v>0.44</v>
      </c>
      <c r="DW160" s="228">
        <v>0.52</v>
      </c>
      <c r="DX160" s="228">
        <v>-0.08</v>
      </c>
      <c r="DY160" s="229">
        <v>-0.15379999999999999</v>
      </c>
      <c r="DZ160" s="229">
        <v>3.7400000000000003E-2</v>
      </c>
      <c r="EA160" s="230">
        <v>1189400</v>
      </c>
      <c r="EB160" s="229">
        <v>-2.8999999999999998E-3</v>
      </c>
      <c r="EC160" s="229">
        <v>3.7400000000000003E-2</v>
      </c>
      <c r="ED160" s="228">
        <v>-0.84</v>
      </c>
      <c r="EE160" s="229">
        <v>-3.0999999999999999E-3</v>
      </c>
      <c r="EF160" s="230">
        <v>1038202</v>
      </c>
      <c r="EG160" s="230">
        <v>1097306</v>
      </c>
      <c r="EH160" s="229">
        <v>-5.3900000000000003E-2</v>
      </c>
      <c r="EI160" s="229">
        <v>0.53639999999999999</v>
      </c>
      <c r="EJ160" s="231">
        <v>19400.38</v>
      </c>
      <c r="EK160" s="231">
        <v>7440.4</v>
      </c>
      <c r="EL160" s="231">
        <v>7580.19</v>
      </c>
      <c r="EM160" s="231">
        <v>1825</v>
      </c>
      <c r="EN160" s="231">
        <v>34420.97</v>
      </c>
      <c r="EO160" s="231">
        <v>47929.51</v>
      </c>
      <c r="EP160" s="231">
        <v>-13508.54</v>
      </c>
      <c r="EQ160" s="229">
        <v>-0.28179999999999999</v>
      </c>
      <c r="ER160" s="231">
        <v>44620</v>
      </c>
      <c r="ES160" s="231">
        <v>26047</v>
      </c>
      <c r="ET160" s="231">
        <v>97745</v>
      </c>
      <c r="EU160" s="231">
        <v>112500013</v>
      </c>
      <c r="EV160" s="231">
        <v>168412</v>
      </c>
      <c r="EW160" s="231">
        <v>165203</v>
      </c>
      <c r="EX160" s="231">
        <v>3209</v>
      </c>
      <c r="EY160" s="229">
        <v>1.9400000000000001E-2</v>
      </c>
      <c r="EZ160" s="229">
        <v>0.54920000000000002</v>
      </c>
      <c r="FA160" s="227" t="s">
        <v>693</v>
      </c>
      <c r="FB160" s="161">
        <f t="shared" si="3"/>
        <v>0</v>
      </c>
    </row>
    <row r="161" spans="1:158" ht="17.25" thickBot="1" x14ac:dyDescent="0.3">
      <c r="A161" s="226">
        <v>46129</v>
      </c>
      <c r="B161" s="227" t="s">
        <v>175</v>
      </c>
      <c r="C161" s="227" t="s">
        <v>273</v>
      </c>
      <c r="D161" s="228">
        <v>1300</v>
      </c>
      <c r="E161" s="228">
        <v>466</v>
      </c>
      <c r="F161" s="228">
        <v>458.95</v>
      </c>
      <c r="G161" s="228">
        <v>7.05</v>
      </c>
      <c r="H161" s="229">
        <v>1.54E-2</v>
      </c>
      <c r="I161" s="228">
        <v>464.85</v>
      </c>
      <c r="J161" s="228">
        <v>458.9</v>
      </c>
      <c r="K161" s="228">
        <v>5.95</v>
      </c>
      <c r="L161" s="229">
        <v>1.2999999999999999E-2</v>
      </c>
      <c r="M161" s="228">
        <v>466</v>
      </c>
      <c r="N161" s="228">
        <v>458.95</v>
      </c>
      <c r="O161" s="228">
        <v>7.05</v>
      </c>
      <c r="P161" s="229">
        <v>1.54E-2</v>
      </c>
      <c r="Q161" s="228">
        <v>468</v>
      </c>
      <c r="R161" s="228">
        <v>461.2</v>
      </c>
      <c r="S161" s="228">
        <v>6.8</v>
      </c>
      <c r="T161" s="229">
        <v>1.47E-2</v>
      </c>
      <c r="U161" s="228">
        <v>469.7</v>
      </c>
      <c r="V161" s="228">
        <v>463.3</v>
      </c>
      <c r="W161" s="228">
        <v>6.4</v>
      </c>
      <c r="X161" s="229">
        <v>1.38E-2</v>
      </c>
      <c r="Y161" s="228">
        <v>1.1499999999999999</v>
      </c>
      <c r="Z161" s="228">
        <v>0.05</v>
      </c>
      <c r="AA161" s="228">
        <v>1.1000000000000001</v>
      </c>
      <c r="AB161" s="229">
        <v>2.5000000000000001E-3</v>
      </c>
      <c r="AC161" s="228">
        <v>1.1499999999999999</v>
      </c>
      <c r="AD161" s="228">
        <v>0.05</v>
      </c>
      <c r="AE161" s="228">
        <v>1.1000000000000001</v>
      </c>
      <c r="AF161" s="229">
        <v>2.5000000000000001E-3</v>
      </c>
      <c r="AG161" s="228">
        <v>3.15</v>
      </c>
      <c r="AH161" s="228">
        <v>2.2999999999999998</v>
      </c>
      <c r="AI161" s="228">
        <v>0.85</v>
      </c>
      <c r="AJ161" s="229">
        <v>6.7999999999999996E-3</v>
      </c>
      <c r="AK161" s="228">
        <v>4.8499999999999996</v>
      </c>
      <c r="AL161" s="228">
        <v>4.4000000000000004</v>
      </c>
      <c r="AM161" s="228">
        <v>0.45</v>
      </c>
      <c r="AN161" s="229">
        <v>1.04E-2</v>
      </c>
      <c r="AO161" s="228">
        <v>463.35</v>
      </c>
      <c r="AP161" s="228">
        <v>465.82</v>
      </c>
      <c r="AQ161" s="228">
        <v>0</v>
      </c>
      <c r="AR161" s="230">
        <v>11954800</v>
      </c>
      <c r="AS161" s="230">
        <v>19714500</v>
      </c>
      <c r="AT161" s="230">
        <v>-7759700</v>
      </c>
      <c r="AU161" s="229">
        <v>-0.39360000000000001</v>
      </c>
      <c r="AV161" s="230">
        <v>10058100</v>
      </c>
      <c r="AW161" s="230">
        <v>16994900</v>
      </c>
      <c r="AX161" s="230">
        <v>-6936800</v>
      </c>
      <c r="AY161" s="229">
        <v>-0.40820000000000001</v>
      </c>
      <c r="AZ161" s="230">
        <v>1584700</v>
      </c>
      <c r="BA161" s="230">
        <v>2406300</v>
      </c>
      <c r="BB161" s="230">
        <v>-821600</v>
      </c>
      <c r="BC161" s="229">
        <v>-0.34139999999999998</v>
      </c>
      <c r="BD161" s="230">
        <v>312000</v>
      </c>
      <c r="BE161" s="230">
        <v>313300</v>
      </c>
      <c r="BF161" s="230">
        <v>-1300</v>
      </c>
      <c r="BG161" s="229">
        <v>-4.1000000000000003E-3</v>
      </c>
      <c r="BH161" s="230">
        <v>49897900</v>
      </c>
      <c r="BI161" s="230">
        <v>99000200</v>
      </c>
      <c r="BJ161" s="230">
        <v>-49102300</v>
      </c>
      <c r="BK161" s="229">
        <v>-0.496</v>
      </c>
      <c r="BL161" s="230">
        <v>26149500</v>
      </c>
      <c r="BM161" s="230">
        <v>51352600</v>
      </c>
      <c r="BN161" s="230">
        <v>-25203100</v>
      </c>
      <c r="BO161" s="229">
        <v>-0.49080000000000001</v>
      </c>
      <c r="BP161" s="230">
        <v>88002200</v>
      </c>
      <c r="BQ161" s="230">
        <v>170067300</v>
      </c>
      <c r="BR161" s="230">
        <v>-82065100</v>
      </c>
      <c r="BS161" s="229">
        <v>-0.48249999999999998</v>
      </c>
      <c r="BT161" s="230">
        <v>10884602</v>
      </c>
      <c r="BU161" s="230">
        <v>23883734</v>
      </c>
      <c r="BV161" s="230">
        <v>-12999132</v>
      </c>
      <c r="BW161" s="229">
        <v>-0.54430000000000001</v>
      </c>
      <c r="BX161" s="230">
        <v>58090500</v>
      </c>
      <c r="BY161" s="230">
        <v>56559100</v>
      </c>
      <c r="BZ161" s="230">
        <v>1531400</v>
      </c>
      <c r="CA161" s="229">
        <v>2.7099999999999999E-2</v>
      </c>
      <c r="CB161" s="230">
        <v>49990200</v>
      </c>
      <c r="CC161" s="230">
        <v>49023000</v>
      </c>
      <c r="CD161" s="230">
        <v>967200</v>
      </c>
      <c r="CE161" s="229">
        <v>1.9699999999999999E-2</v>
      </c>
      <c r="CF161" s="230">
        <v>7547800</v>
      </c>
      <c r="CG161" s="230">
        <v>7130500</v>
      </c>
      <c r="CH161" s="230">
        <v>417300</v>
      </c>
      <c r="CI161" s="229">
        <v>5.8500000000000003E-2</v>
      </c>
      <c r="CJ161" s="230">
        <v>552500</v>
      </c>
      <c r="CK161" s="230">
        <v>405600</v>
      </c>
      <c r="CL161" s="230">
        <v>146900</v>
      </c>
      <c r="CM161" s="229">
        <v>0.36220000000000002</v>
      </c>
      <c r="CN161" s="230">
        <v>27141400</v>
      </c>
      <c r="CO161" s="230">
        <v>26104000</v>
      </c>
      <c r="CP161" s="230">
        <v>1037400</v>
      </c>
      <c r="CQ161" s="229">
        <v>3.9699999999999999E-2</v>
      </c>
      <c r="CR161" s="230">
        <v>19854900</v>
      </c>
      <c r="CS161" s="230">
        <v>18289700</v>
      </c>
      <c r="CT161" s="230">
        <v>1565200</v>
      </c>
      <c r="CU161" s="229">
        <v>8.5599999999999996E-2</v>
      </c>
      <c r="CV161" s="230">
        <v>105086800</v>
      </c>
      <c r="CW161" s="230">
        <v>100952800</v>
      </c>
      <c r="CX161" s="230">
        <v>4134000</v>
      </c>
      <c r="CY161" s="229">
        <v>4.0899999999999999E-2</v>
      </c>
      <c r="CZ161" s="228">
        <v>33.450000000000003</v>
      </c>
      <c r="DA161" s="228">
        <v>34.56</v>
      </c>
      <c r="DB161" s="228">
        <v>-1.1100000000000001</v>
      </c>
      <c r="DC161" s="228">
        <v>-1.1100000000000001</v>
      </c>
      <c r="DD161" s="228">
        <v>42.35</v>
      </c>
      <c r="DE161" s="228">
        <v>42.41</v>
      </c>
      <c r="DF161" s="228">
        <v>-8.9</v>
      </c>
      <c r="DG161" s="228">
        <v>-0.06</v>
      </c>
      <c r="DH161" s="228">
        <v>32.03</v>
      </c>
      <c r="DI161" s="228">
        <v>33.29</v>
      </c>
      <c r="DJ161" s="228">
        <v>-1.26</v>
      </c>
      <c r="DK161" s="228">
        <v>-1.26</v>
      </c>
      <c r="DL161" s="228">
        <v>36.17</v>
      </c>
      <c r="DM161" s="228">
        <v>37.01</v>
      </c>
      <c r="DN161" s="228">
        <v>-0.84</v>
      </c>
      <c r="DO161" s="228">
        <v>-0.84</v>
      </c>
      <c r="DP161" s="228">
        <v>0.73</v>
      </c>
      <c r="DQ161" s="228">
        <v>0.7</v>
      </c>
      <c r="DR161" s="228">
        <v>0.03</v>
      </c>
      <c r="DS161" s="229">
        <v>4.2900000000000001E-2</v>
      </c>
      <c r="DT161" s="228">
        <v>480</v>
      </c>
      <c r="DU161" s="228">
        <v>400</v>
      </c>
      <c r="DV161" s="228">
        <v>0.52</v>
      </c>
      <c r="DW161" s="228">
        <v>0.52</v>
      </c>
      <c r="DX161" s="228">
        <v>0</v>
      </c>
      <c r="DY161" s="229">
        <v>0</v>
      </c>
      <c r="DZ161" s="229">
        <v>0.1394</v>
      </c>
      <c r="EA161" s="230">
        <v>7536100</v>
      </c>
      <c r="EB161" s="229">
        <v>4.3E-3</v>
      </c>
      <c r="EC161" s="229">
        <v>0.1394</v>
      </c>
      <c r="ED161" s="228">
        <v>2.4700000000000002</v>
      </c>
      <c r="EE161" s="229">
        <v>5.3E-3</v>
      </c>
      <c r="EF161" s="230">
        <v>4969953</v>
      </c>
      <c r="EG161" s="230">
        <v>10898751</v>
      </c>
      <c r="EH161" s="229">
        <v>-0.54400000000000004</v>
      </c>
      <c r="EI161" s="229">
        <v>0.45660000000000001</v>
      </c>
      <c r="EJ161" s="231">
        <v>239775.87</v>
      </c>
      <c r="EK161" s="231">
        <v>118892.65</v>
      </c>
      <c r="EL161" s="231">
        <v>55440.23</v>
      </c>
      <c r="EM161" s="231">
        <v>10690</v>
      </c>
      <c r="EN161" s="231">
        <v>414108.75</v>
      </c>
      <c r="EO161" s="231">
        <v>791074.01</v>
      </c>
      <c r="EP161" s="231">
        <v>-376965.26</v>
      </c>
      <c r="EQ161" s="229">
        <v>-0.47649999999999998</v>
      </c>
      <c r="ER161" s="231">
        <v>121652</v>
      </c>
      <c r="ES161" s="231">
        <v>83418</v>
      </c>
      <c r="ET161" s="231">
        <v>270873</v>
      </c>
      <c r="EU161" s="231">
        <v>217835555</v>
      </c>
      <c r="EV161" s="231">
        <v>475943</v>
      </c>
      <c r="EW161" s="231">
        <v>452195</v>
      </c>
      <c r="EX161" s="231">
        <v>23748</v>
      </c>
      <c r="EY161" s="229">
        <v>5.2499999999999998E-2</v>
      </c>
      <c r="EZ161" s="229">
        <v>0.4824</v>
      </c>
      <c r="FA161" s="227" t="s">
        <v>555</v>
      </c>
      <c r="FB161" s="161">
        <f t="shared" si="3"/>
        <v>0</v>
      </c>
    </row>
    <row r="162" spans="1:158" ht="17.25" thickBot="1" x14ac:dyDescent="0.3">
      <c r="A162" s="226">
        <v>46129</v>
      </c>
      <c r="B162" s="227" t="s">
        <v>184</v>
      </c>
      <c r="C162" s="227" t="s">
        <v>678</v>
      </c>
      <c r="D162" s="228">
        <v>950</v>
      </c>
      <c r="E162" s="228">
        <v>562.65</v>
      </c>
      <c r="F162" s="228">
        <v>557.20000000000005</v>
      </c>
      <c r="G162" s="228">
        <v>5.45</v>
      </c>
      <c r="H162" s="229">
        <v>9.7999999999999997E-3</v>
      </c>
      <c r="I162" s="228">
        <v>561.4</v>
      </c>
      <c r="J162" s="228">
        <v>557.65</v>
      </c>
      <c r="K162" s="228">
        <v>3.75</v>
      </c>
      <c r="L162" s="229">
        <v>6.7000000000000002E-3</v>
      </c>
      <c r="M162" s="228">
        <v>562.65</v>
      </c>
      <c r="N162" s="228">
        <v>557.20000000000005</v>
      </c>
      <c r="O162" s="228">
        <v>5.45</v>
      </c>
      <c r="P162" s="229">
        <v>9.7999999999999997E-3</v>
      </c>
      <c r="Q162" s="228">
        <v>551.45000000000005</v>
      </c>
      <c r="R162" s="228">
        <v>546.15</v>
      </c>
      <c r="S162" s="228">
        <v>5.3</v>
      </c>
      <c r="T162" s="229">
        <v>9.7000000000000003E-3</v>
      </c>
      <c r="U162" s="228">
        <v>545.9</v>
      </c>
      <c r="V162" s="228">
        <v>538.29999999999995</v>
      </c>
      <c r="W162" s="228">
        <v>7.6</v>
      </c>
      <c r="X162" s="229">
        <v>1.41E-2</v>
      </c>
      <c r="Y162" s="228">
        <v>1.25</v>
      </c>
      <c r="Z162" s="228">
        <v>-0.45</v>
      </c>
      <c r="AA162" s="228">
        <v>1.7</v>
      </c>
      <c r="AB162" s="229">
        <v>2.2000000000000001E-3</v>
      </c>
      <c r="AC162" s="228">
        <v>1.25</v>
      </c>
      <c r="AD162" s="228">
        <v>-0.45</v>
      </c>
      <c r="AE162" s="228">
        <v>1.7</v>
      </c>
      <c r="AF162" s="229">
        <v>2.2000000000000001E-3</v>
      </c>
      <c r="AG162" s="228">
        <v>-9.9499999999999993</v>
      </c>
      <c r="AH162" s="228">
        <v>-11.5</v>
      </c>
      <c r="AI162" s="228">
        <v>1.55</v>
      </c>
      <c r="AJ162" s="229">
        <v>-1.77E-2</v>
      </c>
      <c r="AK162" s="228">
        <v>-15.5</v>
      </c>
      <c r="AL162" s="228">
        <v>-19.350000000000001</v>
      </c>
      <c r="AM162" s="228">
        <v>3.85</v>
      </c>
      <c r="AN162" s="229">
        <v>-2.76E-2</v>
      </c>
      <c r="AO162" s="228">
        <v>558.33000000000004</v>
      </c>
      <c r="AP162" s="228">
        <v>546.11</v>
      </c>
      <c r="AQ162" s="228">
        <v>0</v>
      </c>
      <c r="AR162" s="230">
        <v>4114450</v>
      </c>
      <c r="AS162" s="230">
        <v>7575300</v>
      </c>
      <c r="AT162" s="230">
        <v>-3460850</v>
      </c>
      <c r="AU162" s="229">
        <v>-0.45689999999999997</v>
      </c>
      <c r="AV162" s="230">
        <v>3283200</v>
      </c>
      <c r="AW162" s="230">
        <v>6336500</v>
      </c>
      <c r="AX162" s="230">
        <v>-3053300</v>
      </c>
      <c r="AY162" s="229">
        <v>-0.4819</v>
      </c>
      <c r="AZ162" s="230">
        <v>720100</v>
      </c>
      <c r="BA162" s="230">
        <v>1098200</v>
      </c>
      <c r="BB162" s="230">
        <v>-378100</v>
      </c>
      <c r="BC162" s="229">
        <v>-0.34429999999999999</v>
      </c>
      <c r="BD162" s="230">
        <v>111150</v>
      </c>
      <c r="BE162" s="230">
        <v>140600</v>
      </c>
      <c r="BF162" s="230">
        <v>-29450</v>
      </c>
      <c r="BG162" s="229">
        <v>-0.20949999999999999</v>
      </c>
      <c r="BH162" s="230">
        <v>10114650</v>
      </c>
      <c r="BI162" s="230">
        <v>25242450</v>
      </c>
      <c r="BJ162" s="230">
        <v>-15127800</v>
      </c>
      <c r="BK162" s="229">
        <v>-0.59930000000000005</v>
      </c>
      <c r="BL162" s="230">
        <v>10222950</v>
      </c>
      <c r="BM162" s="230">
        <v>15354850</v>
      </c>
      <c r="BN162" s="230">
        <v>-5131900</v>
      </c>
      <c r="BO162" s="229">
        <v>-0.3342</v>
      </c>
      <c r="BP162" s="230">
        <v>24452050</v>
      </c>
      <c r="BQ162" s="230">
        <v>48172600</v>
      </c>
      <c r="BR162" s="230">
        <v>-23720550</v>
      </c>
      <c r="BS162" s="229">
        <v>-0.4924</v>
      </c>
      <c r="BT162" s="230">
        <v>2973655</v>
      </c>
      <c r="BU162" s="230">
        <v>6852093</v>
      </c>
      <c r="BV162" s="230">
        <v>-3878438</v>
      </c>
      <c r="BW162" s="229">
        <v>-0.56599999999999995</v>
      </c>
      <c r="BX162" s="230">
        <v>15949550</v>
      </c>
      <c r="BY162" s="230">
        <v>16223150</v>
      </c>
      <c r="BZ162" s="230">
        <v>-273600</v>
      </c>
      <c r="CA162" s="229">
        <v>-1.6899999999999998E-2</v>
      </c>
      <c r="CB162" s="230">
        <v>13401650</v>
      </c>
      <c r="CC162" s="230">
        <v>13888050</v>
      </c>
      <c r="CD162" s="230">
        <v>-486400</v>
      </c>
      <c r="CE162" s="229">
        <v>-3.5000000000000003E-2</v>
      </c>
      <c r="CF162" s="230">
        <v>2184050</v>
      </c>
      <c r="CG162" s="230">
        <v>2023500</v>
      </c>
      <c r="CH162" s="230">
        <v>160550</v>
      </c>
      <c r="CI162" s="229">
        <v>7.9299999999999995E-2</v>
      </c>
      <c r="CJ162" s="230">
        <v>363850</v>
      </c>
      <c r="CK162" s="230">
        <v>311600</v>
      </c>
      <c r="CL162" s="230">
        <v>52250</v>
      </c>
      <c r="CM162" s="229">
        <v>0.16769999999999999</v>
      </c>
      <c r="CN162" s="230">
        <v>8536700</v>
      </c>
      <c r="CO162" s="230">
        <v>8567100</v>
      </c>
      <c r="CP162" s="230">
        <v>-30400</v>
      </c>
      <c r="CQ162" s="229">
        <v>-3.5000000000000001E-3</v>
      </c>
      <c r="CR162" s="230">
        <v>10089950</v>
      </c>
      <c r="CS162" s="230">
        <v>10152650</v>
      </c>
      <c r="CT162" s="230">
        <v>-62700</v>
      </c>
      <c r="CU162" s="229">
        <v>-6.1999999999999998E-3</v>
      </c>
      <c r="CV162" s="230">
        <v>34576200</v>
      </c>
      <c r="CW162" s="230">
        <v>34942900</v>
      </c>
      <c r="CX162" s="230">
        <v>-366700</v>
      </c>
      <c r="CY162" s="229">
        <v>-1.0500000000000001E-2</v>
      </c>
      <c r="CZ162" s="228">
        <v>53.01</v>
      </c>
      <c r="DA162" s="228">
        <v>55.31</v>
      </c>
      <c r="DB162" s="228">
        <v>-2.2999999999999998</v>
      </c>
      <c r="DC162" s="228">
        <v>-2.2999999999999998</v>
      </c>
      <c r="DD162" s="228">
        <v>68.22</v>
      </c>
      <c r="DE162" s="228">
        <v>68.38</v>
      </c>
      <c r="DF162" s="228">
        <v>-15.21</v>
      </c>
      <c r="DG162" s="228">
        <v>-0.16</v>
      </c>
      <c r="DH162" s="228">
        <v>49.6</v>
      </c>
      <c r="DI162" s="228">
        <v>52.51</v>
      </c>
      <c r="DJ162" s="228">
        <v>-2.91</v>
      </c>
      <c r="DK162" s="228">
        <v>-2.91</v>
      </c>
      <c r="DL162" s="228">
        <v>56.38</v>
      </c>
      <c r="DM162" s="228">
        <v>59.92</v>
      </c>
      <c r="DN162" s="228">
        <v>-3.54</v>
      </c>
      <c r="DO162" s="228">
        <v>-3.54</v>
      </c>
      <c r="DP162" s="228">
        <v>1.18</v>
      </c>
      <c r="DQ162" s="228">
        <v>1.19</v>
      </c>
      <c r="DR162" s="228">
        <v>-0.01</v>
      </c>
      <c r="DS162" s="229">
        <v>-8.3999999999999995E-3</v>
      </c>
      <c r="DT162" s="228">
        <v>560</v>
      </c>
      <c r="DU162" s="228">
        <v>500</v>
      </c>
      <c r="DV162" s="228">
        <v>1.01</v>
      </c>
      <c r="DW162" s="228">
        <v>0.61</v>
      </c>
      <c r="DX162" s="228">
        <v>0.4</v>
      </c>
      <c r="DY162" s="229">
        <v>0.65569999999999995</v>
      </c>
      <c r="DZ162" s="229">
        <v>0.15970000000000001</v>
      </c>
      <c r="EA162" s="230">
        <v>2335100</v>
      </c>
      <c r="EB162" s="229">
        <v>-1.9900000000000001E-2</v>
      </c>
      <c r="EC162" s="229">
        <v>0.15970000000000001</v>
      </c>
      <c r="ED162" s="228">
        <v>-12.22</v>
      </c>
      <c r="EE162" s="229">
        <v>-2.1899999999999999E-2</v>
      </c>
      <c r="EF162" s="230">
        <v>752986</v>
      </c>
      <c r="EG162" s="230">
        <v>1460676</v>
      </c>
      <c r="EH162" s="229">
        <v>-0.48449999999999999</v>
      </c>
      <c r="EI162" s="229">
        <v>0.25319999999999998</v>
      </c>
      <c r="EJ162" s="231">
        <v>59881.48</v>
      </c>
      <c r="EK162" s="231">
        <v>53485.93</v>
      </c>
      <c r="EL162" s="231">
        <v>22865.51</v>
      </c>
      <c r="EM162" s="231">
        <v>7038</v>
      </c>
      <c r="EN162" s="231">
        <v>136232.92000000001</v>
      </c>
      <c r="EO162" s="231">
        <v>269725.73</v>
      </c>
      <c r="EP162" s="231">
        <v>-133492.81</v>
      </c>
      <c r="EQ162" s="229">
        <v>-0.49490000000000001</v>
      </c>
      <c r="ER162" s="231">
        <v>45836</v>
      </c>
      <c r="ES162" s="231">
        <v>49105</v>
      </c>
      <c r="ET162" s="231">
        <v>89435</v>
      </c>
      <c r="EU162" s="231">
        <v>24101986</v>
      </c>
      <c r="EV162" s="231">
        <v>184375</v>
      </c>
      <c r="EW162" s="231">
        <v>184799</v>
      </c>
      <c r="EX162" s="228">
        <v>-424</v>
      </c>
      <c r="EY162" s="229">
        <v>-2.3E-3</v>
      </c>
      <c r="EZ162" s="229">
        <v>1.4346000000000001</v>
      </c>
      <c r="FA162" s="227" t="s">
        <v>693</v>
      </c>
      <c r="FB162" s="161">
        <f t="shared" ref="FB162:FB194" si="4">BX233-CB233</f>
        <v>0</v>
      </c>
    </row>
    <row r="163" spans="1:158" ht="17.25" thickBot="1" x14ac:dyDescent="0.3">
      <c r="A163" s="226">
        <v>46129</v>
      </c>
      <c r="B163" s="227" t="s">
        <v>206</v>
      </c>
      <c r="C163" s="227" t="s">
        <v>644</v>
      </c>
      <c r="D163" s="228">
        <v>350</v>
      </c>
      <c r="E163" s="231">
        <v>1798.6</v>
      </c>
      <c r="F163" s="231">
        <v>1786.7</v>
      </c>
      <c r="G163" s="228">
        <v>11.9</v>
      </c>
      <c r="H163" s="229">
        <v>6.7000000000000002E-3</v>
      </c>
      <c r="I163" s="231">
        <v>1792.2</v>
      </c>
      <c r="J163" s="231">
        <v>1782.3</v>
      </c>
      <c r="K163" s="228">
        <v>9.9</v>
      </c>
      <c r="L163" s="229">
        <v>5.5999999999999999E-3</v>
      </c>
      <c r="M163" s="231">
        <v>1798.6</v>
      </c>
      <c r="N163" s="231">
        <v>1786.7</v>
      </c>
      <c r="O163" s="228">
        <v>11.9</v>
      </c>
      <c r="P163" s="229">
        <v>6.7000000000000002E-3</v>
      </c>
      <c r="Q163" s="231">
        <v>1807.9</v>
      </c>
      <c r="R163" s="231">
        <v>1792.5</v>
      </c>
      <c r="S163" s="228">
        <v>15.4</v>
      </c>
      <c r="T163" s="229">
        <v>8.6E-3</v>
      </c>
      <c r="U163" s="231">
        <v>1801.7</v>
      </c>
      <c r="V163" s="231">
        <v>1801.7</v>
      </c>
      <c r="W163" s="228">
        <v>0</v>
      </c>
      <c r="X163" s="229">
        <v>0</v>
      </c>
      <c r="Y163" s="228">
        <v>6.4</v>
      </c>
      <c r="Z163" s="228">
        <v>4.4000000000000004</v>
      </c>
      <c r="AA163" s="228">
        <v>2</v>
      </c>
      <c r="AB163" s="229">
        <v>3.5999999999999999E-3</v>
      </c>
      <c r="AC163" s="228">
        <v>6.4</v>
      </c>
      <c r="AD163" s="228">
        <v>4.4000000000000004</v>
      </c>
      <c r="AE163" s="228">
        <v>2</v>
      </c>
      <c r="AF163" s="229">
        <v>3.5999999999999999E-3</v>
      </c>
      <c r="AG163" s="228">
        <v>15.7</v>
      </c>
      <c r="AH163" s="228">
        <v>10.199999999999999</v>
      </c>
      <c r="AI163" s="228">
        <v>5.5</v>
      </c>
      <c r="AJ163" s="229">
        <v>8.8000000000000005E-3</v>
      </c>
      <c r="AK163" s="228">
        <v>9.5</v>
      </c>
      <c r="AL163" s="228">
        <v>19.399999999999999</v>
      </c>
      <c r="AM163" s="228">
        <v>-9.9</v>
      </c>
      <c r="AN163" s="229">
        <v>5.3E-3</v>
      </c>
      <c r="AO163" s="231">
        <v>1798.04</v>
      </c>
      <c r="AP163" s="231">
        <v>1802.43</v>
      </c>
      <c r="AQ163" s="228">
        <v>0</v>
      </c>
      <c r="AR163" s="230">
        <v>226450</v>
      </c>
      <c r="AS163" s="230">
        <v>923650</v>
      </c>
      <c r="AT163" s="230">
        <v>-697200</v>
      </c>
      <c r="AU163" s="229">
        <v>-0.75480000000000003</v>
      </c>
      <c r="AV163" s="230">
        <v>217000</v>
      </c>
      <c r="AW163" s="230">
        <v>562100</v>
      </c>
      <c r="AX163" s="230">
        <v>-345100</v>
      </c>
      <c r="AY163" s="229">
        <v>-0.6139</v>
      </c>
      <c r="AZ163" s="230">
        <v>9450</v>
      </c>
      <c r="BA163" s="230">
        <v>7700</v>
      </c>
      <c r="BB163" s="230">
        <v>1750</v>
      </c>
      <c r="BC163" s="229">
        <v>0.2273</v>
      </c>
      <c r="BD163" s="228">
        <v>0</v>
      </c>
      <c r="BE163" s="230">
        <v>353850</v>
      </c>
      <c r="BF163" s="230">
        <v>-353850</v>
      </c>
      <c r="BG163" s="229">
        <v>-1</v>
      </c>
      <c r="BH163" s="230">
        <v>431200</v>
      </c>
      <c r="BI163" s="230">
        <v>280350</v>
      </c>
      <c r="BJ163" s="230">
        <v>150850</v>
      </c>
      <c r="BK163" s="229">
        <v>0.53810000000000002</v>
      </c>
      <c r="BL163" s="230">
        <v>311500</v>
      </c>
      <c r="BM163" s="230">
        <v>369600</v>
      </c>
      <c r="BN163" s="230">
        <v>-58100</v>
      </c>
      <c r="BO163" s="229">
        <v>-0.15720000000000001</v>
      </c>
      <c r="BP163" s="230">
        <v>969150</v>
      </c>
      <c r="BQ163" s="230">
        <v>1573600</v>
      </c>
      <c r="BR163" s="230">
        <v>-604450</v>
      </c>
      <c r="BS163" s="229">
        <v>-0.3841</v>
      </c>
      <c r="BT163" s="230">
        <v>416379</v>
      </c>
      <c r="BU163" s="230">
        <v>186480</v>
      </c>
      <c r="BV163" s="230">
        <v>229899</v>
      </c>
      <c r="BW163" s="229">
        <v>1.2327999999999999</v>
      </c>
      <c r="BX163" s="230">
        <v>3786300</v>
      </c>
      <c r="BY163" s="230">
        <v>3810100</v>
      </c>
      <c r="BZ163" s="230">
        <v>-23800</v>
      </c>
      <c r="CA163" s="229">
        <v>-6.1999999999999998E-3</v>
      </c>
      <c r="CB163" s="230">
        <v>3411450</v>
      </c>
      <c r="CC163" s="230">
        <v>3436300</v>
      </c>
      <c r="CD163" s="230">
        <v>-24850</v>
      </c>
      <c r="CE163" s="229">
        <v>-7.1999999999999998E-3</v>
      </c>
      <c r="CF163" s="230">
        <v>22050</v>
      </c>
      <c r="CG163" s="230">
        <v>21000</v>
      </c>
      <c r="CH163" s="230">
        <v>1050</v>
      </c>
      <c r="CI163" s="229">
        <v>0.05</v>
      </c>
      <c r="CJ163" s="230">
        <v>352800</v>
      </c>
      <c r="CK163" s="230">
        <v>352800</v>
      </c>
      <c r="CL163" s="228">
        <v>0</v>
      </c>
      <c r="CM163" s="229">
        <v>0</v>
      </c>
      <c r="CN163" s="230">
        <v>737450</v>
      </c>
      <c r="CO163" s="230">
        <v>712250</v>
      </c>
      <c r="CP163" s="230">
        <v>25200</v>
      </c>
      <c r="CQ163" s="229">
        <v>3.5400000000000001E-2</v>
      </c>
      <c r="CR163" s="230">
        <v>630700</v>
      </c>
      <c r="CS163" s="230">
        <v>676900</v>
      </c>
      <c r="CT163" s="230">
        <v>-46200</v>
      </c>
      <c r="CU163" s="229">
        <v>-6.83E-2</v>
      </c>
      <c r="CV163" s="230">
        <v>5154450</v>
      </c>
      <c r="CW163" s="230">
        <v>5199250</v>
      </c>
      <c r="CX163" s="230">
        <v>-44800</v>
      </c>
      <c r="CY163" s="229">
        <v>-8.6E-3</v>
      </c>
      <c r="CZ163" s="228">
        <v>34.42</v>
      </c>
      <c r="DA163" s="228">
        <v>39.96</v>
      </c>
      <c r="DB163" s="228">
        <v>-5.54</v>
      </c>
      <c r="DC163" s="228">
        <v>-5.54</v>
      </c>
      <c r="DD163" s="228">
        <v>40.020000000000003</v>
      </c>
      <c r="DE163" s="228">
        <v>40.119999999999997</v>
      </c>
      <c r="DF163" s="228">
        <v>-5.6</v>
      </c>
      <c r="DG163" s="228">
        <v>-0.1</v>
      </c>
      <c r="DH163" s="228">
        <v>29.09</v>
      </c>
      <c r="DI163" s="228">
        <v>30.21</v>
      </c>
      <c r="DJ163" s="228">
        <v>-1.1200000000000001</v>
      </c>
      <c r="DK163" s="228">
        <v>-1.1200000000000001</v>
      </c>
      <c r="DL163" s="228">
        <v>41.79</v>
      </c>
      <c r="DM163" s="228">
        <v>47.35</v>
      </c>
      <c r="DN163" s="228">
        <v>-5.56</v>
      </c>
      <c r="DO163" s="228">
        <v>-5.56</v>
      </c>
      <c r="DP163" s="228">
        <v>0.86</v>
      </c>
      <c r="DQ163" s="228">
        <v>0.95</v>
      </c>
      <c r="DR163" s="228">
        <v>-0.09</v>
      </c>
      <c r="DS163" s="229">
        <v>-9.4700000000000006E-2</v>
      </c>
      <c r="DT163" s="231">
        <v>1900</v>
      </c>
      <c r="DU163" s="231">
        <v>1500</v>
      </c>
      <c r="DV163" s="228">
        <v>0.72</v>
      </c>
      <c r="DW163" s="228">
        <v>1.32</v>
      </c>
      <c r="DX163" s="228">
        <v>-0.6</v>
      </c>
      <c r="DY163" s="229">
        <v>-0.45450000000000002</v>
      </c>
      <c r="DZ163" s="229">
        <v>9.9000000000000005E-2</v>
      </c>
      <c r="EA163" s="230">
        <v>373800</v>
      </c>
      <c r="EB163" s="229">
        <v>5.1999999999999998E-3</v>
      </c>
      <c r="EC163" s="229">
        <v>9.9000000000000005E-2</v>
      </c>
      <c r="ED163" s="228">
        <v>4.3899999999999997</v>
      </c>
      <c r="EE163" s="229">
        <v>2.3999999999999998E-3</v>
      </c>
      <c r="EF163" s="230">
        <v>275877</v>
      </c>
      <c r="EG163" s="230">
        <v>79204</v>
      </c>
      <c r="EH163" s="229">
        <v>2.4830999999999999</v>
      </c>
      <c r="EI163" s="229">
        <v>0.66259999999999997</v>
      </c>
      <c r="EJ163" s="231">
        <v>8051.7</v>
      </c>
      <c r="EK163" s="231">
        <v>5010.3</v>
      </c>
      <c r="EL163" s="231">
        <v>4072.07</v>
      </c>
      <c r="EM163" s="231">
        <v>1825</v>
      </c>
      <c r="EN163" s="231">
        <v>17134.07</v>
      </c>
      <c r="EO163" s="231">
        <v>27607.24</v>
      </c>
      <c r="EP163" s="231">
        <v>-10473.17</v>
      </c>
      <c r="EQ163" s="229">
        <v>-0.37940000000000002</v>
      </c>
      <c r="ER163" s="231">
        <v>12897</v>
      </c>
      <c r="ES163" s="231">
        <v>9890</v>
      </c>
      <c r="ET163" s="231">
        <v>68113</v>
      </c>
      <c r="EU163" s="231">
        <v>21502901</v>
      </c>
      <c r="EV163" s="231">
        <v>90900</v>
      </c>
      <c r="EW163" s="231">
        <v>91124</v>
      </c>
      <c r="EX163" s="228">
        <v>-224</v>
      </c>
      <c r="EY163" s="229">
        <v>-2.5000000000000001E-3</v>
      </c>
      <c r="EZ163" s="229">
        <v>0.2397</v>
      </c>
      <c r="FA163" s="227" t="s">
        <v>693</v>
      </c>
      <c r="FB163" s="161">
        <f t="shared" si="4"/>
        <v>0</v>
      </c>
    </row>
    <row r="164" spans="1:158" ht="17.25" thickBot="1" x14ac:dyDescent="0.3">
      <c r="A164" s="226">
        <v>46129</v>
      </c>
      <c r="B164" s="227" t="s">
        <v>168</v>
      </c>
      <c r="C164" s="227" t="s">
        <v>274</v>
      </c>
      <c r="D164" s="228">
        <v>500</v>
      </c>
      <c r="E164" s="231">
        <v>1396.9</v>
      </c>
      <c r="F164" s="231">
        <v>1331.3</v>
      </c>
      <c r="G164" s="228">
        <v>65.599999999999994</v>
      </c>
      <c r="H164" s="229">
        <v>4.9299999999999997E-2</v>
      </c>
      <c r="I164" s="231">
        <v>1393.4</v>
      </c>
      <c r="J164" s="231">
        <v>1331</v>
      </c>
      <c r="K164" s="228">
        <v>62.4</v>
      </c>
      <c r="L164" s="229">
        <v>4.6899999999999997E-2</v>
      </c>
      <c r="M164" s="231">
        <v>1396.9</v>
      </c>
      <c r="N164" s="231">
        <v>1331.3</v>
      </c>
      <c r="O164" s="228">
        <v>65.599999999999994</v>
      </c>
      <c r="P164" s="229">
        <v>4.9299999999999997E-2</v>
      </c>
      <c r="Q164" s="231">
        <v>1402.3</v>
      </c>
      <c r="R164" s="231">
        <v>1338.2</v>
      </c>
      <c r="S164" s="228">
        <v>64.099999999999994</v>
      </c>
      <c r="T164" s="229">
        <v>4.7899999999999998E-2</v>
      </c>
      <c r="U164" s="231">
        <v>1406.8</v>
      </c>
      <c r="V164" s="231">
        <v>1343.6</v>
      </c>
      <c r="W164" s="228">
        <v>63.2</v>
      </c>
      <c r="X164" s="229">
        <v>4.7E-2</v>
      </c>
      <c r="Y164" s="228">
        <v>3.5</v>
      </c>
      <c r="Z164" s="228">
        <v>0.3</v>
      </c>
      <c r="AA164" s="228">
        <v>3.2</v>
      </c>
      <c r="AB164" s="229">
        <v>2.5000000000000001E-3</v>
      </c>
      <c r="AC164" s="228">
        <v>3.5</v>
      </c>
      <c r="AD164" s="228">
        <v>0.3</v>
      </c>
      <c r="AE164" s="228">
        <v>3.2</v>
      </c>
      <c r="AF164" s="229">
        <v>2.5000000000000001E-3</v>
      </c>
      <c r="AG164" s="228">
        <v>8.9</v>
      </c>
      <c r="AH164" s="228">
        <v>7.2</v>
      </c>
      <c r="AI164" s="228">
        <v>1.7</v>
      </c>
      <c r="AJ164" s="229">
        <v>6.4000000000000003E-3</v>
      </c>
      <c r="AK164" s="228">
        <v>13.4</v>
      </c>
      <c r="AL164" s="228">
        <v>12.6</v>
      </c>
      <c r="AM164" s="228">
        <v>0.8</v>
      </c>
      <c r="AN164" s="229">
        <v>9.5999999999999992E-3</v>
      </c>
      <c r="AO164" s="231">
        <v>1381.47</v>
      </c>
      <c r="AP164" s="231">
        <v>1381.47</v>
      </c>
      <c r="AQ164" s="228">
        <v>0</v>
      </c>
      <c r="AR164" s="230">
        <v>2698000</v>
      </c>
      <c r="AS164" s="230">
        <v>2477000</v>
      </c>
      <c r="AT164" s="230">
        <v>221000</v>
      </c>
      <c r="AU164" s="229">
        <v>8.9200000000000002E-2</v>
      </c>
      <c r="AV164" s="230">
        <v>2433000</v>
      </c>
      <c r="AW164" s="230">
        <v>2336000</v>
      </c>
      <c r="AX164" s="230">
        <v>97000</v>
      </c>
      <c r="AY164" s="229">
        <v>4.1500000000000002E-2</v>
      </c>
      <c r="AZ164" s="230">
        <v>235500</v>
      </c>
      <c r="BA164" s="230">
        <v>125500</v>
      </c>
      <c r="BB164" s="230">
        <v>110000</v>
      </c>
      <c r="BC164" s="229">
        <v>0.87649999999999995</v>
      </c>
      <c r="BD164" s="230">
        <v>29500</v>
      </c>
      <c r="BE164" s="230">
        <v>15500</v>
      </c>
      <c r="BF164" s="230">
        <v>14000</v>
      </c>
      <c r="BG164" s="229">
        <v>0.9032</v>
      </c>
      <c r="BH164" s="230">
        <v>8469500</v>
      </c>
      <c r="BI164" s="230">
        <v>1645000</v>
      </c>
      <c r="BJ164" s="230">
        <v>6824500</v>
      </c>
      <c r="BK164" s="229">
        <v>4.1486000000000001</v>
      </c>
      <c r="BL164" s="230">
        <v>2792500</v>
      </c>
      <c r="BM164" s="230">
        <v>963000</v>
      </c>
      <c r="BN164" s="230">
        <v>1829500</v>
      </c>
      <c r="BO164" s="229">
        <v>1.8997999999999999</v>
      </c>
      <c r="BP164" s="230">
        <v>13960000</v>
      </c>
      <c r="BQ164" s="230">
        <v>5085000</v>
      </c>
      <c r="BR164" s="230">
        <v>8875000</v>
      </c>
      <c r="BS164" s="229">
        <v>1.7453000000000001</v>
      </c>
      <c r="BT164" s="230">
        <v>2394391</v>
      </c>
      <c r="BU164" s="230">
        <v>1653395</v>
      </c>
      <c r="BV164" s="230">
        <v>740996</v>
      </c>
      <c r="BW164" s="229">
        <v>0.44819999999999999</v>
      </c>
      <c r="BX164" s="230">
        <v>8691000</v>
      </c>
      <c r="BY164" s="230">
        <v>8886500</v>
      </c>
      <c r="BZ164" s="230">
        <v>-195500</v>
      </c>
      <c r="CA164" s="229">
        <v>-2.1999999999999999E-2</v>
      </c>
      <c r="CB164" s="230">
        <v>8419500</v>
      </c>
      <c r="CC164" s="230">
        <v>8606000</v>
      </c>
      <c r="CD164" s="230">
        <v>-186500</v>
      </c>
      <c r="CE164" s="229">
        <v>-2.1700000000000001E-2</v>
      </c>
      <c r="CF164" s="230">
        <v>248500</v>
      </c>
      <c r="CG164" s="230">
        <v>243000</v>
      </c>
      <c r="CH164" s="230">
        <v>5500</v>
      </c>
      <c r="CI164" s="229">
        <v>2.2599999999999999E-2</v>
      </c>
      <c r="CJ164" s="230">
        <v>23000</v>
      </c>
      <c r="CK164" s="230">
        <v>37500</v>
      </c>
      <c r="CL164" s="230">
        <v>-14500</v>
      </c>
      <c r="CM164" s="229">
        <v>-0.38669999999999999</v>
      </c>
      <c r="CN164" s="230">
        <v>1761000</v>
      </c>
      <c r="CO164" s="230">
        <v>1511000</v>
      </c>
      <c r="CP164" s="230">
        <v>250000</v>
      </c>
      <c r="CQ164" s="229">
        <v>0.16550000000000001</v>
      </c>
      <c r="CR164" s="230">
        <v>1154000</v>
      </c>
      <c r="CS164" s="230">
        <v>1006500</v>
      </c>
      <c r="CT164" s="230">
        <v>147500</v>
      </c>
      <c r="CU164" s="229">
        <v>0.14649999999999999</v>
      </c>
      <c r="CV164" s="230">
        <v>11606000</v>
      </c>
      <c r="CW164" s="230">
        <v>11404000</v>
      </c>
      <c r="CX164" s="230">
        <v>202000</v>
      </c>
      <c r="CY164" s="229">
        <v>1.77E-2</v>
      </c>
      <c r="CZ164" s="228">
        <v>29.17</v>
      </c>
      <c r="DA164" s="228">
        <v>29.1</v>
      </c>
      <c r="DB164" s="228">
        <v>7.0000000000000007E-2</v>
      </c>
      <c r="DC164" s="228">
        <v>7.0000000000000007E-2</v>
      </c>
      <c r="DD164" s="228">
        <v>26.22</v>
      </c>
      <c r="DE164" s="228">
        <v>25.49</v>
      </c>
      <c r="DF164" s="228">
        <v>2.95</v>
      </c>
      <c r="DG164" s="228">
        <v>0.73</v>
      </c>
      <c r="DH164" s="228">
        <v>28.45</v>
      </c>
      <c r="DI164" s="228">
        <v>28.59</v>
      </c>
      <c r="DJ164" s="228">
        <v>-0.14000000000000001</v>
      </c>
      <c r="DK164" s="228">
        <v>-0.14000000000000001</v>
      </c>
      <c r="DL164" s="228">
        <v>31.35</v>
      </c>
      <c r="DM164" s="228">
        <v>29.98</v>
      </c>
      <c r="DN164" s="228">
        <v>1.37</v>
      </c>
      <c r="DO164" s="228">
        <v>1.37</v>
      </c>
      <c r="DP164" s="228">
        <v>0.66</v>
      </c>
      <c r="DQ164" s="228">
        <v>0.67</v>
      </c>
      <c r="DR164" s="228">
        <v>-0.01</v>
      </c>
      <c r="DS164" s="229">
        <v>-1.49E-2</v>
      </c>
      <c r="DT164" s="231">
        <v>1400</v>
      </c>
      <c r="DU164" s="231">
        <v>1300</v>
      </c>
      <c r="DV164" s="228">
        <v>0.33</v>
      </c>
      <c r="DW164" s="228">
        <v>0.59</v>
      </c>
      <c r="DX164" s="228">
        <v>-0.26</v>
      </c>
      <c r="DY164" s="229">
        <v>-0.44069999999999998</v>
      </c>
      <c r="DZ164" s="229">
        <v>3.1199999999999999E-2</v>
      </c>
      <c r="EA164" s="230">
        <v>280500</v>
      </c>
      <c r="EB164" s="229">
        <v>3.8999999999999998E-3</v>
      </c>
      <c r="EC164" s="229">
        <v>3.1199999999999999E-2</v>
      </c>
      <c r="ED164" s="228">
        <v>0</v>
      </c>
      <c r="EE164" s="229">
        <v>0</v>
      </c>
      <c r="EF164" s="230">
        <v>1421726</v>
      </c>
      <c r="EG164" s="230">
        <v>1097023</v>
      </c>
      <c r="EH164" s="229">
        <v>0.29599999999999999</v>
      </c>
      <c r="EI164" s="229">
        <v>0.59379999999999999</v>
      </c>
      <c r="EJ164" s="231">
        <v>120694.44</v>
      </c>
      <c r="EK164" s="231">
        <v>37683.56</v>
      </c>
      <c r="EL164" s="231">
        <v>37272.910000000003</v>
      </c>
      <c r="EM164" s="231">
        <v>3859</v>
      </c>
      <c r="EN164" s="231">
        <v>195650.91</v>
      </c>
      <c r="EO164" s="231">
        <v>68335.97</v>
      </c>
      <c r="EP164" s="231">
        <v>127314.94</v>
      </c>
      <c r="EQ164" s="229">
        <v>1.8631</v>
      </c>
      <c r="ER164" s="231">
        <v>24790</v>
      </c>
      <c r="ES164" s="231">
        <v>15154</v>
      </c>
      <c r="ET164" s="231">
        <v>121420</v>
      </c>
      <c r="EU164" s="231">
        <v>31214205</v>
      </c>
      <c r="EV164" s="231">
        <v>161363</v>
      </c>
      <c r="EW164" s="231">
        <v>152347</v>
      </c>
      <c r="EX164" s="231">
        <v>9016</v>
      </c>
      <c r="EY164" s="229">
        <v>5.9200000000000003E-2</v>
      </c>
      <c r="EZ164" s="229">
        <v>0.37180000000000002</v>
      </c>
      <c r="FA164" s="227" t="s">
        <v>693</v>
      </c>
      <c r="FB164" s="161">
        <f t="shared" si="4"/>
        <v>0</v>
      </c>
    </row>
    <row r="165" spans="1:158" ht="17.25" thickBot="1" x14ac:dyDescent="0.3">
      <c r="A165" s="226">
        <v>46129</v>
      </c>
      <c r="B165" s="227" t="s">
        <v>498</v>
      </c>
      <c r="C165" s="227" t="s">
        <v>483</v>
      </c>
      <c r="D165" s="228">
        <v>175</v>
      </c>
      <c r="E165" s="231">
        <v>3116.8</v>
      </c>
      <c r="F165" s="231">
        <v>3106.9</v>
      </c>
      <c r="G165" s="228">
        <v>9.9</v>
      </c>
      <c r="H165" s="229">
        <v>3.2000000000000002E-3</v>
      </c>
      <c r="I165" s="231">
        <v>3139.7</v>
      </c>
      <c r="J165" s="231">
        <v>3112.2</v>
      </c>
      <c r="K165" s="228">
        <v>27.5</v>
      </c>
      <c r="L165" s="229">
        <v>8.8000000000000005E-3</v>
      </c>
      <c r="M165" s="231">
        <v>3116.8</v>
      </c>
      <c r="N165" s="231">
        <v>3106.9</v>
      </c>
      <c r="O165" s="228">
        <v>9.9</v>
      </c>
      <c r="P165" s="229">
        <v>3.2000000000000002E-3</v>
      </c>
      <c r="Q165" s="231">
        <v>3084.2</v>
      </c>
      <c r="R165" s="231">
        <v>3084.3</v>
      </c>
      <c r="S165" s="228">
        <v>-0.1</v>
      </c>
      <c r="T165" s="229">
        <v>0</v>
      </c>
      <c r="U165" s="231">
        <v>3080.7</v>
      </c>
      <c r="V165" s="231">
        <v>3085.9</v>
      </c>
      <c r="W165" s="228">
        <v>-5.2</v>
      </c>
      <c r="X165" s="229">
        <v>-1.6999999999999999E-3</v>
      </c>
      <c r="Y165" s="228">
        <v>-22.9</v>
      </c>
      <c r="Z165" s="228">
        <v>-5.3</v>
      </c>
      <c r="AA165" s="228">
        <v>-17.600000000000001</v>
      </c>
      <c r="AB165" s="229">
        <v>-7.3000000000000001E-3</v>
      </c>
      <c r="AC165" s="228">
        <v>-22.9</v>
      </c>
      <c r="AD165" s="228">
        <v>-5.3</v>
      </c>
      <c r="AE165" s="228">
        <v>-17.600000000000001</v>
      </c>
      <c r="AF165" s="229">
        <v>-7.3000000000000001E-3</v>
      </c>
      <c r="AG165" s="228">
        <v>-55.5</v>
      </c>
      <c r="AH165" s="228">
        <v>-27.9</v>
      </c>
      <c r="AI165" s="228">
        <v>-27.6</v>
      </c>
      <c r="AJ165" s="229">
        <v>-1.77E-2</v>
      </c>
      <c r="AK165" s="228">
        <v>-59</v>
      </c>
      <c r="AL165" s="228">
        <v>-26.3</v>
      </c>
      <c r="AM165" s="228">
        <v>-32.700000000000003</v>
      </c>
      <c r="AN165" s="229">
        <v>-1.8800000000000001E-2</v>
      </c>
      <c r="AO165" s="231">
        <v>3117.7</v>
      </c>
      <c r="AP165" s="231">
        <v>3095.54</v>
      </c>
      <c r="AQ165" s="228">
        <v>0</v>
      </c>
      <c r="AR165" s="230">
        <v>670600</v>
      </c>
      <c r="AS165" s="230">
        <v>555275</v>
      </c>
      <c r="AT165" s="230">
        <v>115325</v>
      </c>
      <c r="AU165" s="229">
        <v>0.2077</v>
      </c>
      <c r="AV165" s="230">
        <v>532350</v>
      </c>
      <c r="AW165" s="230">
        <v>473025</v>
      </c>
      <c r="AX165" s="230">
        <v>59325</v>
      </c>
      <c r="AY165" s="229">
        <v>0.12540000000000001</v>
      </c>
      <c r="AZ165" s="230">
        <v>131950</v>
      </c>
      <c r="BA165" s="230">
        <v>77350</v>
      </c>
      <c r="BB165" s="230">
        <v>54600</v>
      </c>
      <c r="BC165" s="229">
        <v>0.70589999999999997</v>
      </c>
      <c r="BD165" s="230">
        <v>6300</v>
      </c>
      <c r="BE165" s="230">
        <v>4900</v>
      </c>
      <c r="BF165" s="230">
        <v>1400</v>
      </c>
      <c r="BG165" s="229">
        <v>0.28570000000000001</v>
      </c>
      <c r="BH165" s="230">
        <v>927675</v>
      </c>
      <c r="BI165" s="230">
        <v>1805475</v>
      </c>
      <c r="BJ165" s="230">
        <v>-877800</v>
      </c>
      <c r="BK165" s="229">
        <v>-0.48620000000000002</v>
      </c>
      <c r="BL165" s="230">
        <v>533225</v>
      </c>
      <c r="BM165" s="230">
        <v>806225</v>
      </c>
      <c r="BN165" s="230">
        <v>-273000</v>
      </c>
      <c r="BO165" s="229">
        <v>-0.33860000000000001</v>
      </c>
      <c r="BP165" s="230">
        <v>2131500</v>
      </c>
      <c r="BQ165" s="230">
        <v>3166975</v>
      </c>
      <c r="BR165" s="230">
        <v>-1035475</v>
      </c>
      <c r="BS165" s="229">
        <v>-0.32700000000000001</v>
      </c>
      <c r="BT165" s="230">
        <v>477114</v>
      </c>
      <c r="BU165" s="230">
        <v>382402</v>
      </c>
      <c r="BV165" s="230">
        <v>94712</v>
      </c>
      <c r="BW165" s="229">
        <v>0.2477</v>
      </c>
      <c r="BX165" s="230">
        <v>2673125</v>
      </c>
      <c r="BY165" s="230">
        <v>2555175</v>
      </c>
      <c r="BZ165" s="230">
        <v>117950</v>
      </c>
      <c r="CA165" s="229">
        <v>4.6199999999999998E-2</v>
      </c>
      <c r="CB165" s="230">
        <v>2497250</v>
      </c>
      <c r="CC165" s="230">
        <v>2442475</v>
      </c>
      <c r="CD165" s="230">
        <v>54775</v>
      </c>
      <c r="CE165" s="229">
        <v>2.24E-2</v>
      </c>
      <c r="CF165" s="230">
        <v>165025</v>
      </c>
      <c r="CG165" s="230">
        <v>103775</v>
      </c>
      <c r="CH165" s="230">
        <v>61250</v>
      </c>
      <c r="CI165" s="229">
        <v>0.59019999999999995</v>
      </c>
      <c r="CJ165" s="230">
        <v>10850</v>
      </c>
      <c r="CK165" s="230">
        <v>8925</v>
      </c>
      <c r="CL165" s="230">
        <v>1925</v>
      </c>
      <c r="CM165" s="229">
        <v>0.2157</v>
      </c>
      <c r="CN165" s="230">
        <v>668500</v>
      </c>
      <c r="CO165" s="230">
        <v>625275</v>
      </c>
      <c r="CP165" s="230">
        <v>43225</v>
      </c>
      <c r="CQ165" s="229">
        <v>6.9099999999999995E-2</v>
      </c>
      <c r="CR165" s="230">
        <v>673575</v>
      </c>
      <c r="CS165" s="230">
        <v>643825</v>
      </c>
      <c r="CT165" s="230">
        <v>29750</v>
      </c>
      <c r="CU165" s="229">
        <v>4.6199999999999998E-2</v>
      </c>
      <c r="CV165" s="230">
        <v>4015200</v>
      </c>
      <c r="CW165" s="230">
        <v>3824275</v>
      </c>
      <c r="CX165" s="230">
        <v>190925</v>
      </c>
      <c r="CY165" s="229">
        <v>4.99E-2</v>
      </c>
      <c r="CZ165" s="228">
        <v>30.37</v>
      </c>
      <c r="DA165" s="228">
        <v>31.83</v>
      </c>
      <c r="DB165" s="228">
        <v>-1.46</v>
      </c>
      <c r="DC165" s="228">
        <v>-1.46</v>
      </c>
      <c r="DD165" s="228">
        <v>31.58</v>
      </c>
      <c r="DE165" s="228">
        <v>31.65</v>
      </c>
      <c r="DF165" s="228">
        <v>-1.21</v>
      </c>
      <c r="DG165" s="228">
        <v>-7.0000000000000007E-2</v>
      </c>
      <c r="DH165" s="228">
        <v>28.73</v>
      </c>
      <c r="DI165" s="228">
        <v>30.02</v>
      </c>
      <c r="DJ165" s="228">
        <v>-1.29</v>
      </c>
      <c r="DK165" s="228">
        <v>-1.29</v>
      </c>
      <c r="DL165" s="228">
        <v>33.22</v>
      </c>
      <c r="DM165" s="228">
        <v>35.89</v>
      </c>
      <c r="DN165" s="228">
        <v>-2.67</v>
      </c>
      <c r="DO165" s="228">
        <v>-2.67</v>
      </c>
      <c r="DP165" s="228">
        <v>1.01</v>
      </c>
      <c r="DQ165" s="228">
        <v>1.03</v>
      </c>
      <c r="DR165" s="228">
        <v>-0.02</v>
      </c>
      <c r="DS165" s="229">
        <v>-1.9400000000000001E-2</v>
      </c>
      <c r="DT165" s="231">
        <v>3300</v>
      </c>
      <c r="DU165" s="231">
        <v>2700</v>
      </c>
      <c r="DV165" s="228">
        <v>0.56999999999999995</v>
      </c>
      <c r="DW165" s="228">
        <v>0.45</v>
      </c>
      <c r="DX165" s="228">
        <v>0.12</v>
      </c>
      <c r="DY165" s="229">
        <v>0.26669999999999999</v>
      </c>
      <c r="DZ165" s="229">
        <v>6.5799999999999997E-2</v>
      </c>
      <c r="EA165" s="230">
        <v>112700</v>
      </c>
      <c r="EB165" s="229">
        <v>-1.0500000000000001E-2</v>
      </c>
      <c r="EC165" s="229">
        <v>6.5799999999999997E-2</v>
      </c>
      <c r="ED165" s="228">
        <v>-22.16</v>
      </c>
      <c r="EE165" s="229">
        <v>-7.1000000000000004E-3</v>
      </c>
      <c r="EF165" s="230">
        <v>232345</v>
      </c>
      <c r="EG165" s="230">
        <v>172170</v>
      </c>
      <c r="EH165" s="229">
        <v>0.34949999999999998</v>
      </c>
      <c r="EI165" s="229">
        <v>0.48699999999999999</v>
      </c>
      <c r="EJ165" s="231">
        <v>29942.82</v>
      </c>
      <c r="EK165" s="231">
        <v>16041.85</v>
      </c>
      <c r="EL165" s="231">
        <v>20876.02</v>
      </c>
      <c r="EM165" s="231">
        <v>2512</v>
      </c>
      <c r="EN165" s="231">
        <v>66860.69</v>
      </c>
      <c r="EO165" s="231">
        <v>98840.02</v>
      </c>
      <c r="EP165" s="231">
        <v>-31979.33</v>
      </c>
      <c r="EQ165" s="229">
        <v>-0.32350000000000001</v>
      </c>
      <c r="ER165" s="231">
        <v>20704</v>
      </c>
      <c r="ES165" s="231">
        <v>19275</v>
      </c>
      <c r="ET165" s="231">
        <v>83258</v>
      </c>
      <c r="EU165" s="231">
        <v>8178275</v>
      </c>
      <c r="EV165" s="231">
        <v>123238</v>
      </c>
      <c r="EW165" s="231">
        <v>116939</v>
      </c>
      <c r="EX165" s="231">
        <v>6299</v>
      </c>
      <c r="EY165" s="229">
        <v>5.3900000000000003E-2</v>
      </c>
      <c r="EZ165" s="229">
        <v>0.49099999999999999</v>
      </c>
      <c r="FA165" s="227" t="s">
        <v>555</v>
      </c>
      <c r="FB165" s="161">
        <f t="shared" si="4"/>
        <v>0</v>
      </c>
    </row>
    <row r="166" spans="1:158" ht="17.25" thickBot="1" x14ac:dyDescent="0.3">
      <c r="A166" s="226">
        <v>46129</v>
      </c>
      <c r="B166" s="227" t="s">
        <v>172</v>
      </c>
      <c r="C166" s="227" t="s">
        <v>275</v>
      </c>
      <c r="D166" s="228">
        <v>8000</v>
      </c>
      <c r="E166" s="228">
        <v>114.73</v>
      </c>
      <c r="F166" s="228">
        <v>113.72</v>
      </c>
      <c r="G166" s="228">
        <v>1.01</v>
      </c>
      <c r="H166" s="229">
        <v>8.8999999999999999E-3</v>
      </c>
      <c r="I166" s="228">
        <v>114.48</v>
      </c>
      <c r="J166" s="228">
        <v>113.56</v>
      </c>
      <c r="K166" s="228">
        <v>0.92</v>
      </c>
      <c r="L166" s="229">
        <v>8.0999999999999996E-3</v>
      </c>
      <c r="M166" s="228">
        <v>114.73</v>
      </c>
      <c r="N166" s="228">
        <v>113.72</v>
      </c>
      <c r="O166" s="228">
        <v>1.01</v>
      </c>
      <c r="P166" s="229">
        <v>8.8999999999999999E-3</v>
      </c>
      <c r="Q166" s="228">
        <v>115.37</v>
      </c>
      <c r="R166" s="228">
        <v>114.39</v>
      </c>
      <c r="S166" s="228">
        <v>0.98</v>
      </c>
      <c r="T166" s="229">
        <v>8.6E-3</v>
      </c>
      <c r="U166" s="228">
        <v>115.93</v>
      </c>
      <c r="V166" s="228">
        <v>115.01</v>
      </c>
      <c r="W166" s="228">
        <v>0.92</v>
      </c>
      <c r="X166" s="229">
        <v>8.0000000000000002E-3</v>
      </c>
      <c r="Y166" s="228">
        <v>0.25</v>
      </c>
      <c r="Z166" s="228">
        <v>0.16</v>
      </c>
      <c r="AA166" s="228">
        <v>0.09</v>
      </c>
      <c r="AB166" s="229">
        <v>2.2000000000000001E-3</v>
      </c>
      <c r="AC166" s="228">
        <v>0.25</v>
      </c>
      <c r="AD166" s="228">
        <v>0.16</v>
      </c>
      <c r="AE166" s="228">
        <v>0.09</v>
      </c>
      <c r="AF166" s="229">
        <v>2.2000000000000001E-3</v>
      </c>
      <c r="AG166" s="228">
        <v>0.89</v>
      </c>
      <c r="AH166" s="228">
        <v>0.83</v>
      </c>
      <c r="AI166" s="228">
        <v>0.06</v>
      </c>
      <c r="AJ166" s="229">
        <v>7.7999999999999996E-3</v>
      </c>
      <c r="AK166" s="228">
        <v>1.45</v>
      </c>
      <c r="AL166" s="228">
        <v>1.45</v>
      </c>
      <c r="AM166" s="228">
        <v>0</v>
      </c>
      <c r="AN166" s="229">
        <v>1.2699999999999999E-2</v>
      </c>
      <c r="AO166" s="228">
        <v>114.24</v>
      </c>
      <c r="AP166" s="228">
        <v>114.9</v>
      </c>
      <c r="AQ166" s="228">
        <v>0</v>
      </c>
      <c r="AR166" s="230">
        <v>42152000</v>
      </c>
      <c r="AS166" s="230">
        <v>46968000</v>
      </c>
      <c r="AT166" s="230">
        <v>-4816000</v>
      </c>
      <c r="AU166" s="229">
        <v>-0.10249999999999999</v>
      </c>
      <c r="AV166" s="230">
        <v>33608000</v>
      </c>
      <c r="AW166" s="230">
        <v>38240000</v>
      </c>
      <c r="AX166" s="230">
        <v>-4632000</v>
      </c>
      <c r="AY166" s="229">
        <v>-0.1211</v>
      </c>
      <c r="AZ166" s="230">
        <v>7776000</v>
      </c>
      <c r="BA166" s="230">
        <v>7616000</v>
      </c>
      <c r="BB166" s="230">
        <v>160000</v>
      </c>
      <c r="BC166" s="229">
        <v>2.1000000000000001E-2</v>
      </c>
      <c r="BD166" s="230">
        <v>768000</v>
      </c>
      <c r="BE166" s="230">
        <v>1112000</v>
      </c>
      <c r="BF166" s="230">
        <v>-344000</v>
      </c>
      <c r="BG166" s="229">
        <v>-0.30940000000000001</v>
      </c>
      <c r="BH166" s="230">
        <v>82592000</v>
      </c>
      <c r="BI166" s="230">
        <v>86992000</v>
      </c>
      <c r="BJ166" s="230">
        <v>-4400000</v>
      </c>
      <c r="BK166" s="229">
        <v>-5.0599999999999999E-2</v>
      </c>
      <c r="BL166" s="230">
        <v>48848000</v>
      </c>
      <c r="BM166" s="230">
        <v>50568000</v>
      </c>
      <c r="BN166" s="230">
        <v>-1720000</v>
      </c>
      <c r="BO166" s="229">
        <v>-3.4000000000000002E-2</v>
      </c>
      <c r="BP166" s="230">
        <v>173592000</v>
      </c>
      <c r="BQ166" s="230">
        <v>184528000</v>
      </c>
      <c r="BR166" s="230">
        <v>-10936000</v>
      </c>
      <c r="BS166" s="229">
        <v>-5.9299999999999999E-2</v>
      </c>
      <c r="BT166" s="230">
        <v>15061346</v>
      </c>
      <c r="BU166" s="230">
        <v>19291285</v>
      </c>
      <c r="BV166" s="230">
        <v>-4229939</v>
      </c>
      <c r="BW166" s="229">
        <v>-0.21929999999999999</v>
      </c>
      <c r="BX166" s="230">
        <v>269480000</v>
      </c>
      <c r="BY166" s="230">
        <v>272312000</v>
      </c>
      <c r="BZ166" s="230">
        <v>-2832000</v>
      </c>
      <c r="CA166" s="229">
        <v>-1.04E-2</v>
      </c>
      <c r="CB166" s="230">
        <v>232440000</v>
      </c>
      <c r="CC166" s="230">
        <v>238440000</v>
      </c>
      <c r="CD166" s="230">
        <v>-6000000</v>
      </c>
      <c r="CE166" s="229">
        <v>-2.52E-2</v>
      </c>
      <c r="CF166" s="230">
        <v>26552000</v>
      </c>
      <c r="CG166" s="230">
        <v>23560000</v>
      </c>
      <c r="CH166" s="230">
        <v>2992000</v>
      </c>
      <c r="CI166" s="229">
        <v>0.127</v>
      </c>
      <c r="CJ166" s="230">
        <v>10488000</v>
      </c>
      <c r="CK166" s="230">
        <v>10312000</v>
      </c>
      <c r="CL166" s="230">
        <v>176000</v>
      </c>
      <c r="CM166" s="229">
        <v>1.7100000000000001E-2</v>
      </c>
      <c r="CN166" s="230">
        <v>82656000</v>
      </c>
      <c r="CO166" s="230">
        <v>79936000</v>
      </c>
      <c r="CP166" s="230">
        <v>2720000</v>
      </c>
      <c r="CQ166" s="229">
        <v>3.4000000000000002E-2</v>
      </c>
      <c r="CR166" s="230">
        <v>72608000</v>
      </c>
      <c r="CS166" s="230">
        <v>71208000</v>
      </c>
      <c r="CT166" s="230">
        <v>1400000</v>
      </c>
      <c r="CU166" s="229">
        <v>1.9699999999999999E-2</v>
      </c>
      <c r="CV166" s="230">
        <v>424744000</v>
      </c>
      <c r="CW166" s="230">
        <v>423456000</v>
      </c>
      <c r="CX166" s="230">
        <v>1288000</v>
      </c>
      <c r="CY166" s="229">
        <v>3.0000000000000001E-3</v>
      </c>
      <c r="CZ166" s="228">
        <v>33.46</v>
      </c>
      <c r="DA166" s="228">
        <v>34.9</v>
      </c>
      <c r="DB166" s="228">
        <v>-1.44</v>
      </c>
      <c r="DC166" s="228">
        <v>-1.44</v>
      </c>
      <c r="DD166" s="228">
        <v>37.97</v>
      </c>
      <c r="DE166" s="228">
        <v>38.049999999999997</v>
      </c>
      <c r="DF166" s="228">
        <v>-4.51</v>
      </c>
      <c r="DG166" s="228">
        <v>-0.08</v>
      </c>
      <c r="DH166" s="228">
        <v>32.090000000000003</v>
      </c>
      <c r="DI166" s="228">
        <v>33.6</v>
      </c>
      <c r="DJ166" s="228">
        <v>-1.51</v>
      </c>
      <c r="DK166" s="228">
        <v>-1.51</v>
      </c>
      <c r="DL166" s="228">
        <v>35.770000000000003</v>
      </c>
      <c r="DM166" s="228">
        <v>37.119999999999997</v>
      </c>
      <c r="DN166" s="228">
        <v>-1.35</v>
      </c>
      <c r="DO166" s="228">
        <v>-1.35</v>
      </c>
      <c r="DP166" s="228">
        <v>0.88</v>
      </c>
      <c r="DQ166" s="228">
        <v>0.89</v>
      </c>
      <c r="DR166" s="228">
        <v>-0.01</v>
      </c>
      <c r="DS166" s="229">
        <v>-1.12E-2</v>
      </c>
      <c r="DT166" s="228">
        <v>120</v>
      </c>
      <c r="DU166" s="228">
        <v>110</v>
      </c>
      <c r="DV166" s="228">
        <v>0.59</v>
      </c>
      <c r="DW166" s="228">
        <v>0.57999999999999996</v>
      </c>
      <c r="DX166" s="228">
        <v>0.01</v>
      </c>
      <c r="DY166" s="229">
        <v>1.72E-2</v>
      </c>
      <c r="DZ166" s="229">
        <v>0.13739999999999999</v>
      </c>
      <c r="EA166" s="230">
        <v>33872000</v>
      </c>
      <c r="EB166" s="229">
        <v>5.5999999999999999E-3</v>
      </c>
      <c r="EC166" s="229">
        <v>0.13739999999999999</v>
      </c>
      <c r="ED166" s="228">
        <v>0.66</v>
      </c>
      <c r="EE166" s="229">
        <v>5.7999999999999996E-3</v>
      </c>
      <c r="EF166" s="230">
        <v>6723442</v>
      </c>
      <c r="EG166" s="230">
        <v>6599081</v>
      </c>
      <c r="EH166" s="229">
        <v>1.8800000000000001E-2</v>
      </c>
      <c r="EI166" s="229">
        <v>0.44640000000000002</v>
      </c>
      <c r="EJ166" s="231">
        <v>98387.89</v>
      </c>
      <c r="EK166" s="231">
        <v>55109.33</v>
      </c>
      <c r="EL166" s="231">
        <v>48215.28</v>
      </c>
      <c r="EM166" s="231">
        <v>5620</v>
      </c>
      <c r="EN166" s="231">
        <v>201712.5</v>
      </c>
      <c r="EO166" s="231">
        <v>213375.82</v>
      </c>
      <c r="EP166" s="231">
        <v>-11663.32</v>
      </c>
      <c r="EQ166" s="229">
        <v>-5.4699999999999999E-2</v>
      </c>
      <c r="ER166" s="231">
        <v>96254</v>
      </c>
      <c r="ES166" s="231">
        <v>78925</v>
      </c>
      <c r="ET166" s="231">
        <v>309470</v>
      </c>
      <c r="EU166" s="231">
        <v>515822637</v>
      </c>
      <c r="EV166" s="231">
        <v>484649</v>
      </c>
      <c r="EW166" s="231">
        <v>480070</v>
      </c>
      <c r="EX166" s="231">
        <v>4579</v>
      </c>
      <c r="EY166" s="229">
        <v>9.4999999999999998E-3</v>
      </c>
      <c r="EZ166" s="229">
        <v>0.82340000000000002</v>
      </c>
      <c r="FA166" s="227" t="s">
        <v>693</v>
      </c>
      <c r="FB166" s="161">
        <f t="shared" si="4"/>
        <v>0</v>
      </c>
    </row>
    <row r="167" spans="1:158" ht="17.25" thickBot="1" x14ac:dyDescent="0.3">
      <c r="A167" s="226">
        <v>46129</v>
      </c>
      <c r="B167" s="227" t="s">
        <v>175</v>
      </c>
      <c r="C167" s="227" t="s">
        <v>668</v>
      </c>
      <c r="D167" s="228">
        <v>650</v>
      </c>
      <c r="E167" s="228">
        <v>924.4</v>
      </c>
      <c r="F167" s="228">
        <v>896.45</v>
      </c>
      <c r="G167" s="228">
        <v>27.95</v>
      </c>
      <c r="H167" s="229">
        <v>3.1199999999999999E-2</v>
      </c>
      <c r="I167" s="228">
        <v>923.7</v>
      </c>
      <c r="J167" s="228">
        <v>893.8</v>
      </c>
      <c r="K167" s="228">
        <v>29.9</v>
      </c>
      <c r="L167" s="229">
        <v>3.3500000000000002E-2</v>
      </c>
      <c r="M167" s="228">
        <v>924.4</v>
      </c>
      <c r="N167" s="228">
        <v>896.45</v>
      </c>
      <c r="O167" s="228">
        <v>27.95</v>
      </c>
      <c r="P167" s="229">
        <v>3.1199999999999999E-2</v>
      </c>
      <c r="Q167" s="228">
        <v>928.45</v>
      </c>
      <c r="R167" s="228">
        <v>902.25</v>
      </c>
      <c r="S167" s="228">
        <v>26.2</v>
      </c>
      <c r="T167" s="229">
        <v>2.9000000000000001E-2</v>
      </c>
      <c r="U167" s="228">
        <v>933</v>
      </c>
      <c r="V167" s="228">
        <v>901.55</v>
      </c>
      <c r="W167" s="228">
        <v>31.45</v>
      </c>
      <c r="X167" s="229">
        <v>3.49E-2</v>
      </c>
      <c r="Y167" s="228">
        <v>0.7</v>
      </c>
      <c r="Z167" s="228">
        <v>2.65</v>
      </c>
      <c r="AA167" s="228">
        <v>-1.95</v>
      </c>
      <c r="AB167" s="229">
        <v>8.0000000000000004E-4</v>
      </c>
      <c r="AC167" s="228">
        <v>0.7</v>
      </c>
      <c r="AD167" s="228">
        <v>2.65</v>
      </c>
      <c r="AE167" s="228">
        <v>-1.95</v>
      </c>
      <c r="AF167" s="229">
        <v>8.0000000000000004E-4</v>
      </c>
      <c r="AG167" s="228">
        <v>4.75</v>
      </c>
      <c r="AH167" s="228">
        <v>8.4499999999999993</v>
      </c>
      <c r="AI167" s="228">
        <v>-3.7</v>
      </c>
      <c r="AJ167" s="229">
        <v>5.1000000000000004E-3</v>
      </c>
      <c r="AK167" s="228">
        <v>9.3000000000000007</v>
      </c>
      <c r="AL167" s="228">
        <v>7.75</v>
      </c>
      <c r="AM167" s="228">
        <v>1.55</v>
      </c>
      <c r="AN167" s="229">
        <v>1.01E-2</v>
      </c>
      <c r="AO167" s="228">
        <v>919.42</v>
      </c>
      <c r="AP167" s="228">
        <v>924.08</v>
      </c>
      <c r="AQ167" s="228">
        <v>0</v>
      </c>
      <c r="AR167" s="230">
        <v>4241900</v>
      </c>
      <c r="AS167" s="230">
        <v>3615950</v>
      </c>
      <c r="AT167" s="230">
        <v>625950</v>
      </c>
      <c r="AU167" s="229">
        <v>0.1731</v>
      </c>
      <c r="AV167" s="230">
        <v>3963700</v>
      </c>
      <c r="AW167" s="230">
        <v>3441100</v>
      </c>
      <c r="AX167" s="230">
        <v>522600</v>
      </c>
      <c r="AY167" s="229">
        <v>0.15190000000000001</v>
      </c>
      <c r="AZ167" s="230">
        <v>271700</v>
      </c>
      <c r="BA167" s="230">
        <v>169650</v>
      </c>
      <c r="BB167" s="230">
        <v>102050</v>
      </c>
      <c r="BC167" s="229">
        <v>0.60150000000000003</v>
      </c>
      <c r="BD167" s="230">
        <v>6500</v>
      </c>
      <c r="BE167" s="230">
        <v>5200</v>
      </c>
      <c r="BF167" s="230">
        <v>1300</v>
      </c>
      <c r="BG167" s="229">
        <v>0.25</v>
      </c>
      <c r="BH167" s="230">
        <v>8981700</v>
      </c>
      <c r="BI167" s="230">
        <v>9774050</v>
      </c>
      <c r="BJ167" s="230">
        <v>-792350</v>
      </c>
      <c r="BK167" s="229">
        <v>-8.1100000000000005E-2</v>
      </c>
      <c r="BL167" s="230">
        <v>3048500</v>
      </c>
      <c r="BM167" s="230">
        <v>2878200</v>
      </c>
      <c r="BN167" s="230">
        <v>170300</v>
      </c>
      <c r="BO167" s="229">
        <v>5.9200000000000003E-2</v>
      </c>
      <c r="BP167" s="230">
        <v>16272100</v>
      </c>
      <c r="BQ167" s="230">
        <v>16268200</v>
      </c>
      <c r="BR167" s="230">
        <v>3900</v>
      </c>
      <c r="BS167" s="229">
        <v>2.0000000000000001E-4</v>
      </c>
      <c r="BT167" s="230">
        <v>2169893</v>
      </c>
      <c r="BU167" s="230">
        <v>1980658</v>
      </c>
      <c r="BV167" s="230">
        <v>189235</v>
      </c>
      <c r="BW167" s="229">
        <v>9.5500000000000002E-2</v>
      </c>
      <c r="BX167" s="230">
        <v>13779350</v>
      </c>
      <c r="BY167" s="230">
        <v>13459550</v>
      </c>
      <c r="BZ167" s="230">
        <v>319800</v>
      </c>
      <c r="CA167" s="229">
        <v>2.3800000000000002E-2</v>
      </c>
      <c r="CB167" s="230">
        <v>13418600</v>
      </c>
      <c r="CC167" s="230">
        <v>13169000</v>
      </c>
      <c r="CD167" s="230">
        <v>249600</v>
      </c>
      <c r="CE167" s="229">
        <v>1.9E-2</v>
      </c>
      <c r="CF167" s="230">
        <v>345150</v>
      </c>
      <c r="CG167" s="230">
        <v>278850</v>
      </c>
      <c r="CH167" s="230">
        <v>66300</v>
      </c>
      <c r="CI167" s="229">
        <v>0.23780000000000001</v>
      </c>
      <c r="CJ167" s="230">
        <v>15600</v>
      </c>
      <c r="CK167" s="230">
        <v>11700</v>
      </c>
      <c r="CL167" s="230">
        <v>3900</v>
      </c>
      <c r="CM167" s="229">
        <v>0.33329999999999999</v>
      </c>
      <c r="CN167" s="230">
        <v>2565550</v>
      </c>
      <c r="CO167" s="230">
        <v>2095600</v>
      </c>
      <c r="CP167" s="230">
        <v>469950</v>
      </c>
      <c r="CQ167" s="229">
        <v>0.2243</v>
      </c>
      <c r="CR167" s="230">
        <v>2561000</v>
      </c>
      <c r="CS167" s="230">
        <v>1931800</v>
      </c>
      <c r="CT167" s="230">
        <v>629200</v>
      </c>
      <c r="CU167" s="229">
        <v>0.32569999999999999</v>
      </c>
      <c r="CV167" s="230">
        <v>18905900</v>
      </c>
      <c r="CW167" s="230">
        <v>17486950</v>
      </c>
      <c r="CX167" s="230">
        <v>1418950</v>
      </c>
      <c r="CY167" s="229">
        <v>8.1100000000000005E-2</v>
      </c>
      <c r="CZ167" s="228">
        <v>48.52</v>
      </c>
      <c r="DA167" s="228">
        <v>47.42</v>
      </c>
      <c r="DB167" s="228">
        <v>1.1000000000000001</v>
      </c>
      <c r="DC167" s="228">
        <v>1.1000000000000001</v>
      </c>
      <c r="DD167" s="228">
        <v>47.3</v>
      </c>
      <c r="DE167" s="228">
        <v>47.24</v>
      </c>
      <c r="DF167" s="228">
        <v>1.22</v>
      </c>
      <c r="DG167" s="228">
        <v>0.06</v>
      </c>
      <c r="DH167" s="228">
        <v>48.86</v>
      </c>
      <c r="DI167" s="228">
        <v>47.3</v>
      </c>
      <c r="DJ167" s="228">
        <v>1.56</v>
      </c>
      <c r="DK167" s="228">
        <v>1.56</v>
      </c>
      <c r="DL167" s="228">
        <v>47.54</v>
      </c>
      <c r="DM167" s="228">
        <v>47.85</v>
      </c>
      <c r="DN167" s="228">
        <v>-0.31</v>
      </c>
      <c r="DO167" s="228">
        <v>-0.31</v>
      </c>
      <c r="DP167" s="228">
        <v>1</v>
      </c>
      <c r="DQ167" s="228">
        <v>0.92</v>
      </c>
      <c r="DR167" s="228">
        <v>0.08</v>
      </c>
      <c r="DS167" s="229">
        <v>8.6999999999999994E-2</v>
      </c>
      <c r="DT167" s="228">
        <v>920</v>
      </c>
      <c r="DU167" s="228">
        <v>840</v>
      </c>
      <c r="DV167" s="228">
        <v>0.34</v>
      </c>
      <c r="DW167" s="228">
        <v>0.28999999999999998</v>
      </c>
      <c r="DX167" s="228">
        <v>0.05</v>
      </c>
      <c r="DY167" s="229">
        <v>0.1724</v>
      </c>
      <c r="DZ167" s="229">
        <v>2.6200000000000001E-2</v>
      </c>
      <c r="EA167" s="230">
        <v>290550</v>
      </c>
      <c r="EB167" s="229">
        <v>4.4000000000000003E-3</v>
      </c>
      <c r="EC167" s="229">
        <v>2.6200000000000001E-2</v>
      </c>
      <c r="ED167" s="228">
        <v>4.66</v>
      </c>
      <c r="EE167" s="229">
        <v>5.1000000000000004E-3</v>
      </c>
      <c r="EF167" s="230">
        <v>939822</v>
      </c>
      <c r="EG167" s="230">
        <v>838814</v>
      </c>
      <c r="EH167" s="229">
        <v>0.12039999999999999</v>
      </c>
      <c r="EI167" s="229">
        <v>0.43309999999999998</v>
      </c>
      <c r="EJ167" s="231">
        <v>86269.51</v>
      </c>
      <c r="EK167" s="231">
        <v>26813.35</v>
      </c>
      <c r="EL167" s="231">
        <v>39014.339999999997</v>
      </c>
      <c r="EM167" s="231">
        <v>3112</v>
      </c>
      <c r="EN167" s="231">
        <v>152097.20000000001</v>
      </c>
      <c r="EO167" s="231">
        <v>148942.01999999999</v>
      </c>
      <c r="EP167" s="231">
        <v>3155.18</v>
      </c>
      <c r="EQ167" s="229">
        <v>2.12E-2</v>
      </c>
      <c r="ER167" s="231">
        <v>23436</v>
      </c>
      <c r="ES167" s="231">
        <v>21057</v>
      </c>
      <c r="ET167" s="231">
        <v>127392</v>
      </c>
      <c r="EU167" s="231">
        <v>28118603</v>
      </c>
      <c r="EV167" s="231">
        <v>171885</v>
      </c>
      <c r="EW167" s="231">
        <v>154984</v>
      </c>
      <c r="EX167" s="231">
        <v>16901</v>
      </c>
      <c r="EY167" s="229">
        <v>0.109</v>
      </c>
      <c r="EZ167" s="229">
        <v>0.6724</v>
      </c>
      <c r="FA167" s="227" t="s">
        <v>555</v>
      </c>
      <c r="FB167" s="161">
        <f t="shared" si="4"/>
        <v>0</v>
      </c>
    </row>
    <row r="168" spans="1:158" ht="17.25" thickBot="1" x14ac:dyDescent="0.3">
      <c r="A168" s="226">
        <v>46129</v>
      </c>
      <c r="B168" s="227" t="s">
        <v>614</v>
      </c>
      <c r="C168" s="227" t="s">
        <v>572</v>
      </c>
      <c r="D168" s="228">
        <v>350</v>
      </c>
      <c r="E168" s="231">
        <v>1601.1</v>
      </c>
      <c r="F168" s="231">
        <v>1555.3</v>
      </c>
      <c r="G168" s="228">
        <v>45.8</v>
      </c>
      <c r="H168" s="229">
        <v>2.9399999999999999E-2</v>
      </c>
      <c r="I168" s="231">
        <v>1600.6</v>
      </c>
      <c r="J168" s="231">
        <v>1550.5</v>
      </c>
      <c r="K168" s="228">
        <v>50.1</v>
      </c>
      <c r="L168" s="229">
        <v>3.2300000000000002E-2</v>
      </c>
      <c r="M168" s="231">
        <v>1601.1</v>
      </c>
      <c r="N168" s="231">
        <v>1555.3</v>
      </c>
      <c r="O168" s="228">
        <v>45.8</v>
      </c>
      <c r="P168" s="229">
        <v>2.9399999999999999E-2</v>
      </c>
      <c r="Q168" s="231">
        <v>1604.7</v>
      </c>
      <c r="R168" s="231">
        <v>1560.7</v>
      </c>
      <c r="S168" s="228">
        <v>44</v>
      </c>
      <c r="T168" s="229">
        <v>2.8199999999999999E-2</v>
      </c>
      <c r="U168" s="231">
        <v>1613.4</v>
      </c>
      <c r="V168" s="231">
        <v>1565</v>
      </c>
      <c r="W168" s="228">
        <v>48.4</v>
      </c>
      <c r="X168" s="229">
        <v>3.09E-2</v>
      </c>
      <c r="Y168" s="228">
        <v>0.5</v>
      </c>
      <c r="Z168" s="228">
        <v>4.8</v>
      </c>
      <c r="AA168" s="228">
        <v>-4.3</v>
      </c>
      <c r="AB168" s="229">
        <v>2.9999999999999997E-4</v>
      </c>
      <c r="AC168" s="228">
        <v>0.5</v>
      </c>
      <c r="AD168" s="228">
        <v>4.8</v>
      </c>
      <c r="AE168" s="228">
        <v>-4.3</v>
      </c>
      <c r="AF168" s="229">
        <v>2.9999999999999997E-4</v>
      </c>
      <c r="AG168" s="228">
        <v>4.0999999999999996</v>
      </c>
      <c r="AH168" s="228">
        <v>10.199999999999999</v>
      </c>
      <c r="AI168" s="228">
        <v>-6.1</v>
      </c>
      <c r="AJ168" s="229">
        <v>2.5999999999999999E-3</v>
      </c>
      <c r="AK168" s="228">
        <v>12.8</v>
      </c>
      <c r="AL168" s="228">
        <v>14.5</v>
      </c>
      <c r="AM168" s="228">
        <v>-1.7</v>
      </c>
      <c r="AN168" s="229">
        <v>8.0000000000000002E-3</v>
      </c>
      <c r="AO168" s="231">
        <v>1603.17</v>
      </c>
      <c r="AP168" s="231">
        <v>1605.6</v>
      </c>
      <c r="AQ168" s="228">
        <v>0</v>
      </c>
      <c r="AR168" s="230">
        <v>3527650</v>
      </c>
      <c r="AS168" s="230">
        <v>2730700</v>
      </c>
      <c r="AT168" s="230">
        <v>796950</v>
      </c>
      <c r="AU168" s="229">
        <v>0.2918</v>
      </c>
      <c r="AV168" s="230">
        <v>3323950</v>
      </c>
      <c r="AW168" s="230">
        <v>2548700</v>
      </c>
      <c r="AX168" s="230">
        <v>775250</v>
      </c>
      <c r="AY168" s="229">
        <v>0.30420000000000003</v>
      </c>
      <c r="AZ168" s="230">
        <v>195300</v>
      </c>
      <c r="BA168" s="230">
        <v>165550</v>
      </c>
      <c r="BB168" s="230">
        <v>29750</v>
      </c>
      <c r="BC168" s="229">
        <v>0.1797</v>
      </c>
      <c r="BD168" s="230">
        <v>8400</v>
      </c>
      <c r="BE168" s="230">
        <v>16450</v>
      </c>
      <c r="BF168" s="230">
        <v>-8050</v>
      </c>
      <c r="BG168" s="229">
        <v>-0.4894</v>
      </c>
      <c r="BH168" s="230">
        <v>16956800</v>
      </c>
      <c r="BI168" s="230">
        <v>10947300</v>
      </c>
      <c r="BJ168" s="230">
        <v>6009500</v>
      </c>
      <c r="BK168" s="229">
        <v>0.54890000000000005</v>
      </c>
      <c r="BL168" s="230">
        <v>5894000</v>
      </c>
      <c r="BM168" s="230">
        <v>3258850</v>
      </c>
      <c r="BN168" s="230">
        <v>2635150</v>
      </c>
      <c r="BO168" s="229">
        <v>0.80859999999999999</v>
      </c>
      <c r="BP168" s="230">
        <v>26378450</v>
      </c>
      <c r="BQ168" s="230">
        <v>16936850</v>
      </c>
      <c r="BR168" s="230">
        <v>9441600</v>
      </c>
      <c r="BS168" s="229">
        <v>0.5575</v>
      </c>
      <c r="BT168" s="230">
        <v>4238023</v>
      </c>
      <c r="BU168" s="230">
        <v>6527722</v>
      </c>
      <c r="BV168" s="230">
        <v>-2289699</v>
      </c>
      <c r="BW168" s="229">
        <v>-0.3508</v>
      </c>
      <c r="BX168" s="230">
        <v>8051400</v>
      </c>
      <c r="BY168" s="230">
        <v>9064300</v>
      </c>
      <c r="BZ168" s="230">
        <v>-1012900</v>
      </c>
      <c r="CA168" s="229">
        <v>-0.11169999999999999</v>
      </c>
      <c r="CB168" s="230">
        <v>7896000</v>
      </c>
      <c r="CC168" s="230">
        <v>8939000</v>
      </c>
      <c r="CD168" s="230">
        <v>-1043000</v>
      </c>
      <c r="CE168" s="229">
        <v>-0.1167</v>
      </c>
      <c r="CF168" s="230">
        <v>141400</v>
      </c>
      <c r="CG168" s="230">
        <v>111650</v>
      </c>
      <c r="CH168" s="230">
        <v>29750</v>
      </c>
      <c r="CI168" s="229">
        <v>0.26650000000000001</v>
      </c>
      <c r="CJ168" s="230">
        <v>14000</v>
      </c>
      <c r="CK168" s="230">
        <v>13650</v>
      </c>
      <c r="CL168" s="228">
        <v>350</v>
      </c>
      <c r="CM168" s="229">
        <v>2.5600000000000001E-2</v>
      </c>
      <c r="CN168" s="230">
        <v>2404150</v>
      </c>
      <c r="CO168" s="230">
        <v>2067100</v>
      </c>
      <c r="CP168" s="230">
        <v>337050</v>
      </c>
      <c r="CQ168" s="229">
        <v>0.16309999999999999</v>
      </c>
      <c r="CR168" s="230">
        <v>1592150</v>
      </c>
      <c r="CS168" s="230">
        <v>1241450</v>
      </c>
      <c r="CT168" s="230">
        <v>350700</v>
      </c>
      <c r="CU168" s="229">
        <v>0.28249999999999997</v>
      </c>
      <c r="CV168" s="230">
        <v>12047700</v>
      </c>
      <c r="CW168" s="230">
        <v>12372850</v>
      </c>
      <c r="CX168" s="230">
        <v>-325150</v>
      </c>
      <c r="CY168" s="229">
        <v>-2.63E-2</v>
      </c>
      <c r="CZ168" s="228">
        <v>37.299999999999997</v>
      </c>
      <c r="DA168" s="228">
        <v>38.590000000000003</v>
      </c>
      <c r="DB168" s="228">
        <v>-1.29</v>
      </c>
      <c r="DC168" s="228">
        <v>-1.29</v>
      </c>
      <c r="DD168" s="228">
        <v>45.89</v>
      </c>
      <c r="DE168" s="228">
        <v>45.81</v>
      </c>
      <c r="DF168" s="228">
        <v>-8.59</v>
      </c>
      <c r="DG168" s="228">
        <v>0.08</v>
      </c>
      <c r="DH168" s="228">
        <v>36.92</v>
      </c>
      <c r="DI168" s="228">
        <v>37.78</v>
      </c>
      <c r="DJ168" s="228">
        <v>-0.86</v>
      </c>
      <c r="DK168" s="228">
        <v>-0.86</v>
      </c>
      <c r="DL168" s="228">
        <v>38.39</v>
      </c>
      <c r="DM168" s="228">
        <v>41.31</v>
      </c>
      <c r="DN168" s="228">
        <v>-2.92</v>
      </c>
      <c r="DO168" s="228">
        <v>-2.92</v>
      </c>
      <c r="DP168" s="228">
        <v>0.66</v>
      </c>
      <c r="DQ168" s="228">
        <v>0.6</v>
      </c>
      <c r="DR168" s="228">
        <v>0.06</v>
      </c>
      <c r="DS168" s="229">
        <v>0.1</v>
      </c>
      <c r="DT168" s="231">
        <v>1600</v>
      </c>
      <c r="DU168" s="231">
        <v>1500</v>
      </c>
      <c r="DV168" s="228">
        <v>0.35</v>
      </c>
      <c r="DW168" s="228">
        <v>0.3</v>
      </c>
      <c r="DX168" s="228">
        <v>0.05</v>
      </c>
      <c r="DY168" s="229">
        <v>0.16669999999999999</v>
      </c>
      <c r="DZ168" s="229">
        <v>1.9300000000000001E-2</v>
      </c>
      <c r="EA168" s="230">
        <v>125300</v>
      </c>
      <c r="EB168" s="229">
        <v>2.2000000000000001E-3</v>
      </c>
      <c r="EC168" s="229">
        <v>1.9300000000000001E-2</v>
      </c>
      <c r="ED168" s="228">
        <v>2.4300000000000002</v>
      </c>
      <c r="EE168" s="229">
        <v>1.5E-3</v>
      </c>
      <c r="EF168" s="230">
        <v>2260928</v>
      </c>
      <c r="EG168" s="230">
        <v>4649732</v>
      </c>
      <c r="EH168" s="229">
        <v>-0.51380000000000003</v>
      </c>
      <c r="EI168" s="229">
        <v>0.53349999999999997</v>
      </c>
      <c r="EJ168" s="231">
        <v>282617.52</v>
      </c>
      <c r="EK168" s="231">
        <v>91708.800000000003</v>
      </c>
      <c r="EL168" s="231">
        <v>56559.22</v>
      </c>
      <c r="EM168" s="231">
        <v>4596</v>
      </c>
      <c r="EN168" s="231">
        <v>430885.54</v>
      </c>
      <c r="EO168" s="231">
        <v>264929.25</v>
      </c>
      <c r="EP168" s="231">
        <v>165956.29</v>
      </c>
      <c r="EQ168" s="229">
        <v>0.62639999999999996</v>
      </c>
      <c r="ER168" s="231">
        <v>38367</v>
      </c>
      <c r="ES168" s="231">
        <v>23723</v>
      </c>
      <c r="ET168" s="231">
        <v>128918</v>
      </c>
      <c r="EU168" s="231">
        <v>69300607</v>
      </c>
      <c r="EV168" s="231">
        <v>191007</v>
      </c>
      <c r="EW168" s="231">
        <v>191429</v>
      </c>
      <c r="EX168" s="228">
        <v>-422</v>
      </c>
      <c r="EY168" s="229">
        <v>-2.2000000000000001E-3</v>
      </c>
      <c r="EZ168" s="229">
        <v>0.17380000000000001</v>
      </c>
      <c r="FA168" s="227" t="s">
        <v>693</v>
      </c>
      <c r="FB168" s="161">
        <f t="shared" si="4"/>
        <v>0</v>
      </c>
    </row>
    <row r="169" spans="1:158" ht="17.25" thickBot="1" x14ac:dyDescent="0.3">
      <c r="A169" s="226">
        <v>46129</v>
      </c>
      <c r="B169" s="227" t="s">
        <v>184</v>
      </c>
      <c r="C169" s="227" t="s">
        <v>519</v>
      </c>
      <c r="D169" s="228">
        <v>125</v>
      </c>
      <c r="E169" s="231">
        <v>8162</v>
      </c>
      <c r="F169" s="231">
        <v>7925</v>
      </c>
      <c r="G169" s="228">
        <v>237</v>
      </c>
      <c r="H169" s="229">
        <v>2.9899999999999999E-2</v>
      </c>
      <c r="I169" s="231">
        <v>8182.5</v>
      </c>
      <c r="J169" s="231">
        <v>7903.5</v>
      </c>
      <c r="K169" s="228">
        <v>279</v>
      </c>
      <c r="L169" s="229">
        <v>3.5299999999999998E-2</v>
      </c>
      <c r="M169" s="231">
        <v>8162</v>
      </c>
      <c r="N169" s="231">
        <v>7925</v>
      </c>
      <c r="O169" s="228">
        <v>237</v>
      </c>
      <c r="P169" s="229">
        <v>2.9899999999999999E-2</v>
      </c>
      <c r="Q169" s="231">
        <v>8118</v>
      </c>
      <c r="R169" s="231">
        <v>7908.5</v>
      </c>
      <c r="S169" s="228">
        <v>209.5</v>
      </c>
      <c r="T169" s="229">
        <v>2.6499999999999999E-2</v>
      </c>
      <c r="U169" s="231">
        <v>8109</v>
      </c>
      <c r="V169" s="231">
        <v>7867.5</v>
      </c>
      <c r="W169" s="228">
        <v>241.5</v>
      </c>
      <c r="X169" s="229">
        <v>3.0700000000000002E-2</v>
      </c>
      <c r="Y169" s="228">
        <v>-20.5</v>
      </c>
      <c r="Z169" s="228">
        <v>21.5</v>
      </c>
      <c r="AA169" s="228">
        <v>-42</v>
      </c>
      <c r="AB169" s="229">
        <v>-2.5000000000000001E-3</v>
      </c>
      <c r="AC169" s="228">
        <v>-20.5</v>
      </c>
      <c r="AD169" s="228">
        <v>21.5</v>
      </c>
      <c r="AE169" s="228">
        <v>-42</v>
      </c>
      <c r="AF169" s="229">
        <v>-2.5000000000000001E-3</v>
      </c>
      <c r="AG169" s="228">
        <v>-64.5</v>
      </c>
      <c r="AH169" s="228">
        <v>5</v>
      </c>
      <c r="AI169" s="228">
        <v>-69.5</v>
      </c>
      <c r="AJ169" s="229">
        <v>-7.9000000000000008E-3</v>
      </c>
      <c r="AK169" s="228">
        <v>-73.5</v>
      </c>
      <c r="AL169" s="228">
        <v>-36</v>
      </c>
      <c r="AM169" s="228">
        <v>-37.5</v>
      </c>
      <c r="AN169" s="229">
        <v>-8.9999999999999993E-3</v>
      </c>
      <c r="AO169" s="231">
        <v>8139.39</v>
      </c>
      <c r="AP169" s="231">
        <v>8100.8</v>
      </c>
      <c r="AQ169" s="228">
        <v>0</v>
      </c>
      <c r="AR169" s="230">
        <v>810375</v>
      </c>
      <c r="AS169" s="230">
        <v>507375</v>
      </c>
      <c r="AT169" s="230">
        <v>303000</v>
      </c>
      <c r="AU169" s="229">
        <v>0.59719999999999995</v>
      </c>
      <c r="AV169" s="230">
        <v>700375</v>
      </c>
      <c r="AW169" s="230">
        <v>461625</v>
      </c>
      <c r="AX169" s="230">
        <v>238750</v>
      </c>
      <c r="AY169" s="229">
        <v>0.51719999999999999</v>
      </c>
      <c r="AZ169" s="230">
        <v>103625</v>
      </c>
      <c r="BA169" s="230">
        <v>42250</v>
      </c>
      <c r="BB169" s="230">
        <v>61375</v>
      </c>
      <c r="BC169" s="229">
        <v>1.4527000000000001</v>
      </c>
      <c r="BD169" s="230">
        <v>6375</v>
      </c>
      <c r="BE169" s="230">
        <v>3500</v>
      </c>
      <c r="BF169" s="230">
        <v>2875</v>
      </c>
      <c r="BG169" s="229">
        <v>0.82140000000000002</v>
      </c>
      <c r="BH169" s="230">
        <v>6464875</v>
      </c>
      <c r="BI169" s="230">
        <v>1745000</v>
      </c>
      <c r="BJ169" s="230">
        <v>4719875</v>
      </c>
      <c r="BK169" s="229">
        <v>2.7048000000000001</v>
      </c>
      <c r="BL169" s="230">
        <v>4397500</v>
      </c>
      <c r="BM169" s="230">
        <v>1401875</v>
      </c>
      <c r="BN169" s="230">
        <v>2995625</v>
      </c>
      <c r="BO169" s="229">
        <v>2.1368999999999998</v>
      </c>
      <c r="BP169" s="230">
        <v>11672750</v>
      </c>
      <c r="BQ169" s="230">
        <v>3654250</v>
      </c>
      <c r="BR169" s="230">
        <v>8018500</v>
      </c>
      <c r="BS169" s="229">
        <v>2.1943000000000001</v>
      </c>
      <c r="BT169" s="230">
        <v>708323</v>
      </c>
      <c r="BU169" s="230">
        <v>286274</v>
      </c>
      <c r="BV169" s="230">
        <v>422049</v>
      </c>
      <c r="BW169" s="229">
        <v>1.4742999999999999</v>
      </c>
      <c r="BX169" s="230">
        <v>1866750</v>
      </c>
      <c r="BY169" s="230">
        <v>1950250</v>
      </c>
      <c r="BZ169" s="230">
        <v>-83500</v>
      </c>
      <c r="CA169" s="229">
        <v>-4.2799999999999998E-2</v>
      </c>
      <c r="CB169" s="230">
        <v>1766625</v>
      </c>
      <c r="CC169" s="230">
        <v>1865500</v>
      </c>
      <c r="CD169" s="230">
        <v>-98875</v>
      </c>
      <c r="CE169" s="229">
        <v>-5.2999999999999999E-2</v>
      </c>
      <c r="CF169" s="230">
        <v>91375</v>
      </c>
      <c r="CG169" s="230">
        <v>78875</v>
      </c>
      <c r="CH169" s="230">
        <v>12500</v>
      </c>
      <c r="CI169" s="229">
        <v>0.1585</v>
      </c>
      <c r="CJ169" s="230">
        <v>8750</v>
      </c>
      <c r="CK169" s="230">
        <v>5875</v>
      </c>
      <c r="CL169" s="230">
        <v>2875</v>
      </c>
      <c r="CM169" s="229">
        <v>0.4894</v>
      </c>
      <c r="CN169" s="230">
        <v>1155125</v>
      </c>
      <c r="CO169" s="230">
        <v>913875</v>
      </c>
      <c r="CP169" s="230">
        <v>241250</v>
      </c>
      <c r="CQ169" s="229">
        <v>0.26400000000000001</v>
      </c>
      <c r="CR169" s="230">
        <v>1435250</v>
      </c>
      <c r="CS169" s="230">
        <v>1270375</v>
      </c>
      <c r="CT169" s="230">
        <v>164875</v>
      </c>
      <c r="CU169" s="229">
        <v>0.1298</v>
      </c>
      <c r="CV169" s="230">
        <v>4457125</v>
      </c>
      <c r="CW169" s="230">
        <v>4134500</v>
      </c>
      <c r="CX169" s="230">
        <v>322625</v>
      </c>
      <c r="CY169" s="229">
        <v>7.8E-2</v>
      </c>
      <c r="CZ169" s="228">
        <v>37.909999999999997</v>
      </c>
      <c r="DA169" s="228">
        <v>37.299999999999997</v>
      </c>
      <c r="DB169" s="228">
        <v>0.61</v>
      </c>
      <c r="DC169" s="228">
        <v>0.61</v>
      </c>
      <c r="DD169" s="228">
        <v>41.72</v>
      </c>
      <c r="DE169" s="228">
        <v>41.56</v>
      </c>
      <c r="DF169" s="228">
        <v>-3.81</v>
      </c>
      <c r="DG169" s="228">
        <v>0.16</v>
      </c>
      <c r="DH169" s="228">
        <v>34.340000000000003</v>
      </c>
      <c r="DI169" s="228">
        <v>32.909999999999997</v>
      </c>
      <c r="DJ169" s="228">
        <v>1.43</v>
      </c>
      <c r="DK169" s="228">
        <v>1.43</v>
      </c>
      <c r="DL169" s="228">
        <v>43.16</v>
      </c>
      <c r="DM169" s="228">
        <v>42.77</v>
      </c>
      <c r="DN169" s="228">
        <v>0.39</v>
      </c>
      <c r="DO169" s="228">
        <v>0.39</v>
      </c>
      <c r="DP169" s="228">
        <v>1.24</v>
      </c>
      <c r="DQ169" s="228">
        <v>1.39</v>
      </c>
      <c r="DR169" s="228">
        <v>-0.15</v>
      </c>
      <c r="DS169" s="229">
        <v>-0.1079</v>
      </c>
      <c r="DT169" s="231">
        <v>8200</v>
      </c>
      <c r="DU169" s="231">
        <v>7500</v>
      </c>
      <c r="DV169" s="228">
        <v>0.68</v>
      </c>
      <c r="DW169" s="228">
        <v>0.8</v>
      </c>
      <c r="DX169" s="228">
        <v>-0.12</v>
      </c>
      <c r="DY169" s="229">
        <v>-0.15</v>
      </c>
      <c r="DZ169" s="229">
        <v>5.3600000000000002E-2</v>
      </c>
      <c r="EA169" s="230">
        <v>84750</v>
      </c>
      <c r="EB169" s="229">
        <v>-5.4000000000000003E-3</v>
      </c>
      <c r="EC169" s="229">
        <v>5.3600000000000002E-2</v>
      </c>
      <c r="ED169" s="228">
        <v>-38.590000000000003</v>
      </c>
      <c r="EE169" s="229">
        <v>-4.7000000000000002E-3</v>
      </c>
      <c r="EF169" s="230">
        <v>318541</v>
      </c>
      <c r="EG169" s="230">
        <v>100961</v>
      </c>
      <c r="EH169" s="229">
        <v>2.1551</v>
      </c>
      <c r="EI169" s="229">
        <v>0.44969999999999999</v>
      </c>
      <c r="EJ169" s="231">
        <v>548311.53</v>
      </c>
      <c r="EK169" s="231">
        <v>333705.53999999998</v>
      </c>
      <c r="EL169" s="231">
        <v>65916.94</v>
      </c>
      <c r="EM169" s="231">
        <v>4920</v>
      </c>
      <c r="EN169" s="231">
        <v>947934.01</v>
      </c>
      <c r="EO169" s="231">
        <v>286024.25</v>
      </c>
      <c r="EP169" s="231">
        <v>661909.76000000001</v>
      </c>
      <c r="EQ169" s="229">
        <v>2.3142</v>
      </c>
      <c r="ER169" s="231">
        <v>92732</v>
      </c>
      <c r="ES169" s="231">
        <v>106297</v>
      </c>
      <c r="ET169" s="231">
        <v>152319</v>
      </c>
      <c r="EU169" s="231">
        <v>8693344</v>
      </c>
      <c r="EV169" s="231">
        <v>351349</v>
      </c>
      <c r="EW169" s="231">
        <v>317407</v>
      </c>
      <c r="EX169" s="231">
        <v>33942</v>
      </c>
      <c r="EY169" s="229">
        <v>0.1069</v>
      </c>
      <c r="EZ169" s="229">
        <v>0.51270000000000004</v>
      </c>
      <c r="FA169" s="227" t="s">
        <v>693</v>
      </c>
      <c r="FB169" s="161">
        <f t="shared" si="4"/>
        <v>0</v>
      </c>
    </row>
    <row r="170" spans="1:158" ht="17.25" thickBot="1" x14ac:dyDescent="0.3">
      <c r="A170" s="226">
        <v>46129</v>
      </c>
      <c r="B170" s="227" t="s">
        <v>161</v>
      </c>
      <c r="C170" s="227" t="s">
        <v>276</v>
      </c>
      <c r="D170" s="228">
        <v>1900</v>
      </c>
      <c r="E170" s="228">
        <v>317.64999999999998</v>
      </c>
      <c r="F170" s="228">
        <v>311.85000000000002</v>
      </c>
      <c r="G170" s="228">
        <v>5.8</v>
      </c>
      <c r="H170" s="229">
        <v>1.8599999999999998E-2</v>
      </c>
      <c r="I170" s="228">
        <v>318.10000000000002</v>
      </c>
      <c r="J170" s="228">
        <v>312.25</v>
      </c>
      <c r="K170" s="228">
        <v>5.85</v>
      </c>
      <c r="L170" s="229">
        <v>1.8700000000000001E-2</v>
      </c>
      <c r="M170" s="228">
        <v>317.64999999999998</v>
      </c>
      <c r="N170" s="228">
        <v>311.85000000000002</v>
      </c>
      <c r="O170" s="228">
        <v>5.8</v>
      </c>
      <c r="P170" s="229">
        <v>1.8599999999999998E-2</v>
      </c>
      <c r="Q170" s="228">
        <v>319.55</v>
      </c>
      <c r="R170" s="228">
        <v>313.8</v>
      </c>
      <c r="S170" s="228">
        <v>5.75</v>
      </c>
      <c r="T170" s="229">
        <v>1.83E-2</v>
      </c>
      <c r="U170" s="228">
        <v>321.25</v>
      </c>
      <c r="V170" s="228">
        <v>315.60000000000002</v>
      </c>
      <c r="W170" s="228">
        <v>5.65</v>
      </c>
      <c r="X170" s="229">
        <v>1.7899999999999999E-2</v>
      </c>
      <c r="Y170" s="228">
        <v>-0.45</v>
      </c>
      <c r="Z170" s="228">
        <v>-0.4</v>
      </c>
      <c r="AA170" s="228">
        <v>-0.05</v>
      </c>
      <c r="AB170" s="229">
        <v>-1.4E-3</v>
      </c>
      <c r="AC170" s="228">
        <v>-0.45</v>
      </c>
      <c r="AD170" s="228">
        <v>-0.4</v>
      </c>
      <c r="AE170" s="228">
        <v>-0.05</v>
      </c>
      <c r="AF170" s="229">
        <v>-1.4E-3</v>
      </c>
      <c r="AG170" s="228">
        <v>1.45</v>
      </c>
      <c r="AH170" s="228">
        <v>1.55</v>
      </c>
      <c r="AI170" s="228">
        <v>-0.1</v>
      </c>
      <c r="AJ170" s="229">
        <v>4.5999999999999999E-3</v>
      </c>
      <c r="AK170" s="228">
        <v>3.15</v>
      </c>
      <c r="AL170" s="228">
        <v>3.35</v>
      </c>
      <c r="AM170" s="228">
        <v>-0.2</v>
      </c>
      <c r="AN170" s="229">
        <v>9.9000000000000008E-3</v>
      </c>
      <c r="AO170" s="228">
        <v>315.86</v>
      </c>
      <c r="AP170" s="228">
        <v>317.55</v>
      </c>
      <c r="AQ170" s="228">
        <v>0</v>
      </c>
      <c r="AR170" s="230">
        <v>16201300</v>
      </c>
      <c r="AS170" s="230">
        <v>22165400</v>
      </c>
      <c r="AT170" s="230">
        <v>-5964100</v>
      </c>
      <c r="AU170" s="229">
        <v>-0.26910000000000001</v>
      </c>
      <c r="AV170" s="230">
        <v>14060000</v>
      </c>
      <c r="AW170" s="230">
        <v>18449000</v>
      </c>
      <c r="AX170" s="230">
        <v>-4389000</v>
      </c>
      <c r="AY170" s="229">
        <v>-0.2379</v>
      </c>
      <c r="AZ170" s="230">
        <v>1977900</v>
      </c>
      <c r="BA170" s="230">
        <v>2006400</v>
      </c>
      <c r="BB170" s="230">
        <v>-28500</v>
      </c>
      <c r="BC170" s="229">
        <v>-1.4200000000000001E-2</v>
      </c>
      <c r="BD170" s="230">
        <v>163400</v>
      </c>
      <c r="BE170" s="230">
        <v>1710000</v>
      </c>
      <c r="BF170" s="230">
        <v>-1546600</v>
      </c>
      <c r="BG170" s="229">
        <v>-0.90439999999999998</v>
      </c>
      <c r="BH170" s="230">
        <v>82796300</v>
      </c>
      <c r="BI170" s="230">
        <v>81259200</v>
      </c>
      <c r="BJ170" s="230">
        <v>1537100</v>
      </c>
      <c r="BK170" s="229">
        <v>1.89E-2</v>
      </c>
      <c r="BL170" s="230">
        <v>31285400</v>
      </c>
      <c r="BM170" s="230">
        <v>23189500</v>
      </c>
      <c r="BN170" s="230">
        <v>8095900</v>
      </c>
      <c r="BO170" s="229">
        <v>0.34910000000000002</v>
      </c>
      <c r="BP170" s="230">
        <v>130283000</v>
      </c>
      <c r="BQ170" s="230">
        <v>126614100</v>
      </c>
      <c r="BR170" s="230">
        <v>3668900</v>
      </c>
      <c r="BS170" s="229">
        <v>2.9000000000000001E-2</v>
      </c>
      <c r="BT170" s="230">
        <v>14210473</v>
      </c>
      <c r="BU170" s="230">
        <v>23036162</v>
      </c>
      <c r="BV170" s="230">
        <v>-8825689</v>
      </c>
      <c r="BW170" s="229">
        <v>-0.3831</v>
      </c>
      <c r="BX170" s="230">
        <v>79214800</v>
      </c>
      <c r="BY170" s="230">
        <v>79826600</v>
      </c>
      <c r="BZ170" s="230">
        <v>-611800</v>
      </c>
      <c r="CA170" s="229">
        <v>-7.7000000000000002E-3</v>
      </c>
      <c r="CB170" s="230">
        <v>70529900</v>
      </c>
      <c r="CC170" s="230">
        <v>71506500</v>
      </c>
      <c r="CD170" s="230">
        <v>-976600</v>
      </c>
      <c r="CE170" s="229">
        <v>-1.37E-2</v>
      </c>
      <c r="CF170" s="230">
        <v>6397300</v>
      </c>
      <c r="CG170" s="230">
        <v>6043900</v>
      </c>
      <c r="CH170" s="230">
        <v>353400</v>
      </c>
      <c r="CI170" s="229">
        <v>5.8500000000000003E-2</v>
      </c>
      <c r="CJ170" s="230">
        <v>2287600</v>
      </c>
      <c r="CK170" s="230">
        <v>2276200</v>
      </c>
      <c r="CL170" s="230">
        <v>11400</v>
      </c>
      <c r="CM170" s="229">
        <v>5.0000000000000001E-3</v>
      </c>
      <c r="CN170" s="230">
        <v>37433800</v>
      </c>
      <c r="CO170" s="230">
        <v>39673900</v>
      </c>
      <c r="CP170" s="230">
        <v>-2240100</v>
      </c>
      <c r="CQ170" s="229">
        <v>-5.6500000000000002E-2</v>
      </c>
      <c r="CR170" s="230">
        <v>23620800</v>
      </c>
      <c r="CS170" s="230">
        <v>19826500</v>
      </c>
      <c r="CT170" s="230">
        <v>3794300</v>
      </c>
      <c r="CU170" s="229">
        <v>0.19139999999999999</v>
      </c>
      <c r="CV170" s="230">
        <v>140269400</v>
      </c>
      <c r="CW170" s="230">
        <v>139327000</v>
      </c>
      <c r="CX170" s="230">
        <v>942400</v>
      </c>
      <c r="CY170" s="229">
        <v>6.7999999999999996E-3</v>
      </c>
      <c r="CZ170" s="228">
        <v>23.79</v>
      </c>
      <c r="DA170" s="228">
        <v>27.98</v>
      </c>
      <c r="DB170" s="228">
        <v>-4.1900000000000004</v>
      </c>
      <c r="DC170" s="228">
        <v>-4.1900000000000004</v>
      </c>
      <c r="DD170" s="228">
        <v>29.03</v>
      </c>
      <c r="DE170" s="228">
        <v>29</v>
      </c>
      <c r="DF170" s="228">
        <v>-5.24</v>
      </c>
      <c r="DG170" s="228">
        <v>0.03</v>
      </c>
      <c r="DH170" s="228">
        <v>22.97</v>
      </c>
      <c r="DI170" s="228">
        <v>27.9</v>
      </c>
      <c r="DJ170" s="228">
        <v>-4.93</v>
      </c>
      <c r="DK170" s="228">
        <v>-4.93</v>
      </c>
      <c r="DL170" s="228">
        <v>25.94</v>
      </c>
      <c r="DM170" s="228">
        <v>28.26</v>
      </c>
      <c r="DN170" s="228">
        <v>-2.3199999999999998</v>
      </c>
      <c r="DO170" s="228">
        <v>-2.3199999999999998</v>
      </c>
      <c r="DP170" s="228">
        <v>0.63</v>
      </c>
      <c r="DQ170" s="228">
        <v>0.5</v>
      </c>
      <c r="DR170" s="228">
        <v>0.13</v>
      </c>
      <c r="DS170" s="229">
        <v>0.26</v>
      </c>
      <c r="DT170" s="228">
        <v>315</v>
      </c>
      <c r="DU170" s="228">
        <v>300</v>
      </c>
      <c r="DV170" s="228">
        <v>0.38</v>
      </c>
      <c r="DW170" s="228">
        <v>0.28999999999999998</v>
      </c>
      <c r="DX170" s="228">
        <v>0.09</v>
      </c>
      <c r="DY170" s="229">
        <v>0.31030000000000002</v>
      </c>
      <c r="DZ170" s="229">
        <v>0.1096</v>
      </c>
      <c r="EA170" s="230">
        <v>8320100</v>
      </c>
      <c r="EB170" s="229">
        <v>6.0000000000000001E-3</v>
      </c>
      <c r="EC170" s="229">
        <v>0.1096</v>
      </c>
      <c r="ED170" s="228">
        <v>1.69</v>
      </c>
      <c r="EE170" s="229">
        <v>5.4000000000000003E-3</v>
      </c>
      <c r="EF170" s="230">
        <v>8894487</v>
      </c>
      <c r="EG170" s="230">
        <v>13628627</v>
      </c>
      <c r="EH170" s="229">
        <v>-0.34739999999999999</v>
      </c>
      <c r="EI170" s="229">
        <v>0.62590000000000001</v>
      </c>
      <c r="EJ170" s="231">
        <v>268157.73</v>
      </c>
      <c r="EK170" s="231">
        <v>96923.93</v>
      </c>
      <c r="EL170" s="231">
        <v>51213.11</v>
      </c>
      <c r="EM170" s="231">
        <v>8536</v>
      </c>
      <c r="EN170" s="231">
        <v>416294.77</v>
      </c>
      <c r="EO170" s="231">
        <v>402993.9</v>
      </c>
      <c r="EP170" s="231">
        <v>13300.87</v>
      </c>
      <c r="EQ170" s="229">
        <v>3.3000000000000002E-2</v>
      </c>
      <c r="ER170" s="231">
        <v>118518</v>
      </c>
      <c r="ES170" s="231">
        <v>69637</v>
      </c>
      <c r="ET170" s="231">
        <v>251830</v>
      </c>
      <c r="EU170" s="231">
        <v>660840864</v>
      </c>
      <c r="EV170" s="231">
        <v>439984</v>
      </c>
      <c r="EW170" s="231">
        <v>431891</v>
      </c>
      <c r="EX170" s="231">
        <v>8093</v>
      </c>
      <c r="EY170" s="229">
        <v>1.8700000000000001E-2</v>
      </c>
      <c r="EZ170" s="229">
        <v>0.21229999999999999</v>
      </c>
      <c r="FA170" s="227" t="s">
        <v>693</v>
      </c>
      <c r="FB170" s="161">
        <f t="shared" si="4"/>
        <v>0</v>
      </c>
    </row>
    <row r="171" spans="1:158" ht="17.25" thickBot="1" x14ac:dyDescent="0.3">
      <c r="A171" s="226">
        <v>46129</v>
      </c>
      <c r="B171" s="227" t="s">
        <v>184</v>
      </c>
      <c r="C171" s="227" t="s">
        <v>685</v>
      </c>
      <c r="D171" s="228">
        <v>50</v>
      </c>
      <c r="E171" s="231">
        <v>28970</v>
      </c>
      <c r="F171" s="231">
        <v>28325</v>
      </c>
      <c r="G171" s="228">
        <v>645</v>
      </c>
      <c r="H171" s="229">
        <v>2.2800000000000001E-2</v>
      </c>
      <c r="I171" s="231">
        <v>28925</v>
      </c>
      <c r="J171" s="231">
        <v>28255</v>
      </c>
      <c r="K171" s="228">
        <v>670</v>
      </c>
      <c r="L171" s="229">
        <v>2.3699999999999999E-2</v>
      </c>
      <c r="M171" s="231">
        <v>28970</v>
      </c>
      <c r="N171" s="231">
        <v>28325</v>
      </c>
      <c r="O171" s="228">
        <v>645</v>
      </c>
      <c r="P171" s="229">
        <v>2.2800000000000001E-2</v>
      </c>
      <c r="Q171" s="231">
        <v>28910</v>
      </c>
      <c r="R171" s="231">
        <v>28290</v>
      </c>
      <c r="S171" s="228">
        <v>620</v>
      </c>
      <c r="T171" s="229">
        <v>2.1899999999999999E-2</v>
      </c>
      <c r="U171" s="231">
        <v>28875</v>
      </c>
      <c r="V171" s="231">
        <v>28290</v>
      </c>
      <c r="W171" s="228">
        <v>585</v>
      </c>
      <c r="X171" s="229">
        <v>2.07E-2</v>
      </c>
      <c r="Y171" s="228">
        <v>45</v>
      </c>
      <c r="Z171" s="228">
        <v>70</v>
      </c>
      <c r="AA171" s="228">
        <v>-25</v>
      </c>
      <c r="AB171" s="229">
        <v>1.6000000000000001E-3</v>
      </c>
      <c r="AC171" s="228">
        <v>45</v>
      </c>
      <c r="AD171" s="228">
        <v>70</v>
      </c>
      <c r="AE171" s="228">
        <v>-25</v>
      </c>
      <c r="AF171" s="229">
        <v>1.6000000000000001E-3</v>
      </c>
      <c r="AG171" s="228">
        <v>-15</v>
      </c>
      <c r="AH171" s="228">
        <v>35</v>
      </c>
      <c r="AI171" s="228">
        <v>-50</v>
      </c>
      <c r="AJ171" s="229">
        <v>-5.0000000000000001E-4</v>
      </c>
      <c r="AK171" s="228">
        <v>-50</v>
      </c>
      <c r="AL171" s="228">
        <v>35</v>
      </c>
      <c r="AM171" s="228">
        <v>-85</v>
      </c>
      <c r="AN171" s="229">
        <v>-1.6999999999999999E-3</v>
      </c>
      <c r="AO171" s="231">
        <v>28761.58</v>
      </c>
      <c r="AP171" s="231">
        <v>28705.919999999998</v>
      </c>
      <c r="AQ171" s="228">
        <v>0</v>
      </c>
      <c r="AR171" s="230">
        <v>100500</v>
      </c>
      <c r="AS171" s="230">
        <v>117200</v>
      </c>
      <c r="AT171" s="230">
        <v>-16700</v>
      </c>
      <c r="AU171" s="229">
        <v>-0.14249999999999999</v>
      </c>
      <c r="AV171" s="230">
        <v>88200</v>
      </c>
      <c r="AW171" s="230">
        <v>102400</v>
      </c>
      <c r="AX171" s="230">
        <v>-14200</v>
      </c>
      <c r="AY171" s="229">
        <v>-0.13869999999999999</v>
      </c>
      <c r="AZ171" s="230">
        <v>10650</v>
      </c>
      <c r="BA171" s="230">
        <v>12250</v>
      </c>
      <c r="BB171" s="230">
        <v>-1600</v>
      </c>
      <c r="BC171" s="229">
        <v>-0.13059999999999999</v>
      </c>
      <c r="BD171" s="230">
        <v>1650</v>
      </c>
      <c r="BE171" s="230">
        <v>2550</v>
      </c>
      <c r="BF171" s="228">
        <v>-900</v>
      </c>
      <c r="BG171" s="229">
        <v>-0.35289999999999999</v>
      </c>
      <c r="BH171" s="230">
        <v>448800</v>
      </c>
      <c r="BI171" s="230">
        <v>479350</v>
      </c>
      <c r="BJ171" s="230">
        <v>-30550</v>
      </c>
      <c r="BK171" s="229">
        <v>-6.3700000000000007E-2</v>
      </c>
      <c r="BL171" s="230">
        <v>300250</v>
      </c>
      <c r="BM171" s="230">
        <v>286950</v>
      </c>
      <c r="BN171" s="230">
        <v>13300</v>
      </c>
      <c r="BO171" s="229">
        <v>4.6300000000000001E-2</v>
      </c>
      <c r="BP171" s="230">
        <v>849550</v>
      </c>
      <c r="BQ171" s="230">
        <v>883500</v>
      </c>
      <c r="BR171" s="230">
        <v>-33950</v>
      </c>
      <c r="BS171" s="229">
        <v>-3.8399999999999997E-2</v>
      </c>
      <c r="BT171" s="230">
        <v>111373</v>
      </c>
      <c r="BU171" s="230">
        <v>182024</v>
      </c>
      <c r="BV171" s="230">
        <v>-70651</v>
      </c>
      <c r="BW171" s="229">
        <v>-0.3881</v>
      </c>
      <c r="BX171" s="230">
        <v>388950</v>
      </c>
      <c r="BY171" s="230">
        <v>390900</v>
      </c>
      <c r="BZ171" s="230">
        <v>-1950</v>
      </c>
      <c r="CA171" s="229">
        <v>-5.0000000000000001E-3</v>
      </c>
      <c r="CB171" s="230">
        <v>362850</v>
      </c>
      <c r="CC171" s="230">
        <v>364700</v>
      </c>
      <c r="CD171" s="230">
        <v>-1850</v>
      </c>
      <c r="CE171" s="229">
        <v>-5.1000000000000004E-3</v>
      </c>
      <c r="CF171" s="230">
        <v>21350</v>
      </c>
      <c r="CG171" s="230">
        <v>21600</v>
      </c>
      <c r="CH171" s="228">
        <v>-250</v>
      </c>
      <c r="CI171" s="229">
        <v>-1.1599999999999999E-2</v>
      </c>
      <c r="CJ171" s="230">
        <v>4750</v>
      </c>
      <c r="CK171" s="230">
        <v>4600</v>
      </c>
      <c r="CL171" s="228">
        <v>150</v>
      </c>
      <c r="CM171" s="229">
        <v>3.2599999999999997E-2</v>
      </c>
      <c r="CN171" s="230">
        <v>250250</v>
      </c>
      <c r="CO171" s="230">
        <v>269400</v>
      </c>
      <c r="CP171" s="230">
        <v>-19150</v>
      </c>
      <c r="CQ171" s="229">
        <v>-7.1099999999999997E-2</v>
      </c>
      <c r="CR171" s="230">
        <v>263400</v>
      </c>
      <c r="CS171" s="230">
        <v>229200</v>
      </c>
      <c r="CT171" s="230">
        <v>34200</v>
      </c>
      <c r="CU171" s="229">
        <v>0.1492</v>
      </c>
      <c r="CV171" s="230">
        <v>902600</v>
      </c>
      <c r="CW171" s="230">
        <v>889500</v>
      </c>
      <c r="CX171" s="230">
        <v>13100</v>
      </c>
      <c r="CY171" s="229">
        <v>1.47E-2</v>
      </c>
      <c r="CZ171" s="228">
        <v>36.18</v>
      </c>
      <c r="DA171" s="228">
        <v>40.33</v>
      </c>
      <c r="DB171" s="228">
        <v>-4.1500000000000004</v>
      </c>
      <c r="DC171" s="228">
        <v>-4.1500000000000004</v>
      </c>
      <c r="DD171" s="228">
        <v>57.48</v>
      </c>
      <c r="DE171" s="228">
        <v>57.53</v>
      </c>
      <c r="DF171" s="228">
        <v>-21.3</v>
      </c>
      <c r="DG171" s="228">
        <v>-0.05</v>
      </c>
      <c r="DH171" s="228">
        <v>34.21</v>
      </c>
      <c r="DI171" s="228">
        <v>38.72</v>
      </c>
      <c r="DJ171" s="228">
        <v>-4.51</v>
      </c>
      <c r="DK171" s="228">
        <v>-4.51</v>
      </c>
      <c r="DL171" s="228">
        <v>39.14</v>
      </c>
      <c r="DM171" s="228">
        <v>43.01</v>
      </c>
      <c r="DN171" s="228">
        <v>-3.87</v>
      </c>
      <c r="DO171" s="228">
        <v>-3.87</v>
      </c>
      <c r="DP171" s="228">
        <v>1.05</v>
      </c>
      <c r="DQ171" s="228">
        <v>0.85</v>
      </c>
      <c r="DR171" s="228">
        <v>0.2</v>
      </c>
      <c r="DS171" s="229">
        <v>0.23530000000000001</v>
      </c>
      <c r="DT171" s="231">
        <v>30000</v>
      </c>
      <c r="DU171" s="231">
        <v>26000</v>
      </c>
      <c r="DV171" s="228">
        <v>0.67</v>
      </c>
      <c r="DW171" s="228">
        <v>0.6</v>
      </c>
      <c r="DX171" s="228">
        <v>7.0000000000000007E-2</v>
      </c>
      <c r="DY171" s="229">
        <v>0.1167</v>
      </c>
      <c r="DZ171" s="229">
        <v>6.7100000000000007E-2</v>
      </c>
      <c r="EA171" s="230">
        <v>26200</v>
      </c>
      <c r="EB171" s="229">
        <v>-2.0999999999999999E-3</v>
      </c>
      <c r="EC171" s="229">
        <v>6.7100000000000007E-2</v>
      </c>
      <c r="ED171" s="228">
        <v>-55.66</v>
      </c>
      <c r="EE171" s="229">
        <v>-1.9E-3</v>
      </c>
      <c r="EF171" s="230">
        <v>38627</v>
      </c>
      <c r="EG171" s="230">
        <v>72807</v>
      </c>
      <c r="EH171" s="229">
        <v>-0.46949999999999997</v>
      </c>
      <c r="EI171" s="229">
        <v>0.3468</v>
      </c>
      <c r="EJ171" s="231">
        <v>136151.01</v>
      </c>
      <c r="EK171" s="231">
        <v>81947.94</v>
      </c>
      <c r="EL171" s="231">
        <v>28899.11</v>
      </c>
      <c r="EM171" s="231">
        <v>3050</v>
      </c>
      <c r="EN171" s="231">
        <v>246998.06</v>
      </c>
      <c r="EO171" s="231">
        <v>253930.99</v>
      </c>
      <c r="EP171" s="231">
        <v>-6932.93</v>
      </c>
      <c r="EQ171" s="229">
        <v>-2.7300000000000001E-2</v>
      </c>
      <c r="ER171" s="231">
        <v>71916</v>
      </c>
      <c r="ES171" s="231">
        <v>68042</v>
      </c>
      <c r="ET171" s="231">
        <v>112661</v>
      </c>
      <c r="EU171" s="231">
        <v>1917916</v>
      </c>
      <c r="EV171" s="231">
        <v>252619</v>
      </c>
      <c r="EW171" s="231">
        <v>246497</v>
      </c>
      <c r="EX171" s="231">
        <v>6122</v>
      </c>
      <c r="EY171" s="229">
        <v>2.4799999999999999E-2</v>
      </c>
      <c r="EZ171" s="229">
        <v>0.47060000000000002</v>
      </c>
      <c r="FA171" s="227" t="s">
        <v>693</v>
      </c>
      <c r="FB171" s="161">
        <f t="shared" si="4"/>
        <v>0</v>
      </c>
    </row>
    <row r="172" spans="1:158" ht="17.25" thickBot="1" x14ac:dyDescent="0.3">
      <c r="A172" s="226">
        <v>46129</v>
      </c>
      <c r="B172" s="227" t="s">
        <v>170</v>
      </c>
      <c r="C172" s="227" t="s">
        <v>676</v>
      </c>
      <c r="D172" s="228">
        <v>2625</v>
      </c>
      <c r="E172" s="228">
        <v>148.41</v>
      </c>
      <c r="F172" s="228">
        <v>147.63</v>
      </c>
      <c r="G172" s="228">
        <v>0.78</v>
      </c>
      <c r="H172" s="229">
        <v>5.3E-3</v>
      </c>
      <c r="I172" s="228">
        <v>148.85</v>
      </c>
      <c r="J172" s="228">
        <v>147.5</v>
      </c>
      <c r="K172" s="228">
        <v>1.35</v>
      </c>
      <c r="L172" s="229">
        <v>9.1999999999999998E-3</v>
      </c>
      <c r="M172" s="228">
        <v>148.41</v>
      </c>
      <c r="N172" s="228">
        <v>147.63</v>
      </c>
      <c r="O172" s="228">
        <v>0.78</v>
      </c>
      <c r="P172" s="229">
        <v>5.3E-3</v>
      </c>
      <c r="Q172" s="228">
        <v>0</v>
      </c>
      <c r="R172" s="228">
        <v>0</v>
      </c>
      <c r="S172" s="228">
        <v>0</v>
      </c>
      <c r="T172" s="229">
        <v>0</v>
      </c>
      <c r="U172" s="228">
        <v>0</v>
      </c>
      <c r="V172" s="228">
        <v>0</v>
      </c>
      <c r="W172" s="228">
        <v>0</v>
      </c>
      <c r="X172" s="229">
        <v>0</v>
      </c>
      <c r="Y172" s="228">
        <v>-0.44</v>
      </c>
      <c r="Z172" s="228">
        <v>0.13</v>
      </c>
      <c r="AA172" s="228">
        <v>-0.56999999999999995</v>
      </c>
      <c r="AB172" s="229">
        <v>-3.0000000000000001E-3</v>
      </c>
      <c r="AC172" s="228">
        <v>-0.44</v>
      </c>
      <c r="AD172" s="228">
        <v>0.13</v>
      </c>
      <c r="AE172" s="228">
        <v>-0.56999999999999995</v>
      </c>
      <c r="AF172" s="229">
        <v>-3.0000000000000001E-3</v>
      </c>
      <c r="AG172" s="228">
        <v>0</v>
      </c>
      <c r="AH172" s="228">
        <v>0</v>
      </c>
      <c r="AI172" s="228">
        <v>0</v>
      </c>
      <c r="AJ172" s="229">
        <v>0</v>
      </c>
      <c r="AK172" s="228">
        <v>0</v>
      </c>
      <c r="AL172" s="228">
        <v>0</v>
      </c>
      <c r="AM172" s="228">
        <v>0</v>
      </c>
      <c r="AN172" s="229">
        <v>0</v>
      </c>
      <c r="AO172" s="228">
        <v>148.27000000000001</v>
      </c>
      <c r="AP172" s="228">
        <v>0</v>
      </c>
      <c r="AQ172" s="228">
        <v>0</v>
      </c>
      <c r="AR172" s="230">
        <v>2176125</v>
      </c>
      <c r="AS172" s="230">
        <v>2669625</v>
      </c>
      <c r="AT172" s="230">
        <v>-493500</v>
      </c>
      <c r="AU172" s="229">
        <v>-0.18490000000000001</v>
      </c>
      <c r="AV172" s="230">
        <v>2176125</v>
      </c>
      <c r="AW172" s="230">
        <v>2669625</v>
      </c>
      <c r="AX172" s="230">
        <v>-493500</v>
      </c>
      <c r="AY172" s="229">
        <v>-0.18490000000000001</v>
      </c>
      <c r="AZ172" s="228">
        <v>0</v>
      </c>
      <c r="BA172" s="228">
        <v>0</v>
      </c>
      <c r="BB172" s="228">
        <v>0</v>
      </c>
      <c r="BC172" s="229">
        <v>0</v>
      </c>
      <c r="BD172" s="228">
        <v>0</v>
      </c>
      <c r="BE172" s="228">
        <v>0</v>
      </c>
      <c r="BF172" s="228">
        <v>0</v>
      </c>
      <c r="BG172" s="229">
        <v>0</v>
      </c>
      <c r="BH172" s="230">
        <v>5738250</v>
      </c>
      <c r="BI172" s="230">
        <v>5635875</v>
      </c>
      <c r="BJ172" s="230">
        <v>102375</v>
      </c>
      <c r="BK172" s="229">
        <v>1.8200000000000001E-2</v>
      </c>
      <c r="BL172" s="230">
        <v>1451625</v>
      </c>
      <c r="BM172" s="230">
        <v>1890000</v>
      </c>
      <c r="BN172" s="230">
        <v>-438375</v>
      </c>
      <c r="BO172" s="229">
        <v>-0.2319</v>
      </c>
      <c r="BP172" s="230">
        <v>9366000</v>
      </c>
      <c r="BQ172" s="230">
        <v>10195500</v>
      </c>
      <c r="BR172" s="230">
        <v>-829500</v>
      </c>
      <c r="BS172" s="229">
        <v>-8.14E-2</v>
      </c>
      <c r="BT172" s="230">
        <v>2247661</v>
      </c>
      <c r="BU172" s="230">
        <v>3806978</v>
      </c>
      <c r="BV172" s="230">
        <v>-1559317</v>
      </c>
      <c r="BW172" s="229">
        <v>-0.40960000000000002</v>
      </c>
      <c r="BX172" s="230">
        <v>11844000</v>
      </c>
      <c r="BY172" s="230">
        <v>11752125</v>
      </c>
      <c r="BZ172" s="230">
        <v>91875</v>
      </c>
      <c r="CA172" s="229">
        <v>7.7999999999999996E-3</v>
      </c>
      <c r="CB172" s="230">
        <v>11844000</v>
      </c>
      <c r="CC172" s="230">
        <v>11752125</v>
      </c>
      <c r="CD172" s="230">
        <v>91875</v>
      </c>
      <c r="CE172" s="229">
        <v>7.7999999999999996E-3</v>
      </c>
      <c r="CF172" s="228">
        <v>0</v>
      </c>
      <c r="CG172" s="228">
        <v>0</v>
      </c>
      <c r="CH172" s="228">
        <v>0</v>
      </c>
      <c r="CI172" s="229">
        <v>0</v>
      </c>
      <c r="CJ172" s="228">
        <v>0</v>
      </c>
      <c r="CK172" s="228">
        <v>0</v>
      </c>
      <c r="CL172" s="228">
        <v>0</v>
      </c>
      <c r="CM172" s="229">
        <v>0</v>
      </c>
      <c r="CN172" s="230">
        <v>5525625</v>
      </c>
      <c r="CO172" s="230">
        <v>5712000</v>
      </c>
      <c r="CP172" s="230">
        <v>-186375</v>
      </c>
      <c r="CQ172" s="229">
        <v>-3.2599999999999997E-2</v>
      </c>
      <c r="CR172" s="230">
        <v>3320625</v>
      </c>
      <c r="CS172" s="230">
        <v>3323250</v>
      </c>
      <c r="CT172" s="230">
        <v>-2625</v>
      </c>
      <c r="CU172" s="229">
        <v>-8.0000000000000004E-4</v>
      </c>
      <c r="CV172" s="230">
        <v>20690250</v>
      </c>
      <c r="CW172" s="230">
        <v>20787375</v>
      </c>
      <c r="CX172" s="230">
        <v>-97125</v>
      </c>
      <c r="CY172" s="229">
        <v>-4.7000000000000002E-3</v>
      </c>
      <c r="CZ172" s="228">
        <v>37.65</v>
      </c>
      <c r="DA172" s="228">
        <v>39.35</v>
      </c>
      <c r="DB172" s="228">
        <v>-1.7</v>
      </c>
      <c r="DC172" s="228">
        <v>-1.7</v>
      </c>
      <c r="DD172" s="228">
        <v>43.26</v>
      </c>
      <c r="DE172" s="228">
        <v>43.37</v>
      </c>
      <c r="DF172" s="228">
        <v>-5.61</v>
      </c>
      <c r="DG172" s="228">
        <v>-0.11</v>
      </c>
      <c r="DH172" s="228">
        <v>37.42</v>
      </c>
      <c r="DI172" s="228">
        <v>39.049999999999997</v>
      </c>
      <c r="DJ172" s="228">
        <v>-1.63</v>
      </c>
      <c r="DK172" s="228">
        <v>-1.63</v>
      </c>
      <c r="DL172" s="228">
        <v>38.58</v>
      </c>
      <c r="DM172" s="228">
        <v>40.24</v>
      </c>
      <c r="DN172" s="228">
        <v>-1.66</v>
      </c>
      <c r="DO172" s="228">
        <v>-1.66</v>
      </c>
      <c r="DP172" s="228">
        <v>0.6</v>
      </c>
      <c r="DQ172" s="228">
        <v>0.57999999999999996</v>
      </c>
      <c r="DR172" s="228">
        <v>0.02</v>
      </c>
      <c r="DS172" s="229">
        <v>3.4500000000000003E-2</v>
      </c>
      <c r="DT172" s="228">
        <v>150</v>
      </c>
      <c r="DU172" s="228">
        <v>150</v>
      </c>
      <c r="DV172" s="228">
        <v>0.25</v>
      </c>
      <c r="DW172" s="228">
        <v>0.34</v>
      </c>
      <c r="DX172" s="228">
        <v>-0.09</v>
      </c>
      <c r="DY172" s="229">
        <v>-0.26469999999999999</v>
      </c>
      <c r="DZ172" s="229">
        <v>0</v>
      </c>
      <c r="EA172" s="228">
        <v>0</v>
      </c>
      <c r="EB172" s="229">
        <v>0</v>
      </c>
      <c r="EC172" s="229">
        <v>0</v>
      </c>
      <c r="ED172" s="228">
        <v>0</v>
      </c>
      <c r="EE172" s="229">
        <v>0</v>
      </c>
      <c r="EF172" s="230">
        <v>843228</v>
      </c>
      <c r="EG172" s="230">
        <v>1299413</v>
      </c>
      <c r="EH172" s="229">
        <v>-0.35110000000000002</v>
      </c>
      <c r="EI172" s="229">
        <v>0.37519999999999998</v>
      </c>
      <c r="EJ172" s="231">
        <v>8936.86</v>
      </c>
      <c r="EK172" s="231">
        <v>2123.7399999999998</v>
      </c>
      <c r="EL172" s="231">
        <v>3226.56</v>
      </c>
      <c r="EM172" s="228">
        <v>976</v>
      </c>
      <c r="EN172" s="231">
        <v>14287.16</v>
      </c>
      <c r="EO172" s="231">
        <v>15587.29</v>
      </c>
      <c r="EP172" s="231">
        <v>-1300.1300000000001</v>
      </c>
      <c r="EQ172" s="229">
        <v>-8.3400000000000002E-2</v>
      </c>
      <c r="ER172" s="231">
        <v>8636</v>
      </c>
      <c r="ES172" s="231">
        <v>4854</v>
      </c>
      <c r="ET172" s="231">
        <v>17578</v>
      </c>
      <c r="EU172" s="231">
        <v>92833839</v>
      </c>
      <c r="EV172" s="231">
        <v>31067</v>
      </c>
      <c r="EW172" s="231">
        <v>31164</v>
      </c>
      <c r="EX172" s="228">
        <v>-97</v>
      </c>
      <c r="EY172" s="229">
        <v>-3.0999999999999999E-3</v>
      </c>
      <c r="EZ172" s="229">
        <v>0.22289999999999999</v>
      </c>
      <c r="FA172" s="227" t="s">
        <v>555</v>
      </c>
      <c r="FB172" s="161">
        <f t="shared" si="4"/>
        <v>0</v>
      </c>
    </row>
    <row r="173" spans="1:158" ht="17.25" thickBot="1" x14ac:dyDescent="0.3">
      <c r="A173" s="226">
        <v>46129</v>
      </c>
      <c r="B173" s="227" t="s">
        <v>184</v>
      </c>
      <c r="C173" s="227" t="s">
        <v>688</v>
      </c>
      <c r="D173" s="228">
        <v>575</v>
      </c>
      <c r="E173" s="231">
        <v>1006.65</v>
      </c>
      <c r="F173" s="231">
        <v>1004.05</v>
      </c>
      <c r="G173" s="228">
        <v>2.6</v>
      </c>
      <c r="H173" s="229">
        <v>2.5999999999999999E-3</v>
      </c>
      <c r="I173" s="231">
        <v>1034.5999999999999</v>
      </c>
      <c r="J173" s="231">
        <v>1003.1</v>
      </c>
      <c r="K173" s="228">
        <v>31.5</v>
      </c>
      <c r="L173" s="229">
        <v>3.1399999999999997E-2</v>
      </c>
      <c r="M173" s="231">
        <v>1006.65</v>
      </c>
      <c r="N173" s="231">
        <v>1004.05</v>
      </c>
      <c r="O173" s="228">
        <v>2.6</v>
      </c>
      <c r="P173" s="229">
        <v>2.5999999999999999E-3</v>
      </c>
      <c r="Q173" s="228">
        <v>991.6</v>
      </c>
      <c r="R173" s="228">
        <v>992.5</v>
      </c>
      <c r="S173" s="228">
        <v>-0.9</v>
      </c>
      <c r="T173" s="229">
        <v>-8.9999999999999998E-4</v>
      </c>
      <c r="U173" s="231">
        <v>1001.5</v>
      </c>
      <c r="V173" s="228">
        <v>987.45</v>
      </c>
      <c r="W173" s="228">
        <v>14.05</v>
      </c>
      <c r="X173" s="229">
        <v>1.4200000000000001E-2</v>
      </c>
      <c r="Y173" s="228">
        <v>-27.95</v>
      </c>
      <c r="Z173" s="228">
        <v>0.95</v>
      </c>
      <c r="AA173" s="228">
        <v>-28.9</v>
      </c>
      <c r="AB173" s="229">
        <v>-2.7E-2</v>
      </c>
      <c r="AC173" s="228">
        <v>-27.95</v>
      </c>
      <c r="AD173" s="228">
        <v>0.95</v>
      </c>
      <c r="AE173" s="228">
        <v>-28.9</v>
      </c>
      <c r="AF173" s="229">
        <v>-2.7E-2</v>
      </c>
      <c r="AG173" s="228">
        <v>-43</v>
      </c>
      <c r="AH173" s="228">
        <v>-10.6</v>
      </c>
      <c r="AI173" s="228">
        <v>-32.4</v>
      </c>
      <c r="AJ173" s="229">
        <v>-4.1599999999999998E-2</v>
      </c>
      <c r="AK173" s="228">
        <v>-33.1</v>
      </c>
      <c r="AL173" s="228">
        <v>-15.65</v>
      </c>
      <c r="AM173" s="228">
        <v>-17.45</v>
      </c>
      <c r="AN173" s="229">
        <v>-3.2000000000000001E-2</v>
      </c>
      <c r="AO173" s="231">
        <v>1009.26</v>
      </c>
      <c r="AP173" s="228">
        <v>995.46</v>
      </c>
      <c r="AQ173" s="228">
        <v>0</v>
      </c>
      <c r="AR173" s="230">
        <v>6743025</v>
      </c>
      <c r="AS173" s="230">
        <v>2879600</v>
      </c>
      <c r="AT173" s="230">
        <v>3863425</v>
      </c>
      <c r="AU173" s="229">
        <v>1.3416999999999999</v>
      </c>
      <c r="AV173" s="230">
        <v>5436050</v>
      </c>
      <c r="AW173" s="230">
        <v>1956150</v>
      </c>
      <c r="AX173" s="230">
        <v>3479900</v>
      </c>
      <c r="AY173" s="229">
        <v>1.7789999999999999</v>
      </c>
      <c r="AZ173" s="230">
        <v>1304100</v>
      </c>
      <c r="BA173" s="230">
        <v>920000</v>
      </c>
      <c r="BB173" s="230">
        <v>384100</v>
      </c>
      <c r="BC173" s="229">
        <v>0.41749999999999998</v>
      </c>
      <c r="BD173" s="230">
        <v>2875</v>
      </c>
      <c r="BE173" s="230">
        <v>3450</v>
      </c>
      <c r="BF173" s="228">
        <v>-575</v>
      </c>
      <c r="BG173" s="229">
        <v>-0.16669999999999999</v>
      </c>
      <c r="BH173" s="230">
        <v>4509725</v>
      </c>
      <c r="BI173" s="230">
        <v>2396600</v>
      </c>
      <c r="BJ173" s="230">
        <v>2113125</v>
      </c>
      <c r="BK173" s="229">
        <v>0.88170000000000004</v>
      </c>
      <c r="BL173" s="230">
        <v>3098100</v>
      </c>
      <c r="BM173" s="230">
        <v>1048225</v>
      </c>
      <c r="BN173" s="230">
        <v>2049875</v>
      </c>
      <c r="BO173" s="229">
        <v>1.9556</v>
      </c>
      <c r="BP173" s="230">
        <v>14350850</v>
      </c>
      <c r="BQ173" s="230">
        <v>6324425</v>
      </c>
      <c r="BR173" s="230">
        <v>8026425</v>
      </c>
      <c r="BS173" s="229">
        <v>1.2690999999999999</v>
      </c>
      <c r="BT173" s="230">
        <v>7485168</v>
      </c>
      <c r="BU173" s="230">
        <v>957309</v>
      </c>
      <c r="BV173" s="230">
        <v>6527859</v>
      </c>
      <c r="BW173" s="229">
        <v>6.819</v>
      </c>
      <c r="BX173" s="230">
        <v>13171525</v>
      </c>
      <c r="BY173" s="230">
        <v>10941100</v>
      </c>
      <c r="BZ173" s="230">
        <v>2230425</v>
      </c>
      <c r="CA173" s="229">
        <v>0.2039</v>
      </c>
      <c r="CB173" s="230">
        <v>11199850</v>
      </c>
      <c r="CC173" s="230">
        <v>9934850</v>
      </c>
      <c r="CD173" s="230">
        <v>1265000</v>
      </c>
      <c r="CE173" s="229">
        <v>0.1273</v>
      </c>
      <c r="CF173" s="230">
        <v>1963050</v>
      </c>
      <c r="CG173" s="230">
        <v>997625</v>
      </c>
      <c r="CH173" s="230">
        <v>965425</v>
      </c>
      <c r="CI173" s="229">
        <v>0.9677</v>
      </c>
      <c r="CJ173" s="230">
        <v>8625</v>
      </c>
      <c r="CK173" s="230">
        <v>8625</v>
      </c>
      <c r="CL173" s="228">
        <v>0</v>
      </c>
      <c r="CM173" s="229">
        <v>0</v>
      </c>
      <c r="CN173" s="230">
        <v>2212025</v>
      </c>
      <c r="CO173" s="230">
        <v>2099325</v>
      </c>
      <c r="CP173" s="230">
        <v>112700</v>
      </c>
      <c r="CQ173" s="229">
        <v>5.3699999999999998E-2</v>
      </c>
      <c r="CR173" s="230">
        <v>1799175</v>
      </c>
      <c r="CS173" s="230">
        <v>1725575</v>
      </c>
      <c r="CT173" s="230">
        <v>73600</v>
      </c>
      <c r="CU173" s="229">
        <v>4.2700000000000002E-2</v>
      </c>
      <c r="CV173" s="230">
        <v>17182725</v>
      </c>
      <c r="CW173" s="230">
        <v>14766000</v>
      </c>
      <c r="CX173" s="230">
        <v>2416725</v>
      </c>
      <c r="CY173" s="229">
        <v>0.16370000000000001</v>
      </c>
      <c r="CZ173" s="228">
        <v>41.62</v>
      </c>
      <c r="DA173" s="228">
        <v>41.55</v>
      </c>
      <c r="DB173" s="228">
        <v>7.0000000000000007E-2</v>
      </c>
      <c r="DC173" s="228">
        <v>7.0000000000000007E-2</v>
      </c>
      <c r="DD173" s="228">
        <v>48.93</v>
      </c>
      <c r="DE173" s="228">
        <v>49.06</v>
      </c>
      <c r="DF173" s="228">
        <v>-7.31</v>
      </c>
      <c r="DG173" s="228">
        <v>-0.13</v>
      </c>
      <c r="DH173" s="228">
        <v>40.72</v>
      </c>
      <c r="DI173" s="228">
        <v>40.840000000000003</v>
      </c>
      <c r="DJ173" s="228">
        <v>-0.12</v>
      </c>
      <c r="DK173" s="228">
        <v>-0.12</v>
      </c>
      <c r="DL173" s="228">
        <v>42.92</v>
      </c>
      <c r="DM173" s="228">
        <v>43.17</v>
      </c>
      <c r="DN173" s="228">
        <v>-0.25</v>
      </c>
      <c r="DO173" s="228">
        <v>-0.25</v>
      </c>
      <c r="DP173" s="228">
        <v>0.81</v>
      </c>
      <c r="DQ173" s="228">
        <v>0.82</v>
      </c>
      <c r="DR173" s="228">
        <v>-0.01</v>
      </c>
      <c r="DS173" s="229">
        <v>-1.2200000000000001E-2</v>
      </c>
      <c r="DT173" s="231">
        <v>1000</v>
      </c>
      <c r="DU173" s="228">
        <v>960</v>
      </c>
      <c r="DV173" s="228">
        <v>0.69</v>
      </c>
      <c r="DW173" s="228">
        <v>0.44</v>
      </c>
      <c r="DX173" s="228">
        <v>0.25</v>
      </c>
      <c r="DY173" s="229">
        <v>0.56820000000000004</v>
      </c>
      <c r="DZ173" s="229">
        <v>0.1497</v>
      </c>
      <c r="EA173" s="230">
        <v>1006250</v>
      </c>
      <c r="EB173" s="229">
        <v>-1.4999999999999999E-2</v>
      </c>
      <c r="EC173" s="229">
        <v>0.1497</v>
      </c>
      <c r="ED173" s="228">
        <v>-13.8</v>
      </c>
      <c r="EE173" s="229">
        <v>-1.37E-2</v>
      </c>
      <c r="EF173" s="230">
        <v>4650294</v>
      </c>
      <c r="EG173" s="230">
        <v>301695</v>
      </c>
      <c r="EH173" s="229">
        <v>14.4139</v>
      </c>
      <c r="EI173" s="229">
        <v>0.62129999999999996</v>
      </c>
      <c r="EJ173" s="231">
        <v>47379.43</v>
      </c>
      <c r="EK173" s="231">
        <v>29522.23</v>
      </c>
      <c r="EL173" s="231">
        <v>67874.22</v>
      </c>
      <c r="EM173" s="231">
        <v>3865</v>
      </c>
      <c r="EN173" s="231">
        <v>144775.88</v>
      </c>
      <c r="EO173" s="231">
        <v>63910.99</v>
      </c>
      <c r="EP173" s="231">
        <v>80864.89</v>
      </c>
      <c r="EQ173" s="229">
        <v>1.2653000000000001</v>
      </c>
      <c r="ER173" s="231">
        <v>21837</v>
      </c>
      <c r="ES173" s="231">
        <v>16399</v>
      </c>
      <c r="ET173" s="231">
        <v>132295</v>
      </c>
      <c r="EU173" s="231">
        <v>23961540</v>
      </c>
      <c r="EV173" s="231">
        <v>170531</v>
      </c>
      <c r="EW173" s="231">
        <v>145910</v>
      </c>
      <c r="EX173" s="231">
        <v>24621</v>
      </c>
      <c r="EY173" s="229">
        <v>0.16869999999999999</v>
      </c>
      <c r="EZ173" s="229">
        <v>0.71709999999999996</v>
      </c>
      <c r="FA173" s="227" t="s">
        <v>555</v>
      </c>
      <c r="FB173" s="161">
        <f t="shared" si="4"/>
        <v>0</v>
      </c>
    </row>
    <row r="174" spans="1:158" ht="17.25" thickBot="1" x14ac:dyDescent="0.3">
      <c r="A174" s="226">
        <v>46129</v>
      </c>
      <c r="B174" s="227" t="s">
        <v>206</v>
      </c>
      <c r="C174" s="227" t="s">
        <v>604</v>
      </c>
      <c r="D174" s="228">
        <v>450</v>
      </c>
      <c r="E174" s="231">
        <v>1357.6</v>
      </c>
      <c r="F174" s="231">
        <v>1339</v>
      </c>
      <c r="G174" s="228">
        <v>18.600000000000001</v>
      </c>
      <c r="H174" s="229">
        <v>1.3899999999999999E-2</v>
      </c>
      <c r="I174" s="231">
        <v>1356.8</v>
      </c>
      <c r="J174" s="231">
        <v>1337.9</v>
      </c>
      <c r="K174" s="228">
        <v>18.899999999999999</v>
      </c>
      <c r="L174" s="229">
        <v>1.41E-2</v>
      </c>
      <c r="M174" s="231">
        <v>1357.6</v>
      </c>
      <c r="N174" s="231">
        <v>1339</v>
      </c>
      <c r="O174" s="228">
        <v>18.600000000000001</v>
      </c>
      <c r="P174" s="229">
        <v>1.3899999999999999E-2</v>
      </c>
      <c r="Q174" s="231">
        <v>1362.2</v>
      </c>
      <c r="R174" s="231">
        <v>1344.2</v>
      </c>
      <c r="S174" s="228">
        <v>18</v>
      </c>
      <c r="T174" s="229">
        <v>1.34E-2</v>
      </c>
      <c r="U174" s="231">
        <v>1366.2</v>
      </c>
      <c r="V174" s="231">
        <v>1337.9</v>
      </c>
      <c r="W174" s="228">
        <v>28.3</v>
      </c>
      <c r="X174" s="229">
        <v>2.12E-2</v>
      </c>
      <c r="Y174" s="228">
        <v>0.8</v>
      </c>
      <c r="Z174" s="228">
        <v>1.1000000000000001</v>
      </c>
      <c r="AA174" s="228">
        <v>-0.3</v>
      </c>
      <c r="AB174" s="229">
        <v>5.9999999999999995E-4</v>
      </c>
      <c r="AC174" s="228">
        <v>0.8</v>
      </c>
      <c r="AD174" s="228">
        <v>1.1000000000000001</v>
      </c>
      <c r="AE174" s="228">
        <v>-0.3</v>
      </c>
      <c r="AF174" s="229">
        <v>5.9999999999999995E-4</v>
      </c>
      <c r="AG174" s="228">
        <v>5.4</v>
      </c>
      <c r="AH174" s="228">
        <v>6.3</v>
      </c>
      <c r="AI174" s="228">
        <v>-0.9</v>
      </c>
      <c r="AJ174" s="229">
        <v>4.0000000000000001E-3</v>
      </c>
      <c r="AK174" s="228">
        <v>9.4</v>
      </c>
      <c r="AL174" s="228">
        <v>0</v>
      </c>
      <c r="AM174" s="228">
        <v>9.4</v>
      </c>
      <c r="AN174" s="229">
        <v>6.8999999999999999E-3</v>
      </c>
      <c r="AO174" s="231">
        <v>1353.87</v>
      </c>
      <c r="AP174" s="231">
        <v>1357.7</v>
      </c>
      <c r="AQ174" s="228">
        <v>0</v>
      </c>
      <c r="AR174" s="230">
        <v>1077300</v>
      </c>
      <c r="AS174" s="230">
        <v>850500</v>
      </c>
      <c r="AT174" s="230">
        <v>226800</v>
      </c>
      <c r="AU174" s="229">
        <v>0.26669999999999999</v>
      </c>
      <c r="AV174" s="230">
        <v>1047600</v>
      </c>
      <c r="AW174" s="230">
        <v>801900</v>
      </c>
      <c r="AX174" s="230">
        <v>245700</v>
      </c>
      <c r="AY174" s="229">
        <v>0.30640000000000001</v>
      </c>
      <c r="AZ174" s="230">
        <v>27450</v>
      </c>
      <c r="BA174" s="230">
        <v>47700</v>
      </c>
      <c r="BB174" s="230">
        <v>-20250</v>
      </c>
      <c r="BC174" s="229">
        <v>-0.42449999999999999</v>
      </c>
      <c r="BD174" s="230">
        <v>2250</v>
      </c>
      <c r="BE174" s="228">
        <v>900</v>
      </c>
      <c r="BF174" s="230">
        <v>1350</v>
      </c>
      <c r="BG174" s="229">
        <v>1.5</v>
      </c>
      <c r="BH174" s="230">
        <v>2472300</v>
      </c>
      <c r="BI174" s="230">
        <v>2425950</v>
      </c>
      <c r="BJ174" s="230">
        <v>46350</v>
      </c>
      <c r="BK174" s="229">
        <v>1.9099999999999999E-2</v>
      </c>
      <c r="BL174" s="230">
        <v>1057950</v>
      </c>
      <c r="BM174" s="230">
        <v>1596150</v>
      </c>
      <c r="BN174" s="230">
        <v>-538200</v>
      </c>
      <c r="BO174" s="229">
        <v>-0.3372</v>
      </c>
      <c r="BP174" s="230">
        <v>4607550</v>
      </c>
      <c r="BQ174" s="230">
        <v>4872600</v>
      </c>
      <c r="BR174" s="230">
        <v>-265050</v>
      </c>
      <c r="BS174" s="229">
        <v>-5.4399999999999997E-2</v>
      </c>
      <c r="BT174" s="230">
        <v>856464</v>
      </c>
      <c r="BU174" s="230">
        <v>1108207</v>
      </c>
      <c r="BV174" s="230">
        <v>-251743</v>
      </c>
      <c r="BW174" s="229">
        <v>-0.22720000000000001</v>
      </c>
      <c r="BX174" s="230">
        <v>6934500</v>
      </c>
      <c r="BY174" s="230">
        <v>7027650</v>
      </c>
      <c r="BZ174" s="230">
        <v>-93150</v>
      </c>
      <c r="CA174" s="229">
        <v>-1.3299999999999999E-2</v>
      </c>
      <c r="CB174" s="230">
        <v>6848100</v>
      </c>
      <c r="CC174" s="230">
        <v>6938550</v>
      </c>
      <c r="CD174" s="230">
        <v>-90450</v>
      </c>
      <c r="CE174" s="229">
        <v>-1.2999999999999999E-2</v>
      </c>
      <c r="CF174" s="230">
        <v>79200</v>
      </c>
      <c r="CG174" s="230">
        <v>83250</v>
      </c>
      <c r="CH174" s="230">
        <v>-4050</v>
      </c>
      <c r="CI174" s="229">
        <v>-4.8599999999999997E-2</v>
      </c>
      <c r="CJ174" s="230">
        <v>7200</v>
      </c>
      <c r="CK174" s="230">
        <v>5850</v>
      </c>
      <c r="CL174" s="230">
        <v>1350</v>
      </c>
      <c r="CM174" s="229">
        <v>0.23080000000000001</v>
      </c>
      <c r="CN174" s="230">
        <v>2209050</v>
      </c>
      <c r="CO174" s="230">
        <v>2326950</v>
      </c>
      <c r="CP174" s="230">
        <v>-117900</v>
      </c>
      <c r="CQ174" s="229">
        <v>-5.0700000000000002E-2</v>
      </c>
      <c r="CR174" s="230">
        <v>1644300</v>
      </c>
      <c r="CS174" s="230">
        <v>1579500</v>
      </c>
      <c r="CT174" s="230">
        <v>64800</v>
      </c>
      <c r="CU174" s="229">
        <v>4.1000000000000002E-2</v>
      </c>
      <c r="CV174" s="230">
        <v>10787850</v>
      </c>
      <c r="CW174" s="230">
        <v>10934100</v>
      </c>
      <c r="CX174" s="230">
        <v>-146250</v>
      </c>
      <c r="CY174" s="229">
        <v>-1.34E-2</v>
      </c>
      <c r="CZ174" s="228">
        <v>40.200000000000003</v>
      </c>
      <c r="DA174" s="228">
        <v>42.84</v>
      </c>
      <c r="DB174" s="228">
        <v>-2.64</v>
      </c>
      <c r="DC174" s="228">
        <v>-2.64</v>
      </c>
      <c r="DD174" s="228">
        <v>44.91</v>
      </c>
      <c r="DE174" s="228">
        <v>44.98</v>
      </c>
      <c r="DF174" s="228">
        <v>-4.71</v>
      </c>
      <c r="DG174" s="228">
        <v>-7.0000000000000007E-2</v>
      </c>
      <c r="DH174" s="228">
        <v>37.4</v>
      </c>
      <c r="DI174" s="228">
        <v>38.65</v>
      </c>
      <c r="DJ174" s="228">
        <v>-1.25</v>
      </c>
      <c r="DK174" s="228">
        <v>-1.25</v>
      </c>
      <c r="DL174" s="228">
        <v>46.74</v>
      </c>
      <c r="DM174" s="228">
        <v>49.21</v>
      </c>
      <c r="DN174" s="228">
        <v>-2.4700000000000002</v>
      </c>
      <c r="DO174" s="228">
        <v>-2.4700000000000002</v>
      </c>
      <c r="DP174" s="228">
        <v>0.74</v>
      </c>
      <c r="DQ174" s="228">
        <v>0.68</v>
      </c>
      <c r="DR174" s="228">
        <v>0.06</v>
      </c>
      <c r="DS174" s="229">
        <v>8.8200000000000001E-2</v>
      </c>
      <c r="DT174" s="231">
        <v>1400</v>
      </c>
      <c r="DU174" s="231">
        <v>1200</v>
      </c>
      <c r="DV174" s="228">
        <v>0.43</v>
      </c>
      <c r="DW174" s="228">
        <v>0.66</v>
      </c>
      <c r="DX174" s="228">
        <v>-0.23</v>
      </c>
      <c r="DY174" s="229">
        <v>-0.34849999999999998</v>
      </c>
      <c r="DZ174" s="229">
        <v>1.2500000000000001E-2</v>
      </c>
      <c r="EA174" s="230">
        <v>89100</v>
      </c>
      <c r="EB174" s="229">
        <v>3.3999999999999998E-3</v>
      </c>
      <c r="EC174" s="229">
        <v>1.2500000000000001E-2</v>
      </c>
      <c r="ED174" s="228">
        <v>3.83</v>
      </c>
      <c r="EE174" s="229">
        <v>2.8E-3</v>
      </c>
      <c r="EF174" s="230">
        <v>449840</v>
      </c>
      <c r="EG174" s="230">
        <v>482662</v>
      </c>
      <c r="EH174" s="229">
        <v>-6.8000000000000005E-2</v>
      </c>
      <c r="EI174" s="229">
        <v>0.5252</v>
      </c>
      <c r="EJ174" s="231">
        <v>35361.35</v>
      </c>
      <c r="EK174" s="231">
        <v>13635.91</v>
      </c>
      <c r="EL174" s="231">
        <v>14586.51</v>
      </c>
      <c r="EM174" s="231">
        <v>2460</v>
      </c>
      <c r="EN174" s="231">
        <v>63583.77</v>
      </c>
      <c r="EO174" s="231">
        <v>65787.81</v>
      </c>
      <c r="EP174" s="231">
        <v>-2204.04</v>
      </c>
      <c r="EQ174" s="229">
        <v>-3.3500000000000002E-2</v>
      </c>
      <c r="ER174" s="231">
        <v>30169</v>
      </c>
      <c r="ES174" s="231">
        <v>20120</v>
      </c>
      <c r="ET174" s="231">
        <v>94147</v>
      </c>
      <c r="EU174" s="231">
        <v>25234534</v>
      </c>
      <c r="EV174" s="231">
        <v>144437</v>
      </c>
      <c r="EW174" s="231">
        <v>145211</v>
      </c>
      <c r="EX174" s="228">
        <v>-774</v>
      </c>
      <c r="EY174" s="229">
        <v>-5.3E-3</v>
      </c>
      <c r="EZ174" s="229">
        <v>0.42749999999999999</v>
      </c>
      <c r="FA174" s="227" t="s">
        <v>693</v>
      </c>
      <c r="FB174" s="161">
        <f t="shared" si="4"/>
        <v>0</v>
      </c>
    </row>
    <row r="175" spans="1:158" ht="17.25" thickBot="1" x14ac:dyDescent="0.3">
      <c r="A175" s="226">
        <v>46129</v>
      </c>
      <c r="B175" s="227" t="s">
        <v>172</v>
      </c>
      <c r="C175" s="227" t="s">
        <v>279</v>
      </c>
      <c r="D175" s="228">
        <v>3175</v>
      </c>
      <c r="E175" s="228">
        <v>316.64999999999998</v>
      </c>
      <c r="F175" s="228">
        <v>315.95</v>
      </c>
      <c r="G175" s="228">
        <v>0.7</v>
      </c>
      <c r="H175" s="229">
        <v>2.2000000000000001E-3</v>
      </c>
      <c r="I175" s="228">
        <v>315.55</v>
      </c>
      <c r="J175" s="228">
        <v>315.89999999999998</v>
      </c>
      <c r="K175" s="228">
        <v>-0.35</v>
      </c>
      <c r="L175" s="229">
        <v>-1.1000000000000001E-3</v>
      </c>
      <c r="M175" s="228">
        <v>316.64999999999998</v>
      </c>
      <c r="N175" s="228">
        <v>315.95</v>
      </c>
      <c r="O175" s="228">
        <v>0.7</v>
      </c>
      <c r="P175" s="229">
        <v>2.2000000000000001E-3</v>
      </c>
      <c r="Q175" s="228">
        <v>318.2</v>
      </c>
      <c r="R175" s="228">
        <v>318</v>
      </c>
      <c r="S175" s="228">
        <v>0.2</v>
      </c>
      <c r="T175" s="229">
        <v>5.9999999999999995E-4</v>
      </c>
      <c r="U175" s="228">
        <v>317.5</v>
      </c>
      <c r="V175" s="228">
        <v>319.7</v>
      </c>
      <c r="W175" s="228">
        <v>-2.2000000000000002</v>
      </c>
      <c r="X175" s="229">
        <v>-6.8999999999999999E-3</v>
      </c>
      <c r="Y175" s="228">
        <v>1.1000000000000001</v>
      </c>
      <c r="Z175" s="228">
        <v>0.05</v>
      </c>
      <c r="AA175" s="228">
        <v>1.05</v>
      </c>
      <c r="AB175" s="229">
        <v>3.5000000000000001E-3</v>
      </c>
      <c r="AC175" s="228">
        <v>1.1000000000000001</v>
      </c>
      <c r="AD175" s="228">
        <v>0.05</v>
      </c>
      <c r="AE175" s="228">
        <v>1.05</v>
      </c>
      <c r="AF175" s="229">
        <v>3.5000000000000001E-3</v>
      </c>
      <c r="AG175" s="228">
        <v>2.65</v>
      </c>
      <c r="AH175" s="228">
        <v>2.1</v>
      </c>
      <c r="AI175" s="228">
        <v>0.55000000000000004</v>
      </c>
      <c r="AJ175" s="229">
        <v>8.3999999999999995E-3</v>
      </c>
      <c r="AK175" s="228">
        <v>1.95</v>
      </c>
      <c r="AL175" s="228">
        <v>3.8</v>
      </c>
      <c r="AM175" s="228">
        <v>-1.85</v>
      </c>
      <c r="AN175" s="229">
        <v>6.1999999999999998E-3</v>
      </c>
      <c r="AO175" s="228">
        <v>315.42</v>
      </c>
      <c r="AP175" s="228">
        <v>317.63</v>
      </c>
      <c r="AQ175" s="228">
        <v>0</v>
      </c>
      <c r="AR175" s="230">
        <v>7807325</v>
      </c>
      <c r="AS175" s="230">
        <v>9350375</v>
      </c>
      <c r="AT175" s="230">
        <v>-1543050</v>
      </c>
      <c r="AU175" s="229">
        <v>-0.16500000000000001</v>
      </c>
      <c r="AV175" s="230">
        <v>7118350</v>
      </c>
      <c r="AW175" s="230">
        <v>8445500</v>
      </c>
      <c r="AX175" s="230">
        <v>-1327150</v>
      </c>
      <c r="AY175" s="229">
        <v>-0.15709999999999999</v>
      </c>
      <c r="AZ175" s="230">
        <v>657225</v>
      </c>
      <c r="BA175" s="230">
        <v>876300</v>
      </c>
      <c r="BB175" s="230">
        <v>-219075</v>
      </c>
      <c r="BC175" s="229">
        <v>-0.25</v>
      </c>
      <c r="BD175" s="230">
        <v>31750</v>
      </c>
      <c r="BE175" s="230">
        <v>28575</v>
      </c>
      <c r="BF175" s="230">
        <v>3175</v>
      </c>
      <c r="BG175" s="229">
        <v>0.1111</v>
      </c>
      <c r="BH175" s="230">
        <v>34442400</v>
      </c>
      <c r="BI175" s="230">
        <v>23698200</v>
      </c>
      <c r="BJ175" s="230">
        <v>10744200</v>
      </c>
      <c r="BK175" s="229">
        <v>0.45340000000000003</v>
      </c>
      <c r="BL175" s="230">
        <v>13430250</v>
      </c>
      <c r="BM175" s="230">
        <v>13614400</v>
      </c>
      <c r="BN175" s="230">
        <v>-184150</v>
      </c>
      <c r="BO175" s="229">
        <v>-1.35E-2</v>
      </c>
      <c r="BP175" s="230">
        <v>55679975</v>
      </c>
      <c r="BQ175" s="230">
        <v>46662975</v>
      </c>
      <c r="BR175" s="230">
        <v>9017000</v>
      </c>
      <c r="BS175" s="229">
        <v>0.19320000000000001</v>
      </c>
      <c r="BT175" s="230">
        <v>3345655</v>
      </c>
      <c r="BU175" s="230">
        <v>3111149</v>
      </c>
      <c r="BV175" s="230">
        <v>234506</v>
      </c>
      <c r="BW175" s="229">
        <v>7.5399999999999995E-2</v>
      </c>
      <c r="BX175" s="230">
        <v>61518800</v>
      </c>
      <c r="BY175" s="230">
        <v>61829950</v>
      </c>
      <c r="BZ175" s="230">
        <v>-311150</v>
      </c>
      <c r="CA175" s="229">
        <v>-5.0000000000000001E-3</v>
      </c>
      <c r="CB175" s="230">
        <v>60182125</v>
      </c>
      <c r="CC175" s="230">
        <v>60693300</v>
      </c>
      <c r="CD175" s="230">
        <v>-511175</v>
      </c>
      <c r="CE175" s="229">
        <v>-8.3999999999999995E-3</v>
      </c>
      <c r="CF175" s="230">
        <v>1216025</v>
      </c>
      <c r="CG175" s="230">
        <v>1031875</v>
      </c>
      <c r="CH175" s="230">
        <v>184150</v>
      </c>
      <c r="CI175" s="229">
        <v>0.17849999999999999</v>
      </c>
      <c r="CJ175" s="230">
        <v>120650</v>
      </c>
      <c r="CK175" s="230">
        <v>104775</v>
      </c>
      <c r="CL175" s="230">
        <v>15875</v>
      </c>
      <c r="CM175" s="229">
        <v>0.1515</v>
      </c>
      <c r="CN175" s="230">
        <v>30740350</v>
      </c>
      <c r="CO175" s="230">
        <v>31105475</v>
      </c>
      <c r="CP175" s="230">
        <v>-365125</v>
      </c>
      <c r="CQ175" s="229">
        <v>-1.17E-2</v>
      </c>
      <c r="CR175" s="230">
        <v>27689175</v>
      </c>
      <c r="CS175" s="230">
        <v>27254200</v>
      </c>
      <c r="CT175" s="230">
        <v>434975</v>
      </c>
      <c r="CU175" s="229">
        <v>1.6E-2</v>
      </c>
      <c r="CV175" s="230">
        <v>119948325</v>
      </c>
      <c r="CW175" s="230">
        <v>120189625</v>
      </c>
      <c r="CX175" s="230">
        <v>-241300</v>
      </c>
      <c r="CY175" s="229">
        <v>-2E-3</v>
      </c>
      <c r="CZ175" s="228">
        <v>31.87</v>
      </c>
      <c r="DA175" s="228">
        <v>34.83</v>
      </c>
      <c r="DB175" s="228">
        <v>-2.96</v>
      </c>
      <c r="DC175" s="228">
        <v>-2.96</v>
      </c>
      <c r="DD175" s="228">
        <v>43.19</v>
      </c>
      <c r="DE175" s="228">
        <v>43.3</v>
      </c>
      <c r="DF175" s="228">
        <v>-11.32</v>
      </c>
      <c r="DG175" s="228">
        <v>-0.11</v>
      </c>
      <c r="DH175" s="228">
        <v>31.67</v>
      </c>
      <c r="DI175" s="228">
        <v>34.99</v>
      </c>
      <c r="DJ175" s="228">
        <v>-3.32</v>
      </c>
      <c r="DK175" s="228">
        <v>-3.32</v>
      </c>
      <c r="DL175" s="228">
        <v>32.39</v>
      </c>
      <c r="DM175" s="228">
        <v>34.57</v>
      </c>
      <c r="DN175" s="228">
        <v>-2.1800000000000002</v>
      </c>
      <c r="DO175" s="228">
        <v>-2.1800000000000002</v>
      </c>
      <c r="DP175" s="228">
        <v>0.9</v>
      </c>
      <c r="DQ175" s="228">
        <v>0.88</v>
      </c>
      <c r="DR175" s="228">
        <v>0.02</v>
      </c>
      <c r="DS175" s="229">
        <v>2.2700000000000001E-2</v>
      </c>
      <c r="DT175" s="228">
        <v>300</v>
      </c>
      <c r="DU175" s="228">
        <v>280</v>
      </c>
      <c r="DV175" s="228">
        <v>0.39</v>
      </c>
      <c r="DW175" s="228">
        <v>0.56999999999999995</v>
      </c>
      <c r="DX175" s="228">
        <v>-0.18</v>
      </c>
      <c r="DY175" s="229">
        <v>-0.31580000000000003</v>
      </c>
      <c r="DZ175" s="229">
        <v>2.1700000000000001E-2</v>
      </c>
      <c r="EA175" s="230">
        <v>1136650</v>
      </c>
      <c r="EB175" s="229">
        <v>4.8999999999999998E-3</v>
      </c>
      <c r="EC175" s="229">
        <v>2.1700000000000001E-2</v>
      </c>
      <c r="ED175" s="228">
        <v>2.21</v>
      </c>
      <c r="EE175" s="229">
        <v>7.0000000000000001E-3</v>
      </c>
      <c r="EF175" s="230">
        <v>1368788</v>
      </c>
      <c r="EG175" s="230">
        <v>1289065</v>
      </c>
      <c r="EH175" s="229">
        <v>6.1800000000000001E-2</v>
      </c>
      <c r="EI175" s="229">
        <v>0.40910000000000002</v>
      </c>
      <c r="EJ175" s="231">
        <v>112841.23</v>
      </c>
      <c r="EK175" s="231">
        <v>42048.52</v>
      </c>
      <c r="EL175" s="231">
        <v>24641.32</v>
      </c>
      <c r="EM175" s="231">
        <v>3017</v>
      </c>
      <c r="EN175" s="231">
        <v>179531.07</v>
      </c>
      <c r="EO175" s="231">
        <v>151812</v>
      </c>
      <c r="EP175" s="231">
        <v>27719.07</v>
      </c>
      <c r="EQ175" s="229">
        <v>0.18260000000000001</v>
      </c>
      <c r="ER175" s="231">
        <v>97798</v>
      </c>
      <c r="ES175" s="231">
        <v>82960</v>
      </c>
      <c r="ET175" s="231">
        <v>194819</v>
      </c>
      <c r="EU175" s="231">
        <v>92573471</v>
      </c>
      <c r="EV175" s="231">
        <v>375578</v>
      </c>
      <c r="EW175" s="231">
        <v>375696</v>
      </c>
      <c r="EX175" s="228">
        <v>-118</v>
      </c>
      <c r="EY175" s="229">
        <v>-2.9999999999999997E-4</v>
      </c>
      <c r="EZ175" s="229">
        <v>1.2957000000000001</v>
      </c>
      <c r="FA175" s="227" t="s">
        <v>693</v>
      </c>
      <c r="FB175" s="161">
        <f t="shared" si="4"/>
        <v>0</v>
      </c>
    </row>
    <row r="176" spans="1:158" ht="17.25" thickBot="1" x14ac:dyDescent="0.3">
      <c r="A176" s="226">
        <v>46129</v>
      </c>
      <c r="B176" s="227" t="s">
        <v>175</v>
      </c>
      <c r="C176" s="227" t="s">
        <v>280</v>
      </c>
      <c r="D176" s="228">
        <v>1400</v>
      </c>
      <c r="E176" s="228">
        <v>374.45</v>
      </c>
      <c r="F176" s="228">
        <v>365.15</v>
      </c>
      <c r="G176" s="228">
        <v>9.3000000000000007</v>
      </c>
      <c r="H176" s="229">
        <v>2.5499999999999998E-2</v>
      </c>
      <c r="I176" s="228">
        <v>373.3</v>
      </c>
      <c r="J176" s="228">
        <v>364.2</v>
      </c>
      <c r="K176" s="228">
        <v>9.1</v>
      </c>
      <c r="L176" s="229">
        <v>2.5000000000000001E-2</v>
      </c>
      <c r="M176" s="228">
        <v>374.45</v>
      </c>
      <c r="N176" s="228">
        <v>365.15</v>
      </c>
      <c r="O176" s="228">
        <v>9.3000000000000007</v>
      </c>
      <c r="P176" s="229">
        <v>2.5499999999999998E-2</v>
      </c>
      <c r="Q176" s="228">
        <v>376.5</v>
      </c>
      <c r="R176" s="228">
        <v>367.2</v>
      </c>
      <c r="S176" s="228">
        <v>9.3000000000000007</v>
      </c>
      <c r="T176" s="229">
        <v>2.53E-2</v>
      </c>
      <c r="U176" s="228">
        <v>378.35</v>
      </c>
      <c r="V176" s="228">
        <v>369.6</v>
      </c>
      <c r="W176" s="228">
        <v>8.75</v>
      </c>
      <c r="X176" s="229">
        <v>2.3699999999999999E-2</v>
      </c>
      <c r="Y176" s="228">
        <v>1.1499999999999999</v>
      </c>
      <c r="Z176" s="228">
        <v>0.95</v>
      </c>
      <c r="AA176" s="228">
        <v>0.2</v>
      </c>
      <c r="AB176" s="229">
        <v>3.0999999999999999E-3</v>
      </c>
      <c r="AC176" s="228">
        <v>1.1499999999999999</v>
      </c>
      <c r="AD176" s="228">
        <v>0.95</v>
      </c>
      <c r="AE176" s="228">
        <v>0.2</v>
      </c>
      <c r="AF176" s="229">
        <v>3.0999999999999999E-3</v>
      </c>
      <c r="AG176" s="228">
        <v>3.2</v>
      </c>
      <c r="AH176" s="228">
        <v>3</v>
      </c>
      <c r="AI176" s="228">
        <v>0.2</v>
      </c>
      <c r="AJ176" s="229">
        <v>8.6E-3</v>
      </c>
      <c r="AK176" s="228">
        <v>5.05</v>
      </c>
      <c r="AL176" s="228">
        <v>5.4</v>
      </c>
      <c r="AM176" s="228">
        <v>-0.35</v>
      </c>
      <c r="AN176" s="229">
        <v>1.35E-2</v>
      </c>
      <c r="AO176" s="228">
        <v>372.92</v>
      </c>
      <c r="AP176" s="228">
        <v>374.75</v>
      </c>
      <c r="AQ176" s="228">
        <v>0</v>
      </c>
      <c r="AR176" s="230">
        <v>15696800</v>
      </c>
      <c r="AS176" s="230">
        <v>16634800</v>
      </c>
      <c r="AT176" s="230">
        <v>-938000</v>
      </c>
      <c r="AU176" s="229">
        <v>-5.6399999999999999E-2</v>
      </c>
      <c r="AV176" s="230">
        <v>11600400</v>
      </c>
      <c r="AW176" s="230">
        <v>13717200</v>
      </c>
      <c r="AX176" s="230">
        <v>-2116800</v>
      </c>
      <c r="AY176" s="229">
        <v>-0.15429999999999999</v>
      </c>
      <c r="AZ176" s="230">
        <v>2359000</v>
      </c>
      <c r="BA176" s="230">
        <v>2685200</v>
      </c>
      <c r="BB176" s="230">
        <v>-326200</v>
      </c>
      <c r="BC176" s="229">
        <v>-0.1215</v>
      </c>
      <c r="BD176" s="230">
        <v>1737400</v>
      </c>
      <c r="BE176" s="230">
        <v>232400</v>
      </c>
      <c r="BF176" s="230">
        <v>1505000</v>
      </c>
      <c r="BG176" s="229">
        <v>6.4759000000000002</v>
      </c>
      <c r="BH176" s="230">
        <v>54629400</v>
      </c>
      <c r="BI176" s="230">
        <v>108798200</v>
      </c>
      <c r="BJ176" s="230">
        <v>-54168800</v>
      </c>
      <c r="BK176" s="229">
        <v>-0.49790000000000001</v>
      </c>
      <c r="BL176" s="230">
        <v>32384800</v>
      </c>
      <c r="BM176" s="230">
        <v>44825200</v>
      </c>
      <c r="BN176" s="230">
        <v>-12440400</v>
      </c>
      <c r="BO176" s="229">
        <v>-0.27750000000000002</v>
      </c>
      <c r="BP176" s="230">
        <v>102711000</v>
      </c>
      <c r="BQ176" s="230">
        <v>170258200</v>
      </c>
      <c r="BR176" s="230">
        <v>-67547200</v>
      </c>
      <c r="BS176" s="229">
        <v>-0.3967</v>
      </c>
      <c r="BT176" s="230">
        <v>15535938</v>
      </c>
      <c r="BU176" s="230">
        <v>22980292</v>
      </c>
      <c r="BV176" s="230">
        <v>-7444354</v>
      </c>
      <c r="BW176" s="229">
        <v>-0.32390000000000002</v>
      </c>
      <c r="BX176" s="230">
        <v>67349800</v>
      </c>
      <c r="BY176" s="230">
        <v>67244800</v>
      </c>
      <c r="BZ176" s="230">
        <v>105000</v>
      </c>
      <c r="CA176" s="229">
        <v>1.6000000000000001E-3</v>
      </c>
      <c r="CB176" s="230">
        <v>58644600</v>
      </c>
      <c r="CC176" s="230">
        <v>60781000</v>
      </c>
      <c r="CD176" s="230">
        <v>-2136400</v>
      </c>
      <c r="CE176" s="229">
        <v>-3.5099999999999999E-2</v>
      </c>
      <c r="CF176" s="230">
        <v>7005600</v>
      </c>
      <c r="CG176" s="230">
        <v>6227200</v>
      </c>
      <c r="CH176" s="230">
        <v>778400</v>
      </c>
      <c r="CI176" s="229">
        <v>0.125</v>
      </c>
      <c r="CJ176" s="230">
        <v>1699600</v>
      </c>
      <c r="CK176" s="230">
        <v>236600</v>
      </c>
      <c r="CL176" s="230">
        <v>1463000</v>
      </c>
      <c r="CM176" s="229">
        <v>6.1833999999999998</v>
      </c>
      <c r="CN176" s="230">
        <v>27228600</v>
      </c>
      <c r="CO176" s="230">
        <v>28714000</v>
      </c>
      <c r="CP176" s="230">
        <v>-1485400</v>
      </c>
      <c r="CQ176" s="229">
        <v>-5.1700000000000003E-2</v>
      </c>
      <c r="CR176" s="230">
        <v>25022200</v>
      </c>
      <c r="CS176" s="230">
        <v>23819600</v>
      </c>
      <c r="CT176" s="230">
        <v>1202600</v>
      </c>
      <c r="CU176" s="229">
        <v>5.0500000000000003E-2</v>
      </c>
      <c r="CV176" s="230">
        <v>119600600</v>
      </c>
      <c r="CW176" s="230">
        <v>119778400</v>
      </c>
      <c r="CX176" s="230">
        <v>-177800</v>
      </c>
      <c r="CY176" s="229">
        <v>-1.5E-3</v>
      </c>
      <c r="CZ176" s="228">
        <v>33.53</v>
      </c>
      <c r="DA176" s="228">
        <v>33.9</v>
      </c>
      <c r="DB176" s="228">
        <v>-0.37</v>
      </c>
      <c r="DC176" s="228">
        <v>-0.37</v>
      </c>
      <c r="DD176" s="228">
        <v>42.81</v>
      </c>
      <c r="DE176" s="228">
        <v>42.78</v>
      </c>
      <c r="DF176" s="228">
        <v>-9.2799999999999994</v>
      </c>
      <c r="DG176" s="228">
        <v>0.03</v>
      </c>
      <c r="DH176" s="228">
        <v>31.48</v>
      </c>
      <c r="DI176" s="228">
        <v>32.840000000000003</v>
      </c>
      <c r="DJ176" s="228">
        <v>-1.36</v>
      </c>
      <c r="DK176" s="228">
        <v>-1.36</v>
      </c>
      <c r="DL176" s="228">
        <v>36.979999999999997</v>
      </c>
      <c r="DM176" s="228">
        <v>36.46</v>
      </c>
      <c r="DN176" s="228">
        <v>0.52</v>
      </c>
      <c r="DO176" s="228">
        <v>0.52</v>
      </c>
      <c r="DP176" s="228">
        <v>0.92</v>
      </c>
      <c r="DQ176" s="228">
        <v>0.83</v>
      </c>
      <c r="DR176" s="228">
        <v>0.09</v>
      </c>
      <c r="DS176" s="229">
        <v>0.1084</v>
      </c>
      <c r="DT176" s="228">
        <v>380</v>
      </c>
      <c r="DU176" s="228">
        <v>330</v>
      </c>
      <c r="DV176" s="228">
        <v>0.59</v>
      </c>
      <c r="DW176" s="228">
        <v>0.41</v>
      </c>
      <c r="DX176" s="228">
        <v>0.18</v>
      </c>
      <c r="DY176" s="229">
        <v>0.439</v>
      </c>
      <c r="DZ176" s="229">
        <v>0.1293</v>
      </c>
      <c r="EA176" s="230">
        <v>6463800</v>
      </c>
      <c r="EB176" s="229">
        <v>5.4999999999999997E-3</v>
      </c>
      <c r="EC176" s="229">
        <v>0.1293</v>
      </c>
      <c r="ED176" s="228">
        <v>1.83</v>
      </c>
      <c r="EE176" s="229">
        <v>4.8999999999999998E-3</v>
      </c>
      <c r="EF176" s="230">
        <v>7778504</v>
      </c>
      <c r="EG176" s="230">
        <v>9712518</v>
      </c>
      <c r="EH176" s="229">
        <v>-0.1991</v>
      </c>
      <c r="EI176" s="229">
        <v>0.50070000000000003</v>
      </c>
      <c r="EJ176" s="231">
        <v>211031.26</v>
      </c>
      <c r="EK176" s="231">
        <v>115991.56</v>
      </c>
      <c r="EL176" s="231">
        <v>58685.23</v>
      </c>
      <c r="EM176" s="231">
        <v>6924</v>
      </c>
      <c r="EN176" s="231">
        <v>385708.05</v>
      </c>
      <c r="EO176" s="231">
        <v>633794.05000000005</v>
      </c>
      <c r="EP176" s="231">
        <v>-248086</v>
      </c>
      <c r="EQ176" s="229">
        <v>-0.39140000000000003</v>
      </c>
      <c r="ER176" s="231">
        <v>98239</v>
      </c>
      <c r="ES176" s="231">
        <v>85023</v>
      </c>
      <c r="ET176" s="231">
        <v>252401</v>
      </c>
      <c r="EU176" s="231">
        <v>187084550</v>
      </c>
      <c r="EV176" s="231">
        <v>435663</v>
      </c>
      <c r="EW176" s="231">
        <v>428969</v>
      </c>
      <c r="EX176" s="231">
        <v>6694</v>
      </c>
      <c r="EY176" s="229">
        <v>1.5599999999999999E-2</v>
      </c>
      <c r="EZ176" s="229">
        <v>0.63929999999999998</v>
      </c>
      <c r="FA176" s="227" t="s">
        <v>555</v>
      </c>
      <c r="FB176" s="161">
        <f t="shared" si="4"/>
        <v>0</v>
      </c>
    </row>
    <row r="177" spans="1:158" ht="17.25" thickBot="1" x14ac:dyDescent="0.3">
      <c r="A177" s="226">
        <v>46129</v>
      </c>
      <c r="B177" s="227" t="s">
        <v>193</v>
      </c>
      <c r="C177" s="227" t="s">
        <v>281</v>
      </c>
      <c r="D177" s="228">
        <v>500</v>
      </c>
      <c r="E177" s="231">
        <v>1366.3</v>
      </c>
      <c r="F177" s="231">
        <v>1344.6</v>
      </c>
      <c r="G177" s="228">
        <v>21.7</v>
      </c>
      <c r="H177" s="229">
        <v>1.61E-2</v>
      </c>
      <c r="I177" s="231">
        <v>1365</v>
      </c>
      <c r="J177" s="231">
        <v>1343.3</v>
      </c>
      <c r="K177" s="228">
        <v>21.7</v>
      </c>
      <c r="L177" s="229">
        <v>1.6199999999999999E-2</v>
      </c>
      <c r="M177" s="231">
        <v>1366.3</v>
      </c>
      <c r="N177" s="231">
        <v>1344.6</v>
      </c>
      <c r="O177" s="228">
        <v>21.7</v>
      </c>
      <c r="P177" s="229">
        <v>1.61E-2</v>
      </c>
      <c r="Q177" s="231">
        <v>1373.6</v>
      </c>
      <c r="R177" s="231">
        <v>1352.4</v>
      </c>
      <c r="S177" s="228">
        <v>21.2</v>
      </c>
      <c r="T177" s="229">
        <v>1.5699999999999999E-2</v>
      </c>
      <c r="U177" s="231">
        <v>1383.2</v>
      </c>
      <c r="V177" s="231">
        <v>1359.6</v>
      </c>
      <c r="W177" s="228">
        <v>23.6</v>
      </c>
      <c r="X177" s="229">
        <v>1.7399999999999999E-2</v>
      </c>
      <c r="Y177" s="228">
        <v>1.3</v>
      </c>
      <c r="Z177" s="228">
        <v>1.3</v>
      </c>
      <c r="AA177" s="228">
        <v>0</v>
      </c>
      <c r="AB177" s="229">
        <v>1E-3</v>
      </c>
      <c r="AC177" s="228">
        <v>1.3</v>
      </c>
      <c r="AD177" s="228">
        <v>1.3</v>
      </c>
      <c r="AE177" s="228">
        <v>0</v>
      </c>
      <c r="AF177" s="229">
        <v>1E-3</v>
      </c>
      <c r="AG177" s="228">
        <v>8.6</v>
      </c>
      <c r="AH177" s="228">
        <v>9.1</v>
      </c>
      <c r="AI177" s="228">
        <v>-0.5</v>
      </c>
      <c r="AJ177" s="229">
        <v>6.3E-3</v>
      </c>
      <c r="AK177" s="228">
        <v>18.2</v>
      </c>
      <c r="AL177" s="228">
        <v>16.3</v>
      </c>
      <c r="AM177" s="228">
        <v>1.9</v>
      </c>
      <c r="AN177" s="229">
        <v>1.3299999999999999E-2</v>
      </c>
      <c r="AO177" s="231">
        <v>1361.42</v>
      </c>
      <c r="AP177" s="231">
        <v>1368.43</v>
      </c>
      <c r="AQ177" s="228">
        <v>0</v>
      </c>
      <c r="AR177" s="230">
        <v>13348500</v>
      </c>
      <c r="AS177" s="230">
        <v>15707000</v>
      </c>
      <c r="AT177" s="230">
        <v>-2358500</v>
      </c>
      <c r="AU177" s="229">
        <v>-0.1502</v>
      </c>
      <c r="AV177" s="230">
        <v>10753000</v>
      </c>
      <c r="AW177" s="230">
        <v>11937000</v>
      </c>
      <c r="AX177" s="230">
        <v>-1184000</v>
      </c>
      <c r="AY177" s="229">
        <v>-9.9199999999999997E-2</v>
      </c>
      <c r="AZ177" s="230">
        <v>1706000</v>
      </c>
      <c r="BA177" s="230">
        <v>1658000</v>
      </c>
      <c r="BB177" s="230">
        <v>48000</v>
      </c>
      <c r="BC177" s="229">
        <v>2.9000000000000001E-2</v>
      </c>
      <c r="BD177" s="230">
        <v>889500</v>
      </c>
      <c r="BE177" s="230">
        <v>2112000</v>
      </c>
      <c r="BF177" s="230">
        <v>-1222500</v>
      </c>
      <c r="BG177" s="229">
        <v>-0.57879999999999998</v>
      </c>
      <c r="BH177" s="230">
        <v>103088000</v>
      </c>
      <c r="BI177" s="230">
        <v>68833500</v>
      </c>
      <c r="BJ177" s="230">
        <v>34254500</v>
      </c>
      <c r="BK177" s="229">
        <v>0.49759999999999999</v>
      </c>
      <c r="BL177" s="230">
        <v>49570500</v>
      </c>
      <c r="BM177" s="230">
        <v>35347000</v>
      </c>
      <c r="BN177" s="230">
        <v>14223500</v>
      </c>
      <c r="BO177" s="229">
        <v>0.40239999999999998</v>
      </c>
      <c r="BP177" s="230">
        <v>166007000</v>
      </c>
      <c r="BQ177" s="230">
        <v>119887500</v>
      </c>
      <c r="BR177" s="230">
        <v>46119500</v>
      </c>
      <c r="BS177" s="229">
        <v>0.38469999999999999</v>
      </c>
      <c r="BT177" s="230">
        <v>15236906</v>
      </c>
      <c r="BU177" s="230">
        <v>34114712</v>
      </c>
      <c r="BV177" s="230">
        <v>-18877806</v>
      </c>
      <c r="BW177" s="229">
        <v>-0.5534</v>
      </c>
      <c r="BX177" s="230">
        <v>96256500</v>
      </c>
      <c r="BY177" s="230">
        <v>96258000</v>
      </c>
      <c r="BZ177" s="230">
        <v>-1500</v>
      </c>
      <c r="CA177" s="229">
        <v>0</v>
      </c>
      <c r="CB177" s="230">
        <v>76190500</v>
      </c>
      <c r="CC177" s="230">
        <v>77135000</v>
      </c>
      <c r="CD177" s="230">
        <v>-944500</v>
      </c>
      <c r="CE177" s="229">
        <v>-1.2200000000000001E-2</v>
      </c>
      <c r="CF177" s="230">
        <v>15668500</v>
      </c>
      <c r="CG177" s="230">
        <v>15337500</v>
      </c>
      <c r="CH177" s="230">
        <v>331000</v>
      </c>
      <c r="CI177" s="229">
        <v>2.1600000000000001E-2</v>
      </c>
      <c r="CJ177" s="230">
        <v>4397500</v>
      </c>
      <c r="CK177" s="230">
        <v>3785500</v>
      </c>
      <c r="CL177" s="230">
        <v>612000</v>
      </c>
      <c r="CM177" s="229">
        <v>0.16170000000000001</v>
      </c>
      <c r="CN177" s="230">
        <v>79750000</v>
      </c>
      <c r="CO177" s="230">
        <v>83854500</v>
      </c>
      <c r="CP177" s="230">
        <v>-4104500</v>
      </c>
      <c r="CQ177" s="229">
        <v>-4.8899999999999999E-2</v>
      </c>
      <c r="CR177" s="230">
        <v>38565000</v>
      </c>
      <c r="CS177" s="230">
        <v>37956500</v>
      </c>
      <c r="CT177" s="230">
        <v>608500</v>
      </c>
      <c r="CU177" s="229">
        <v>1.6E-2</v>
      </c>
      <c r="CV177" s="230">
        <v>214571500</v>
      </c>
      <c r="CW177" s="230">
        <v>218069000</v>
      </c>
      <c r="CX177" s="230">
        <v>-3497500</v>
      </c>
      <c r="CY177" s="229">
        <v>-1.6E-2</v>
      </c>
      <c r="CZ177" s="228">
        <v>23.58</v>
      </c>
      <c r="DA177" s="228">
        <v>24.51</v>
      </c>
      <c r="DB177" s="228">
        <v>-0.93</v>
      </c>
      <c r="DC177" s="228">
        <v>-0.93</v>
      </c>
      <c r="DD177" s="228">
        <v>26.47</v>
      </c>
      <c r="DE177" s="228">
        <v>26.45</v>
      </c>
      <c r="DF177" s="228">
        <v>-2.89</v>
      </c>
      <c r="DG177" s="228">
        <v>0.02</v>
      </c>
      <c r="DH177" s="228">
        <v>23.11</v>
      </c>
      <c r="DI177" s="228">
        <v>24.5</v>
      </c>
      <c r="DJ177" s="228">
        <v>-1.39</v>
      </c>
      <c r="DK177" s="228">
        <v>-1.39</v>
      </c>
      <c r="DL177" s="228">
        <v>24.53</v>
      </c>
      <c r="DM177" s="228">
        <v>24.52</v>
      </c>
      <c r="DN177" s="228">
        <v>0.01</v>
      </c>
      <c r="DO177" s="228">
        <v>0.01</v>
      </c>
      <c r="DP177" s="228">
        <v>0.48</v>
      </c>
      <c r="DQ177" s="228">
        <v>0.45</v>
      </c>
      <c r="DR177" s="228">
        <v>0.03</v>
      </c>
      <c r="DS177" s="229">
        <v>6.6699999999999995E-2</v>
      </c>
      <c r="DT177" s="231">
        <v>1400</v>
      </c>
      <c r="DU177" s="231">
        <v>1300</v>
      </c>
      <c r="DV177" s="228">
        <v>0.48</v>
      </c>
      <c r="DW177" s="228">
        <v>0.51</v>
      </c>
      <c r="DX177" s="228">
        <v>-0.03</v>
      </c>
      <c r="DY177" s="229">
        <v>-5.8799999999999998E-2</v>
      </c>
      <c r="DZ177" s="229">
        <v>0.20849999999999999</v>
      </c>
      <c r="EA177" s="230">
        <v>19123000</v>
      </c>
      <c r="EB177" s="229">
        <v>5.3E-3</v>
      </c>
      <c r="EC177" s="229">
        <v>0.20849999999999999</v>
      </c>
      <c r="ED177" s="228">
        <v>7.01</v>
      </c>
      <c r="EE177" s="229">
        <v>5.1000000000000004E-3</v>
      </c>
      <c r="EF177" s="230">
        <v>7056605</v>
      </c>
      <c r="EG177" s="230">
        <v>8808298</v>
      </c>
      <c r="EH177" s="229">
        <v>-0.19889999999999999</v>
      </c>
      <c r="EI177" s="229">
        <v>0.46310000000000001</v>
      </c>
      <c r="EJ177" s="231">
        <v>1453529.36</v>
      </c>
      <c r="EK177" s="231">
        <v>661994.88</v>
      </c>
      <c r="EL177" s="231">
        <v>182014.22</v>
      </c>
      <c r="EM177" s="231">
        <v>27026</v>
      </c>
      <c r="EN177" s="231">
        <v>2297538.46</v>
      </c>
      <c r="EO177" s="231">
        <v>1644124.8</v>
      </c>
      <c r="EP177" s="231">
        <v>653413.66</v>
      </c>
      <c r="EQ177" s="229">
        <v>0.39739999999999998</v>
      </c>
      <c r="ER177" s="231">
        <v>1118835</v>
      </c>
      <c r="ES177" s="231">
        <v>517622</v>
      </c>
      <c r="ET177" s="231">
        <v>1317040</v>
      </c>
      <c r="EU177" s="231">
        <v>664381721</v>
      </c>
      <c r="EV177" s="231">
        <v>2953496</v>
      </c>
      <c r="EW177" s="231">
        <v>2978218</v>
      </c>
      <c r="EX177" s="231">
        <v>-24722</v>
      </c>
      <c r="EY177" s="229">
        <v>-8.3000000000000001E-3</v>
      </c>
      <c r="EZ177" s="229">
        <v>0.32300000000000001</v>
      </c>
      <c r="FA177" s="227" t="s">
        <v>237</v>
      </c>
      <c r="FB177" s="161">
        <f t="shared" si="4"/>
        <v>0</v>
      </c>
    </row>
    <row r="178" spans="1:158" ht="17.25" thickBot="1" x14ac:dyDescent="0.3">
      <c r="A178" s="226">
        <v>46129</v>
      </c>
      <c r="B178" s="227" t="s">
        <v>215</v>
      </c>
      <c r="C178" s="227" t="s">
        <v>673</v>
      </c>
      <c r="D178" s="228">
        <v>1525</v>
      </c>
      <c r="E178" s="228">
        <v>299.66000000000003</v>
      </c>
      <c r="F178" s="228">
        <v>292.2</v>
      </c>
      <c r="G178" s="228">
        <v>7.46</v>
      </c>
      <c r="H178" s="229">
        <v>2.5499999999999998E-2</v>
      </c>
      <c r="I178" s="228">
        <v>303.06</v>
      </c>
      <c r="J178" s="228">
        <v>293.89</v>
      </c>
      <c r="K178" s="228">
        <v>9.17</v>
      </c>
      <c r="L178" s="229">
        <v>3.1199999999999999E-2</v>
      </c>
      <c r="M178" s="228">
        <v>299.66000000000003</v>
      </c>
      <c r="N178" s="228">
        <v>292.2</v>
      </c>
      <c r="O178" s="228">
        <v>7.46</v>
      </c>
      <c r="P178" s="229">
        <v>2.5499999999999998E-2</v>
      </c>
      <c r="Q178" s="228">
        <v>285.35000000000002</v>
      </c>
      <c r="R178" s="228">
        <v>279.33999999999997</v>
      </c>
      <c r="S178" s="228">
        <v>6.01</v>
      </c>
      <c r="T178" s="229">
        <v>2.1499999999999998E-2</v>
      </c>
      <c r="U178" s="228">
        <v>278.02999999999997</v>
      </c>
      <c r="V178" s="228">
        <v>272.45</v>
      </c>
      <c r="W178" s="228">
        <v>5.58</v>
      </c>
      <c r="X178" s="229">
        <v>2.0500000000000001E-2</v>
      </c>
      <c r="Y178" s="228">
        <v>-3.4</v>
      </c>
      <c r="Z178" s="228">
        <v>-1.69</v>
      </c>
      <c r="AA178" s="228">
        <v>-1.71</v>
      </c>
      <c r="AB178" s="229">
        <v>-1.12E-2</v>
      </c>
      <c r="AC178" s="228">
        <v>-3.4</v>
      </c>
      <c r="AD178" s="228">
        <v>-1.69</v>
      </c>
      <c r="AE178" s="228">
        <v>-1.71</v>
      </c>
      <c r="AF178" s="229">
        <v>-1.12E-2</v>
      </c>
      <c r="AG178" s="228">
        <v>-17.71</v>
      </c>
      <c r="AH178" s="228">
        <v>-14.55</v>
      </c>
      <c r="AI178" s="228">
        <v>-3.16</v>
      </c>
      <c r="AJ178" s="229">
        <v>-5.8400000000000001E-2</v>
      </c>
      <c r="AK178" s="228">
        <v>-25.03</v>
      </c>
      <c r="AL178" s="228">
        <v>-21.44</v>
      </c>
      <c r="AM178" s="228">
        <v>-3.59</v>
      </c>
      <c r="AN178" s="229">
        <v>-8.2600000000000007E-2</v>
      </c>
      <c r="AO178" s="228">
        <v>300.24</v>
      </c>
      <c r="AP178" s="228">
        <v>285.68</v>
      </c>
      <c r="AQ178" s="228">
        <v>0</v>
      </c>
      <c r="AR178" s="230">
        <v>27189225</v>
      </c>
      <c r="AS178" s="230">
        <v>15789850</v>
      </c>
      <c r="AT178" s="230">
        <v>11399375</v>
      </c>
      <c r="AU178" s="229">
        <v>0.72189999999999999</v>
      </c>
      <c r="AV178" s="230">
        <v>17930950</v>
      </c>
      <c r="AW178" s="230">
        <v>10970850</v>
      </c>
      <c r="AX178" s="230">
        <v>6960100</v>
      </c>
      <c r="AY178" s="229">
        <v>0.63439999999999996</v>
      </c>
      <c r="AZ178" s="230">
        <v>8096225</v>
      </c>
      <c r="BA178" s="230">
        <v>4093100</v>
      </c>
      <c r="BB178" s="230">
        <v>4003125</v>
      </c>
      <c r="BC178" s="229">
        <v>0.97799999999999998</v>
      </c>
      <c r="BD178" s="230">
        <v>1162050</v>
      </c>
      <c r="BE178" s="230">
        <v>725900</v>
      </c>
      <c r="BF178" s="230">
        <v>436150</v>
      </c>
      <c r="BG178" s="229">
        <v>0.6008</v>
      </c>
      <c r="BH178" s="230">
        <v>117882500</v>
      </c>
      <c r="BI178" s="230">
        <v>48308950</v>
      </c>
      <c r="BJ178" s="230">
        <v>69573550</v>
      </c>
      <c r="BK178" s="229">
        <v>1.4401999999999999</v>
      </c>
      <c r="BL178" s="230">
        <v>35575200</v>
      </c>
      <c r="BM178" s="230">
        <v>13653325</v>
      </c>
      <c r="BN178" s="230">
        <v>21921875</v>
      </c>
      <c r="BO178" s="229">
        <v>1.6055999999999999</v>
      </c>
      <c r="BP178" s="230">
        <v>180646925</v>
      </c>
      <c r="BQ178" s="230">
        <v>77752125</v>
      </c>
      <c r="BR178" s="230">
        <v>102894800</v>
      </c>
      <c r="BS178" s="229">
        <v>1.3233999999999999</v>
      </c>
      <c r="BT178" s="230">
        <v>40222724</v>
      </c>
      <c r="BU178" s="230">
        <v>17458790</v>
      </c>
      <c r="BV178" s="230">
        <v>22763934</v>
      </c>
      <c r="BW178" s="229">
        <v>1.3039000000000001</v>
      </c>
      <c r="BX178" s="230">
        <v>65759525</v>
      </c>
      <c r="BY178" s="230">
        <v>59159325</v>
      </c>
      <c r="BZ178" s="230">
        <v>6600200</v>
      </c>
      <c r="CA178" s="229">
        <v>0.1116</v>
      </c>
      <c r="CB178" s="230">
        <v>49888850</v>
      </c>
      <c r="CC178" s="230">
        <v>46218175</v>
      </c>
      <c r="CD178" s="230">
        <v>3670675</v>
      </c>
      <c r="CE178" s="229">
        <v>7.9399999999999998E-2</v>
      </c>
      <c r="CF178" s="230">
        <v>13906475</v>
      </c>
      <c r="CG178" s="230">
        <v>11513750</v>
      </c>
      <c r="CH178" s="230">
        <v>2392725</v>
      </c>
      <c r="CI178" s="229">
        <v>0.20780000000000001</v>
      </c>
      <c r="CJ178" s="230">
        <v>1964200</v>
      </c>
      <c r="CK178" s="230">
        <v>1427400</v>
      </c>
      <c r="CL178" s="230">
        <v>536800</v>
      </c>
      <c r="CM178" s="229">
        <v>0.37609999999999999</v>
      </c>
      <c r="CN178" s="230">
        <v>24621125</v>
      </c>
      <c r="CO178" s="230">
        <v>18868825</v>
      </c>
      <c r="CP178" s="230">
        <v>5752300</v>
      </c>
      <c r="CQ178" s="229">
        <v>0.3049</v>
      </c>
      <c r="CR178" s="230">
        <v>16265650</v>
      </c>
      <c r="CS178" s="230">
        <v>13552675</v>
      </c>
      <c r="CT178" s="230">
        <v>2712975</v>
      </c>
      <c r="CU178" s="229">
        <v>0.20019999999999999</v>
      </c>
      <c r="CV178" s="230">
        <v>106646300</v>
      </c>
      <c r="CW178" s="230">
        <v>91580825</v>
      </c>
      <c r="CX178" s="230">
        <v>15065475</v>
      </c>
      <c r="CY178" s="229">
        <v>0.16450000000000001</v>
      </c>
      <c r="CZ178" s="228">
        <v>45.66</v>
      </c>
      <c r="DA178" s="228">
        <v>43.44</v>
      </c>
      <c r="DB178" s="228">
        <v>2.2200000000000002</v>
      </c>
      <c r="DC178" s="228">
        <v>2.2200000000000002</v>
      </c>
      <c r="DD178" s="228">
        <v>58.38</v>
      </c>
      <c r="DE178" s="228">
        <v>58.43</v>
      </c>
      <c r="DF178" s="228">
        <v>-12.72</v>
      </c>
      <c r="DG178" s="228">
        <v>-0.05</v>
      </c>
      <c r="DH178" s="228">
        <v>45.43</v>
      </c>
      <c r="DI178" s="228">
        <v>42.88</v>
      </c>
      <c r="DJ178" s="228">
        <v>2.5499999999999998</v>
      </c>
      <c r="DK178" s="228">
        <v>2.5499999999999998</v>
      </c>
      <c r="DL178" s="228">
        <v>46.43</v>
      </c>
      <c r="DM178" s="228">
        <v>45.43</v>
      </c>
      <c r="DN178" s="228">
        <v>1</v>
      </c>
      <c r="DO178" s="228">
        <v>1</v>
      </c>
      <c r="DP178" s="228">
        <v>0.66</v>
      </c>
      <c r="DQ178" s="228">
        <v>0.72</v>
      </c>
      <c r="DR178" s="228">
        <v>-0.06</v>
      </c>
      <c r="DS178" s="229">
        <v>-8.3299999999999999E-2</v>
      </c>
      <c r="DT178" s="228">
        <v>310</v>
      </c>
      <c r="DU178" s="228">
        <v>290</v>
      </c>
      <c r="DV178" s="228">
        <v>0.3</v>
      </c>
      <c r="DW178" s="228">
        <v>0.28000000000000003</v>
      </c>
      <c r="DX178" s="228">
        <v>0.02</v>
      </c>
      <c r="DY178" s="229">
        <v>7.1400000000000005E-2</v>
      </c>
      <c r="DZ178" s="229">
        <v>0.24129999999999999</v>
      </c>
      <c r="EA178" s="230">
        <v>12941150</v>
      </c>
      <c r="EB178" s="229">
        <v>-4.7800000000000002E-2</v>
      </c>
      <c r="EC178" s="229">
        <v>0.24129999999999999</v>
      </c>
      <c r="ED178" s="228">
        <v>-14.56</v>
      </c>
      <c r="EE178" s="229">
        <v>-4.8500000000000001E-2</v>
      </c>
      <c r="EF178" s="230">
        <v>5972143</v>
      </c>
      <c r="EG178" s="230">
        <v>3177499</v>
      </c>
      <c r="EH178" s="229">
        <v>0.87949999999999995</v>
      </c>
      <c r="EI178" s="229">
        <v>0.14849999999999999</v>
      </c>
      <c r="EJ178" s="231">
        <v>375579.77</v>
      </c>
      <c r="EK178" s="231">
        <v>103988.63</v>
      </c>
      <c r="EL178" s="231">
        <v>80199.41</v>
      </c>
      <c r="EM178" s="231">
        <v>8184</v>
      </c>
      <c r="EN178" s="231">
        <v>559767.81000000006</v>
      </c>
      <c r="EO178" s="231">
        <v>232413.76</v>
      </c>
      <c r="EP178" s="231">
        <v>327354.05</v>
      </c>
      <c r="EQ178" s="229">
        <v>1.4085000000000001</v>
      </c>
      <c r="ER178" s="231">
        <v>74935</v>
      </c>
      <c r="ES178" s="231">
        <v>44899</v>
      </c>
      <c r="ET178" s="231">
        <v>194640</v>
      </c>
      <c r="EU178" s="231">
        <v>84941460</v>
      </c>
      <c r="EV178" s="231">
        <v>314474</v>
      </c>
      <c r="EW178" s="231">
        <v>263406</v>
      </c>
      <c r="EX178" s="231">
        <v>51068</v>
      </c>
      <c r="EY178" s="229">
        <v>0.19389999999999999</v>
      </c>
      <c r="EZ178" s="229">
        <v>1.2555000000000001</v>
      </c>
      <c r="FA178" s="227" t="s">
        <v>555</v>
      </c>
      <c r="FB178" s="161">
        <f t="shared" si="4"/>
        <v>0</v>
      </c>
    </row>
    <row r="179" spans="1:158" ht="17.25" thickBot="1" x14ac:dyDescent="0.3">
      <c r="A179" s="226">
        <v>46129</v>
      </c>
      <c r="B179" s="227" t="s">
        <v>227</v>
      </c>
      <c r="C179" s="227" t="s">
        <v>282</v>
      </c>
      <c r="D179" s="228">
        <v>4700</v>
      </c>
      <c r="E179" s="228">
        <v>173.23</v>
      </c>
      <c r="F179" s="228">
        <v>171.53</v>
      </c>
      <c r="G179" s="228">
        <v>1.7</v>
      </c>
      <c r="H179" s="229">
        <v>9.9000000000000008E-3</v>
      </c>
      <c r="I179" s="228">
        <v>173.33</v>
      </c>
      <c r="J179" s="228">
        <v>171.32</v>
      </c>
      <c r="K179" s="228">
        <v>2.0099999999999998</v>
      </c>
      <c r="L179" s="229">
        <v>1.17E-2</v>
      </c>
      <c r="M179" s="228">
        <v>173.23</v>
      </c>
      <c r="N179" s="228">
        <v>171.53</v>
      </c>
      <c r="O179" s="228">
        <v>1.7</v>
      </c>
      <c r="P179" s="229">
        <v>9.9000000000000008E-3</v>
      </c>
      <c r="Q179" s="228">
        <v>173.94</v>
      </c>
      <c r="R179" s="228">
        <v>169.71</v>
      </c>
      <c r="S179" s="228">
        <v>4.2300000000000004</v>
      </c>
      <c r="T179" s="229">
        <v>2.4899999999999999E-2</v>
      </c>
      <c r="U179" s="228">
        <v>175.39</v>
      </c>
      <c r="V179" s="228">
        <v>172</v>
      </c>
      <c r="W179" s="228">
        <v>3.39</v>
      </c>
      <c r="X179" s="229">
        <v>1.9699999999999999E-2</v>
      </c>
      <c r="Y179" s="228">
        <v>-0.1</v>
      </c>
      <c r="Z179" s="228">
        <v>0.21</v>
      </c>
      <c r="AA179" s="228">
        <v>-0.31</v>
      </c>
      <c r="AB179" s="229">
        <v>-5.9999999999999995E-4</v>
      </c>
      <c r="AC179" s="228">
        <v>-0.1</v>
      </c>
      <c r="AD179" s="228">
        <v>0.21</v>
      </c>
      <c r="AE179" s="228">
        <v>-0.31</v>
      </c>
      <c r="AF179" s="229">
        <v>-5.9999999999999995E-4</v>
      </c>
      <c r="AG179" s="228">
        <v>0.61</v>
      </c>
      <c r="AH179" s="228">
        <v>-1.61</v>
      </c>
      <c r="AI179" s="228">
        <v>2.2200000000000002</v>
      </c>
      <c r="AJ179" s="229">
        <v>3.5000000000000001E-3</v>
      </c>
      <c r="AK179" s="228">
        <v>2.06</v>
      </c>
      <c r="AL179" s="228">
        <v>0.68</v>
      </c>
      <c r="AM179" s="228">
        <v>1.38</v>
      </c>
      <c r="AN179" s="229">
        <v>1.1900000000000001E-2</v>
      </c>
      <c r="AO179" s="228">
        <v>172.61</v>
      </c>
      <c r="AP179" s="228">
        <v>173.36</v>
      </c>
      <c r="AQ179" s="228">
        <v>0</v>
      </c>
      <c r="AR179" s="230">
        <v>2293600</v>
      </c>
      <c r="AS179" s="230">
        <v>3529700</v>
      </c>
      <c r="AT179" s="230">
        <v>-1236100</v>
      </c>
      <c r="AU179" s="229">
        <v>-0.35020000000000001</v>
      </c>
      <c r="AV179" s="230">
        <v>1851800</v>
      </c>
      <c r="AW179" s="230">
        <v>3463900</v>
      </c>
      <c r="AX179" s="230">
        <v>-1612100</v>
      </c>
      <c r="AY179" s="229">
        <v>-0.46539999999999998</v>
      </c>
      <c r="AZ179" s="230">
        <v>437100</v>
      </c>
      <c r="BA179" s="230">
        <v>61100</v>
      </c>
      <c r="BB179" s="230">
        <v>376000</v>
      </c>
      <c r="BC179" s="229">
        <v>6.1538000000000004</v>
      </c>
      <c r="BD179" s="230">
        <v>4700</v>
      </c>
      <c r="BE179" s="230">
        <v>4700</v>
      </c>
      <c r="BF179" s="228">
        <v>0</v>
      </c>
      <c r="BG179" s="229">
        <v>0</v>
      </c>
      <c r="BH179" s="230">
        <v>559300</v>
      </c>
      <c r="BI179" s="230">
        <v>643900</v>
      </c>
      <c r="BJ179" s="230">
        <v>-84600</v>
      </c>
      <c r="BK179" s="229">
        <v>-0.13139999999999999</v>
      </c>
      <c r="BL179" s="230">
        <v>296100</v>
      </c>
      <c r="BM179" s="230">
        <v>188000</v>
      </c>
      <c r="BN179" s="230">
        <v>108100</v>
      </c>
      <c r="BO179" s="229">
        <v>0.57499999999999996</v>
      </c>
      <c r="BP179" s="230">
        <v>3149000</v>
      </c>
      <c r="BQ179" s="230">
        <v>4361600</v>
      </c>
      <c r="BR179" s="230">
        <v>-1212600</v>
      </c>
      <c r="BS179" s="229">
        <v>-0.27800000000000002</v>
      </c>
      <c r="BT179" s="230">
        <v>26783817</v>
      </c>
      <c r="BU179" s="230">
        <v>32570377</v>
      </c>
      <c r="BV179" s="230">
        <v>-5786560</v>
      </c>
      <c r="BW179" s="229">
        <v>-0.1777</v>
      </c>
      <c r="BX179" s="230">
        <v>201042500</v>
      </c>
      <c r="BY179" s="230">
        <v>202715700</v>
      </c>
      <c r="BZ179" s="230">
        <v>-1673200</v>
      </c>
      <c r="CA179" s="229">
        <v>-8.3000000000000001E-3</v>
      </c>
      <c r="CB179" s="230">
        <v>165106300</v>
      </c>
      <c r="CC179" s="230">
        <v>166408200</v>
      </c>
      <c r="CD179" s="230">
        <v>-1301900</v>
      </c>
      <c r="CE179" s="229">
        <v>-7.7999999999999996E-3</v>
      </c>
      <c r="CF179" s="230">
        <v>35593100</v>
      </c>
      <c r="CG179" s="230">
        <v>35959700</v>
      </c>
      <c r="CH179" s="230">
        <v>-366600</v>
      </c>
      <c r="CI179" s="229">
        <v>-1.0200000000000001E-2</v>
      </c>
      <c r="CJ179" s="230">
        <v>343100</v>
      </c>
      <c r="CK179" s="230">
        <v>347800</v>
      </c>
      <c r="CL179" s="230">
        <v>-4700</v>
      </c>
      <c r="CM179" s="229">
        <v>-1.35E-2</v>
      </c>
      <c r="CN179" s="230">
        <v>10631400</v>
      </c>
      <c r="CO179" s="230">
        <v>10842900</v>
      </c>
      <c r="CP179" s="230">
        <v>-211500</v>
      </c>
      <c r="CQ179" s="229">
        <v>-1.95E-2</v>
      </c>
      <c r="CR179" s="230">
        <v>7910100</v>
      </c>
      <c r="CS179" s="230">
        <v>8055800</v>
      </c>
      <c r="CT179" s="230">
        <v>-145700</v>
      </c>
      <c r="CU179" s="229">
        <v>-1.8100000000000002E-2</v>
      </c>
      <c r="CV179" s="230">
        <v>219584000</v>
      </c>
      <c r="CW179" s="230">
        <v>221614400</v>
      </c>
      <c r="CX179" s="230">
        <v>-2030400</v>
      </c>
      <c r="CY179" s="229">
        <v>-9.1999999999999998E-3</v>
      </c>
      <c r="CZ179" s="228">
        <v>37.69</v>
      </c>
      <c r="DA179" s="228">
        <v>38.93</v>
      </c>
      <c r="DB179" s="228">
        <v>-1.24</v>
      </c>
      <c r="DC179" s="228">
        <v>-1.24</v>
      </c>
      <c r="DD179" s="228">
        <v>44.6</v>
      </c>
      <c r="DE179" s="228">
        <v>44.69</v>
      </c>
      <c r="DF179" s="228">
        <v>-6.91</v>
      </c>
      <c r="DG179" s="228">
        <v>-0.09</v>
      </c>
      <c r="DH179" s="228">
        <v>35.229999999999997</v>
      </c>
      <c r="DI179" s="228">
        <v>37.11</v>
      </c>
      <c r="DJ179" s="228">
        <v>-1.88</v>
      </c>
      <c r="DK179" s="228">
        <v>-1.88</v>
      </c>
      <c r="DL179" s="228">
        <v>42.32</v>
      </c>
      <c r="DM179" s="228">
        <v>45.15</v>
      </c>
      <c r="DN179" s="228">
        <v>-2.83</v>
      </c>
      <c r="DO179" s="228">
        <v>-2.83</v>
      </c>
      <c r="DP179" s="228">
        <v>0.74</v>
      </c>
      <c r="DQ179" s="228">
        <v>0.74</v>
      </c>
      <c r="DR179" s="228">
        <v>0</v>
      </c>
      <c r="DS179" s="229">
        <v>0</v>
      </c>
      <c r="DT179" s="228">
        <v>170</v>
      </c>
      <c r="DU179" s="228">
        <v>160</v>
      </c>
      <c r="DV179" s="228">
        <v>0.53</v>
      </c>
      <c r="DW179" s="228">
        <v>0.28999999999999998</v>
      </c>
      <c r="DX179" s="228">
        <v>0.24</v>
      </c>
      <c r="DY179" s="229">
        <v>0.8276</v>
      </c>
      <c r="DZ179" s="229">
        <v>0.1787</v>
      </c>
      <c r="EA179" s="230">
        <v>36307500</v>
      </c>
      <c r="EB179" s="229">
        <v>4.1000000000000003E-3</v>
      </c>
      <c r="EC179" s="229">
        <v>0.1787</v>
      </c>
      <c r="ED179" s="228">
        <v>0.75</v>
      </c>
      <c r="EE179" s="229">
        <v>4.3E-3</v>
      </c>
      <c r="EF179" s="230">
        <v>11913679</v>
      </c>
      <c r="EG179" s="230">
        <v>14417882</v>
      </c>
      <c r="EH179" s="229">
        <v>-0.17369999999999999</v>
      </c>
      <c r="EI179" s="229">
        <v>0.44479999999999997</v>
      </c>
      <c r="EJ179" s="228">
        <v>986.69</v>
      </c>
      <c r="EK179" s="228">
        <v>459.63</v>
      </c>
      <c r="EL179" s="231">
        <v>3962.35</v>
      </c>
      <c r="EM179" s="228">
        <v>437</v>
      </c>
      <c r="EN179" s="231">
        <v>5408.67</v>
      </c>
      <c r="EO179" s="231">
        <v>7434.13</v>
      </c>
      <c r="EP179" s="231">
        <v>-2025.46</v>
      </c>
      <c r="EQ179" s="229">
        <v>-0.27250000000000002</v>
      </c>
      <c r="ER179" s="231">
        <v>17670</v>
      </c>
      <c r="ES179" s="231">
        <v>12135</v>
      </c>
      <c r="ET179" s="231">
        <v>348526</v>
      </c>
      <c r="EU179" s="231">
        <v>216861410</v>
      </c>
      <c r="EV179" s="231">
        <v>378331</v>
      </c>
      <c r="EW179" s="231">
        <v>377452</v>
      </c>
      <c r="EX179" s="228">
        <v>879</v>
      </c>
      <c r="EY179" s="229">
        <v>2.3E-3</v>
      </c>
      <c r="EZ179" s="229">
        <v>1.0125999999999999</v>
      </c>
      <c r="FA179" s="227" t="s">
        <v>693</v>
      </c>
      <c r="FB179" s="161">
        <f t="shared" si="4"/>
        <v>0</v>
      </c>
    </row>
    <row r="180" spans="1:158" ht="17.25" thickBot="1" x14ac:dyDescent="0.3">
      <c r="A180" s="226">
        <v>46129</v>
      </c>
      <c r="B180" s="227" t="s">
        <v>175</v>
      </c>
      <c r="C180" s="227" t="s">
        <v>684</v>
      </c>
      <c r="D180" s="228">
        <v>4300</v>
      </c>
      <c r="E180" s="228">
        <v>154.51</v>
      </c>
      <c r="F180" s="228">
        <v>154.91999999999999</v>
      </c>
      <c r="G180" s="228">
        <v>-0.41</v>
      </c>
      <c r="H180" s="229">
        <v>-2.5999999999999999E-3</v>
      </c>
      <c r="I180" s="228">
        <v>154.53</v>
      </c>
      <c r="J180" s="228">
        <v>154.96</v>
      </c>
      <c r="K180" s="228">
        <v>-0.43</v>
      </c>
      <c r="L180" s="229">
        <v>-2.8E-3</v>
      </c>
      <c r="M180" s="228">
        <v>154.51</v>
      </c>
      <c r="N180" s="228">
        <v>154.91999999999999</v>
      </c>
      <c r="O180" s="228">
        <v>-0.41</v>
      </c>
      <c r="P180" s="229">
        <v>-2.5999999999999999E-3</v>
      </c>
      <c r="Q180" s="228">
        <v>155.5</v>
      </c>
      <c r="R180" s="228">
        <v>155.77000000000001</v>
      </c>
      <c r="S180" s="228">
        <v>-0.27</v>
      </c>
      <c r="T180" s="229">
        <v>-1.6999999999999999E-3</v>
      </c>
      <c r="U180" s="228">
        <v>156</v>
      </c>
      <c r="V180" s="228">
        <v>156.03</v>
      </c>
      <c r="W180" s="228">
        <v>-0.03</v>
      </c>
      <c r="X180" s="229">
        <v>-2.0000000000000001E-4</v>
      </c>
      <c r="Y180" s="228">
        <v>-0.02</v>
      </c>
      <c r="Z180" s="228">
        <v>-0.04</v>
      </c>
      <c r="AA180" s="228">
        <v>0.02</v>
      </c>
      <c r="AB180" s="229">
        <v>-1E-4</v>
      </c>
      <c r="AC180" s="228">
        <v>-0.02</v>
      </c>
      <c r="AD180" s="228">
        <v>-0.04</v>
      </c>
      <c r="AE180" s="228">
        <v>0.02</v>
      </c>
      <c r="AF180" s="229">
        <v>-1E-4</v>
      </c>
      <c r="AG180" s="228">
        <v>0.97</v>
      </c>
      <c r="AH180" s="228">
        <v>0.81</v>
      </c>
      <c r="AI180" s="228">
        <v>0.16</v>
      </c>
      <c r="AJ180" s="229">
        <v>6.3E-3</v>
      </c>
      <c r="AK180" s="228">
        <v>1.47</v>
      </c>
      <c r="AL180" s="228">
        <v>1.07</v>
      </c>
      <c r="AM180" s="228">
        <v>0.4</v>
      </c>
      <c r="AN180" s="229">
        <v>9.4999999999999998E-3</v>
      </c>
      <c r="AO180" s="228">
        <v>154.26</v>
      </c>
      <c r="AP180" s="228">
        <v>154.93</v>
      </c>
      <c r="AQ180" s="228">
        <v>0</v>
      </c>
      <c r="AR180" s="230">
        <v>1849000</v>
      </c>
      <c r="AS180" s="230">
        <v>1225500</v>
      </c>
      <c r="AT180" s="230">
        <v>623500</v>
      </c>
      <c r="AU180" s="229">
        <v>0.50880000000000003</v>
      </c>
      <c r="AV180" s="230">
        <v>1711400</v>
      </c>
      <c r="AW180" s="230">
        <v>1066400</v>
      </c>
      <c r="AX180" s="230">
        <v>645000</v>
      </c>
      <c r="AY180" s="229">
        <v>0.6048</v>
      </c>
      <c r="AZ180" s="230">
        <v>120400</v>
      </c>
      <c r="BA180" s="230">
        <v>64500</v>
      </c>
      <c r="BB180" s="230">
        <v>55900</v>
      </c>
      <c r="BC180" s="229">
        <v>0.86670000000000003</v>
      </c>
      <c r="BD180" s="230">
        <v>17200</v>
      </c>
      <c r="BE180" s="230">
        <v>94600</v>
      </c>
      <c r="BF180" s="230">
        <v>-77400</v>
      </c>
      <c r="BG180" s="229">
        <v>-0.81820000000000004</v>
      </c>
      <c r="BH180" s="230">
        <v>163400</v>
      </c>
      <c r="BI180" s="230">
        <v>726700</v>
      </c>
      <c r="BJ180" s="230">
        <v>-563300</v>
      </c>
      <c r="BK180" s="229">
        <v>-0.77510000000000001</v>
      </c>
      <c r="BL180" s="230">
        <v>159100</v>
      </c>
      <c r="BM180" s="230">
        <v>662200</v>
      </c>
      <c r="BN180" s="230">
        <v>-503100</v>
      </c>
      <c r="BO180" s="229">
        <v>-0.75970000000000004</v>
      </c>
      <c r="BP180" s="230">
        <v>2171500</v>
      </c>
      <c r="BQ180" s="230">
        <v>2614400</v>
      </c>
      <c r="BR180" s="230">
        <v>-442900</v>
      </c>
      <c r="BS180" s="229">
        <v>-0.1694</v>
      </c>
      <c r="BT180" s="230">
        <v>8668918</v>
      </c>
      <c r="BU180" s="230">
        <v>10339789</v>
      </c>
      <c r="BV180" s="230">
        <v>-1670871</v>
      </c>
      <c r="BW180" s="229">
        <v>-0.16159999999999999</v>
      </c>
      <c r="BX180" s="230">
        <v>98371100</v>
      </c>
      <c r="BY180" s="230">
        <v>99910500</v>
      </c>
      <c r="BZ180" s="230">
        <v>-1539400</v>
      </c>
      <c r="CA180" s="229">
        <v>-1.54E-2</v>
      </c>
      <c r="CB180" s="230">
        <v>94290400</v>
      </c>
      <c r="CC180" s="230">
        <v>95765300</v>
      </c>
      <c r="CD180" s="230">
        <v>-1474900</v>
      </c>
      <c r="CE180" s="229">
        <v>-1.54E-2</v>
      </c>
      <c r="CF180" s="230">
        <v>3861400</v>
      </c>
      <c r="CG180" s="230">
        <v>3917300</v>
      </c>
      <c r="CH180" s="230">
        <v>-55900</v>
      </c>
      <c r="CI180" s="229">
        <v>-1.43E-2</v>
      </c>
      <c r="CJ180" s="230">
        <v>219300</v>
      </c>
      <c r="CK180" s="230">
        <v>227900</v>
      </c>
      <c r="CL180" s="230">
        <v>-8600</v>
      </c>
      <c r="CM180" s="229">
        <v>-3.7699999999999997E-2</v>
      </c>
      <c r="CN180" s="230">
        <v>17505300</v>
      </c>
      <c r="CO180" s="230">
        <v>17552600</v>
      </c>
      <c r="CP180" s="230">
        <v>-47300</v>
      </c>
      <c r="CQ180" s="229">
        <v>-2.7000000000000001E-3</v>
      </c>
      <c r="CR180" s="230">
        <v>18907100</v>
      </c>
      <c r="CS180" s="230">
        <v>19044700</v>
      </c>
      <c r="CT180" s="230">
        <v>-137600</v>
      </c>
      <c r="CU180" s="229">
        <v>-7.1999999999999998E-3</v>
      </c>
      <c r="CV180" s="230">
        <v>134783500</v>
      </c>
      <c r="CW180" s="230">
        <v>136507800</v>
      </c>
      <c r="CX180" s="230">
        <v>-1724300</v>
      </c>
      <c r="CY180" s="229">
        <v>-1.26E-2</v>
      </c>
      <c r="CZ180" s="228">
        <v>35.32</v>
      </c>
      <c r="DA180" s="228">
        <v>34.07</v>
      </c>
      <c r="DB180" s="228">
        <v>1.25</v>
      </c>
      <c r="DC180" s="228">
        <v>1.25</v>
      </c>
      <c r="DD180" s="228">
        <v>53.42</v>
      </c>
      <c r="DE180" s="228">
        <v>53.55</v>
      </c>
      <c r="DF180" s="228">
        <v>-18.100000000000001</v>
      </c>
      <c r="DG180" s="228">
        <v>-0.13</v>
      </c>
      <c r="DH180" s="228">
        <v>33.26</v>
      </c>
      <c r="DI180" s="228">
        <v>33.299999999999997</v>
      </c>
      <c r="DJ180" s="228">
        <v>-0.04</v>
      </c>
      <c r="DK180" s="228">
        <v>-0.04</v>
      </c>
      <c r="DL180" s="228">
        <v>37.44</v>
      </c>
      <c r="DM180" s="228">
        <v>34.93</v>
      </c>
      <c r="DN180" s="228">
        <v>2.5099999999999998</v>
      </c>
      <c r="DO180" s="228">
        <v>2.5099999999999998</v>
      </c>
      <c r="DP180" s="228">
        <v>1.08</v>
      </c>
      <c r="DQ180" s="228">
        <v>1.0900000000000001</v>
      </c>
      <c r="DR180" s="228">
        <v>-0.01</v>
      </c>
      <c r="DS180" s="229">
        <v>-9.1999999999999998E-3</v>
      </c>
      <c r="DT180" s="228">
        <v>150</v>
      </c>
      <c r="DU180" s="228">
        <v>140</v>
      </c>
      <c r="DV180" s="228">
        <v>0.97</v>
      </c>
      <c r="DW180" s="228">
        <v>0.91</v>
      </c>
      <c r="DX180" s="228">
        <v>0.06</v>
      </c>
      <c r="DY180" s="229">
        <v>6.59E-2</v>
      </c>
      <c r="DZ180" s="229">
        <v>4.1500000000000002E-2</v>
      </c>
      <c r="EA180" s="230">
        <v>4145200</v>
      </c>
      <c r="EB180" s="229">
        <v>6.4000000000000003E-3</v>
      </c>
      <c r="EC180" s="229">
        <v>4.1500000000000002E-2</v>
      </c>
      <c r="ED180" s="228">
        <v>0.67</v>
      </c>
      <c r="EE180" s="229">
        <v>4.3E-3</v>
      </c>
      <c r="EF180" s="230">
        <v>4554925</v>
      </c>
      <c r="EG180" s="230">
        <v>4824842</v>
      </c>
      <c r="EH180" s="229">
        <v>-5.5899999999999998E-2</v>
      </c>
      <c r="EI180" s="229">
        <v>0.52539999999999998</v>
      </c>
      <c r="EJ180" s="228">
        <v>263.17</v>
      </c>
      <c r="EK180" s="228">
        <v>225.13</v>
      </c>
      <c r="EL180" s="231">
        <v>2853.45</v>
      </c>
      <c r="EM180" s="228">
        <v>467</v>
      </c>
      <c r="EN180" s="231">
        <v>3341.75</v>
      </c>
      <c r="EO180" s="231">
        <v>4050.79</v>
      </c>
      <c r="EP180" s="228">
        <v>-709.04</v>
      </c>
      <c r="EQ180" s="229">
        <v>-0.17499999999999999</v>
      </c>
      <c r="ER180" s="231">
        <v>27269</v>
      </c>
      <c r="ES180" s="231">
        <v>26670</v>
      </c>
      <c r="ET180" s="231">
        <v>152035</v>
      </c>
      <c r="EU180" s="231">
        <v>122372064</v>
      </c>
      <c r="EV180" s="231">
        <v>205974</v>
      </c>
      <c r="EW180" s="231">
        <v>209024</v>
      </c>
      <c r="EX180" s="231">
        <v>-3050</v>
      </c>
      <c r="EY180" s="229">
        <v>-1.46E-2</v>
      </c>
      <c r="EZ180" s="229">
        <v>1.1013999999999999</v>
      </c>
      <c r="FA180" s="227" t="s">
        <v>567</v>
      </c>
      <c r="FB180" s="161">
        <f t="shared" si="4"/>
        <v>0</v>
      </c>
    </row>
    <row r="181" spans="1:158" ht="17.25" thickBot="1" x14ac:dyDescent="0.3">
      <c r="A181" s="226">
        <v>46129</v>
      </c>
      <c r="B181" s="227" t="s">
        <v>175</v>
      </c>
      <c r="C181" s="227" t="s">
        <v>536</v>
      </c>
      <c r="D181" s="228">
        <v>800</v>
      </c>
      <c r="E181" s="228">
        <v>696.1</v>
      </c>
      <c r="F181" s="228">
        <v>685.5</v>
      </c>
      <c r="G181" s="228">
        <v>10.6</v>
      </c>
      <c r="H181" s="229">
        <v>1.55E-2</v>
      </c>
      <c r="I181" s="228">
        <v>695.2</v>
      </c>
      <c r="J181" s="228">
        <v>685.6</v>
      </c>
      <c r="K181" s="228">
        <v>9.6</v>
      </c>
      <c r="L181" s="229">
        <v>1.4E-2</v>
      </c>
      <c r="M181" s="228">
        <v>696.1</v>
      </c>
      <c r="N181" s="228">
        <v>685.5</v>
      </c>
      <c r="O181" s="228">
        <v>10.6</v>
      </c>
      <c r="P181" s="229">
        <v>1.55E-2</v>
      </c>
      <c r="Q181" s="228">
        <v>673.85</v>
      </c>
      <c r="R181" s="228">
        <v>663.55</v>
      </c>
      <c r="S181" s="228">
        <v>10.3</v>
      </c>
      <c r="T181" s="229">
        <v>1.55E-2</v>
      </c>
      <c r="U181" s="228">
        <v>660.85</v>
      </c>
      <c r="V181" s="228">
        <v>651.35</v>
      </c>
      <c r="W181" s="228">
        <v>9.5</v>
      </c>
      <c r="X181" s="229">
        <v>1.46E-2</v>
      </c>
      <c r="Y181" s="228">
        <v>0.9</v>
      </c>
      <c r="Z181" s="228">
        <v>-0.1</v>
      </c>
      <c r="AA181" s="228">
        <v>1</v>
      </c>
      <c r="AB181" s="229">
        <v>1.2999999999999999E-3</v>
      </c>
      <c r="AC181" s="228">
        <v>0.9</v>
      </c>
      <c r="AD181" s="228">
        <v>-0.1</v>
      </c>
      <c r="AE181" s="228">
        <v>1</v>
      </c>
      <c r="AF181" s="229">
        <v>1.2999999999999999E-3</v>
      </c>
      <c r="AG181" s="228">
        <v>-21.35</v>
      </c>
      <c r="AH181" s="228">
        <v>-22.05</v>
      </c>
      <c r="AI181" s="228">
        <v>0.7</v>
      </c>
      <c r="AJ181" s="229">
        <v>-3.0700000000000002E-2</v>
      </c>
      <c r="AK181" s="228">
        <v>-34.35</v>
      </c>
      <c r="AL181" s="228">
        <v>-34.25</v>
      </c>
      <c r="AM181" s="228">
        <v>-0.1</v>
      </c>
      <c r="AN181" s="229">
        <v>-4.9399999999999999E-2</v>
      </c>
      <c r="AO181" s="228">
        <v>693.39</v>
      </c>
      <c r="AP181" s="228">
        <v>670.16</v>
      </c>
      <c r="AQ181" s="228">
        <v>0</v>
      </c>
      <c r="AR181" s="230">
        <v>4532800</v>
      </c>
      <c r="AS181" s="230">
        <v>4209600</v>
      </c>
      <c r="AT181" s="230">
        <v>323200</v>
      </c>
      <c r="AU181" s="229">
        <v>7.6799999999999993E-2</v>
      </c>
      <c r="AV181" s="230">
        <v>3001600</v>
      </c>
      <c r="AW181" s="230">
        <v>2889600</v>
      </c>
      <c r="AX181" s="230">
        <v>112000</v>
      </c>
      <c r="AY181" s="229">
        <v>3.8800000000000001E-2</v>
      </c>
      <c r="AZ181" s="230">
        <v>1293600</v>
      </c>
      <c r="BA181" s="230">
        <v>1089600</v>
      </c>
      <c r="BB181" s="230">
        <v>204000</v>
      </c>
      <c r="BC181" s="229">
        <v>0.18720000000000001</v>
      </c>
      <c r="BD181" s="230">
        <v>237600</v>
      </c>
      <c r="BE181" s="230">
        <v>230400</v>
      </c>
      <c r="BF181" s="230">
        <v>7200</v>
      </c>
      <c r="BG181" s="229">
        <v>3.1300000000000001E-2</v>
      </c>
      <c r="BH181" s="230">
        <v>4957600</v>
      </c>
      <c r="BI181" s="230">
        <v>3958400</v>
      </c>
      <c r="BJ181" s="230">
        <v>999200</v>
      </c>
      <c r="BK181" s="229">
        <v>0.25240000000000001</v>
      </c>
      <c r="BL181" s="230">
        <v>2805600</v>
      </c>
      <c r="BM181" s="230">
        <v>2798400</v>
      </c>
      <c r="BN181" s="230">
        <v>7200</v>
      </c>
      <c r="BO181" s="229">
        <v>2.5999999999999999E-3</v>
      </c>
      <c r="BP181" s="230">
        <v>12296000</v>
      </c>
      <c r="BQ181" s="230">
        <v>10966400</v>
      </c>
      <c r="BR181" s="230">
        <v>1329600</v>
      </c>
      <c r="BS181" s="229">
        <v>0.1212</v>
      </c>
      <c r="BT181" s="230">
        <v>785495</v>
      </c>
      <c r="BU181" s="230">
        <v>825669</v>
      </c>
      <c r="BV181" s="230">
        <v>-40174</v>
      </c>
      <c r="BW181" s="229">
        <v>-4.87E-2</v>
      </c>
      <c r="BX181" s="230">
        <v>27661600</v>
      </c>
      <c r="BY181" s="230">
        <v>26733600</v>
      </c>
      <c r="BZ181" s="230">
        <v>928000</v>
      </c>
      <c r="CA181" s="229">
        <v>3.4700000000000002E-2</v>
      </c>
      <c r="CB181" s="230">
        <v>23277600</v>
      </c>
      <c r="CC181" s="230">
        <v>22975200</v>
      </c>
      <c r="CD181" s="230">
        <v>302400</v>
      </c>
      <c r="CE181" s="229">
        <v>1.32E-2</v>
      </c>
      <c r="CF181" s="230">
        <v>3563200</v>
      </c>
      <c r="CG181" s="230">
        <v>3023200</v>
      </c>
      <c r="CH181" s="230">
        <v>540000</v>
      </c>
      <c r="CI181" s="229">
        <v>0.17860000000000001</v>
      </c>
      <c r="CJ181" s="230">
        <v>820800</v>
      </c>
      <c r="CK181" s="230">
        <v>735200</v>
      </c>
      <c r="CL181" s="230">
        <v>85600</v>
      </c>
      <c r="CM181" s="229">
        <v>0.1164</v>
      </c>
      <c r="CN181" s="230">
        <v>7652800</v>
      </c>
      <c r="CO181" s="230">
        <v>7131200</v>
      </c>
      <c r="CP181" s="230">
        <v>521600</v>
      </c>
      <c r="CQ181" s="229">
        <v>7.3099999999999998E-2</v>
      </c>
      <c r="CR181" s="230">
        <v>5695200</v>
      </c>
      <c r="CS181" s="230">
        <v>5664800</v>
      </c>
      <c r="CT181" s="230">
        <v>30400</v>
      </c>
      <c r="CU181" s="229">
        <v>5.4000000000000003E-3</v>
      </c>
      <c r="CV181" s="230">
        <v>41009600</v>
      </c>
      <c r="CW181" s="230">
        <v>39529600</v>
      </c>
      <c r="CX181" s="230">
        <v>1480000</v>
      </c>
      <c r="CY181" s="229">
        <v>3.7400000000000003E-2</v>
      </c>
      <c r="CZ181" s="228">
        <v>35.619999999999997</v>
      </c>
      <c r="DA181" s="228">
        <v>37.619999999999997</v>
      </c>
      <c r="DB181" s="228">
        <v>-2</v>
      </c>
      <c r="DC181" s="228">
        <v>-2</v>
      </c>
      <c r="DD181" s="228">
        <v>32.18</v>
      </c>
      <c r="DE181" s="228">
        <v>32.21</v>
      </c>
      <c r="DF181" s="228">
        <v>3.44</v>
      </c>
      <c r="DG181" s="228">
        <v>-0.03</v>
      </c>
      <c r="DH181" s="228">
        <v>34.93</v>
      </c>
      <c r="DI181" s="228">
        <v>36.590000000000003</v>
      </c>
      <c r="DJ181" s="228">
        <v>-1.66</v>
      </c>
      <c r="DK181" s="228">
        <v>-1.66</v>
      </c>
      <c r="DL181" s="228">
        <v>36.83</v>
      </c>
      <c r="DM181" s="228">
        <v>39.07</v>
      </c>
      <c r="DN181" s="228">
        <v>-2.2400000000000002</v>
      </c>
      <c r="DO181" s="228">
        <v>-2.2400000000000002</v>
      </c>
      <c r="DP181" s="228">
        <v>0.74</v>
      </c>
      <c r="DQ181" s="228">
        <v>0.79</v>
      </c>
      <c r="DR181" s="228">
        <v>-0.05</v>
      </c>
      <c r="DS181" s="229">
        <v>-6.3299999999999995E-2</v>
      </c>
      <c r="DT181" s="228">
        <v>800</v>
      </c>
      <c r="DU181" s="228">
        <v>700</v>
      </c>
      <c r="DV181" s="228">
        <v>0.56999999999999995</v>
      </c>
      <c r="DW181" s="228">
        <v>0.71</v>
      </c>
      <c r="DX181" s="228">
        <v>-0.14000000000000001</v>
      </c>
      <c r="DY181" s="229">
        <v>-0.19719999999999999</v>
      </c>
      <c r="DZ181" s="229">
        <v>0.1585</v>
      </c>
      <c r="EA181" s="230">
        <v>3758400</v>
      </c>
      <c r="EB181" s="229">
        <v>-3.2000000000000001E-2</v>
      </c>
      <c r="EC181" s="229">
        <v>0.1585</v>
      </c>
      <c r="ED181" s="228">
        <v>-23.23</v>
      </c>
      <c r="EE181" s="229">
        <v>-3.3500000000000002E-2</v>
      </c>
      <c r="EF181" s="230">
        <v>284169</v>
      </c>
      <c r="EG181" s="230">
        <v>333817</v>
      </c>
      <c r="EH181" s="229">
        <v>-0.1487</v>
      </c>
      <c r="EI181" s="229">
        <v>0.36180000000000001</v>
      </c>
      <c r="EJ181" s="231">
        <v>35959.26</v>
      </c>
      <c r="EK181" s="231">
        <v>19326.419999999998</v>
      </c>
      <c r="EL181" s="231">
        <v>31044.68</v>
      </c>
      <c r="EM181" s="231">
        <v>4516</v>
      </c>
      <c r="EN181" s="231">
        <v>86330.36</v>
      </c>
      <c r="EO181" s="231">
        <v>76581.320000000007</v>
      </c>
      <c r="EP181" s="231">
        <v>9749.0400000000009</v>
      </c>
      <c r="EQ181" s="229">
        <v>0.1273</v>
      </c>
      <c r="ER181" s="231">
        <v>54743</v>
      </c>
      <c r="ES181" s="231">
        <v>37975</v>
      </c>
      <c r="ET181" s="231">
        <v>191470</v>
      </c>
      <c r="EU181" s="231">
        <v>44841373</v>
      </c>
      <c r="EV181" s="231">
        <v>284189</v>
      </c>
      <c r="EW181" s="231">
        <v>271061</v>
      </c>
      <c r="EX181" s="231">
        <v>13128</v>
      </c>
      <c r="EY181" s="229">
        <v>4.8399999999999999E-2</v>
      </c>
      <c r="EZ181" s="229">
        <v>0.91449999999999998</v>
      </c>
      <c r="FA181" s="227" t="s">
        <v>555</v>
      </c>
      <c r="FB181" s="161">
        <f t="shared" si="4"/>
        <v>0</v>
      </c>
    </row>
    <row r="182" spans="1:158" ht="17.25" thickBot="1" x14ac:dyDescent="0.3">
      <c r="A182" s="226">
        <v>46129</v>
      </c>
      <c r="B182" s="227" t="s">
        <v>175</v>
      </c>
      <c r="C182" s="227" t="s">
        <v>462</v>
      </c>
      <c r="D182" s="228">
        <v>375</v>
      </c>
      <c r="E182" s="231">
        <v>1970.4</v>
      </c>
      <c r="F182" s="231">
        <v>1975.2</v>
      </c>
      <c r="G182" s="228">
        <v>-4.8</v>
      </c>
      <c r="H182" s="229">
        <v>-2.3999999999999998E-3</v>
      </c>
      <c r="I182" s="231">
        <v>1970.9</v>
      </c>
      <c r="J182" s="231">
        <v>1974.7</v>
      </c>
      <c r="K182" s="228">
        <v>-3.8</v>
      </c>
      <c r="L182" s="229">
        <v>-1.9E-3</v>
      </c>
      <c r="M182" s="231">
        <v>1970.4</v>
      </c>
      <c r="N182" s="231">
        <v>1975.2</v>
      </c>
      <c r="O182" s="228">
        <v>-4.8</v>
      </c>
      <c r="P182" s="229">
        <v>-2.3999999999999998E-3</v>
      </c>
      <c r="Q182" s="231">
        <v>1982</v>
      </c>
      <c r="R182" s="231">
        <v>1987</v>
      </c>
      <c r="S182" s="228">
        <v>-5</v>
      </c>
      <c r="T182" s="229">
        <v>-2.5000000000000001E-3</v>
      </c>
      <c r="U182" s="231">
        <v>1994.2</v>
      </c>
      <c r="V182" s="231">
        <v>1999.5</v>
      </c>
      <c r="W182" s="228">
        <v>-5.3</v>
      </c>
      <c r="X182" s="229">
        <v>-2.7000000000000001E-3</v>
      </c>
      <c r="Y182" s="228">
        <v>-0.5</v>
      </c>
      <c r="Z182" s="228">
        <v>0.5</v>
      </c>
      <c r="AA182" s="228">
        <v>-1</v>
      </c>
      <c r="AB182" s="229">
        <v>-2.9999999999999997E-4</v>
      </c>
      <c r="AC182" s="228">
        <v>-0.5</v>
      </c>
      <c r="AD182" s="228">
        <v>0.5</v>
      </c>
      <c r="AE182" s="228">
        <v>-1</v>
      </c>
      <c r="AF182" s="229">
        <v>-2.9999999999999997E-4</v>
      </c>
      <c r="AG182" s="228">
        <v>11.1</v>
      </c>
      <c r="AH182" s="228">
        <v>12.3</v>
      </c>
      <c r="AI182" s="228">
        <v>-1.2</v>
      </c>
      <c r="AJ182" s="229">
        <v>5.5999999999999999E-3</v>
      </c>
      <c r="AK182" s="228">
        <v>23.3</v>
      </c>
      <c r="AL182" s="228">
        <v>24.8</v>
      </c>
      <c r="AM182" s="228">
        <v>-1.5</v>
      </c>
      <c r="AN182" s="229">
        <v>1.18E-2</v>
      </c>
      <c r="AO182" s="231">
        <v>1968.72</v>
      </c>
      <c r="AP182" s="231">
        <v>1979.98</v>
      </c>
      <c r="AQ182" s="228">
        <v>0</v>
      </c>
      <c r="AR182" s="230">
        <v>666375</v>
      </c>
      <c r="AS182" s="230">
        <v>1626750</v>
      </c>
      <c r="AT182" s="230">
        <v>-960375</v>
      </c>
      <c r="AU182" s="229">
        <v>-0.59040000000000004</v>
      </c>
      <c r="AV182" s="230">
        <v>639375</v>
      </c>
      <c r="AW182" s="230">
        <v>1216875</v>
      </c>
      <c r="AX182" s="230">
        <v>-577500</v>
      </c>
      <c r="AY182" s="229">
        <v>-0.47460000000000002</v>
      </c>
      <c r="AZ182" s="230">
        <v>24375</v>
      </c>
      <c r="BA182" s="230">
        <v>33750</v>
      </c>
      <c r="BB182" s="230">
        <v>-9375</v>
      </c>
      <c r="BC182" s="229">
        <v>-0.27779999999999999</v>
      </c>
      <c r="BD182" s="230">
        <v>2625</v>
      </c>
      <c r="BE182" s="230">
        <v>376125</v>
      </c>
      <c r="BF182" s="230">
        <v>-373500</v>
      </c>
      <c r="BG182" s="229">
        <v>-0.99299999999999999</v>
      </c>
      <c r="BH182" s="230">
        <v>2588250</v>
      </c>
      <c r="BI182" s="230">
        <v>2251875</v>
      </c>
      <c r="BJ182" s="230">
        <v>336375</v>
      </c>
      <c r="BK182" s="229">
        <v>0.14940000000000001</v>
      </c>
      <c r="BL182" s="230">
        <v>1128375</v>
      </c>
      <c r="BM182" s="230">
        <v>1334625</v>
      </c>
      <c r="BN182" s="230">
        <v>-206250</v>
      </c>
      <c r="BO182" s="229">
        <v>-0.1545</v>
      </c>
      <c r="BP182" s="230">
        <v>4383000</v>
      </c>
      <c r="BQ182" s="230">
        <v>5213250</v>
      </c>
      <c r="BR182" s="230">
        <v>-830250</v>
      </c>
      <c r="BS182" s="229">
        <v>-0.1593</v>
      </c>
      <c r="BT182" s="230">
        <v>539992</v>
      </c>
      <c r="BU182" s="230">
        <v>658785</v>
      </c>
      <c r="BV182" s="230">
        <v>-118793</v>
      </c>
      <c r="BW182" s="229">
        <v>-0.18029999999999999</v>
      </c>
      <c r="BX182" s="230">
        <v>10581000</v>
      </c>
      <c r="BY182" s="230">
        <v>10638000</v>
      </c>
      <c r="BZ182" s="230">
        <v>-57000</v>
      </c>
      <c r="CA182" s="229">
        <v>-5.4000000000000003E-3</v>
      </c>
      <c r="CB182" s="230">
        <v>9892125</v>
      </c>
      <c r="CC182" s="230">
        <v>9958875</v>
      </c>
      <c r="CD182" s="230">
        <v>-66750</v>
      </c>
      <c r="CE182" s="229">
        <v>-6.7000000000000002E-3</v>
      </c>
      <c r="CF182" s="230">
        <v>270375</v>
      </c>
      <c r="CG182" s="230">
        <v>261000</v>
      </c>
      <c r="CH182" s="230">
        <v>9375</v>
      </c>
      <c r="CI182" s="229">
        <v>3.5900000000000001E-2</v>
      </c>
      <c r="CJ182" s="230">
        <v>418500</v>
      </c>
      <c r="CK182" s="230">
        <v>418125</v>
      </c>
      <c r="CL182" s="228">
        <v>375</v>
      </c>
      <c r="CM182" s="229">
        <v>8.9999999999999998E-4</v>
      </c>
      <c r="CN182" s="230">
        <v>3708375</v>
      </c>
      <c r="CO182" s="230">
        <v>2948250</v>
      </c>
      <c r="CP182" s="230">
        <v>760125</v>
      </c>
      <c r="CQ182" s="229">
        <v>0.25779999999999997</v>
      </c>
      <c r="CR182" s="230">
        <v>2247000</v>
      </c>
      <c r="CS182" s="230">
        <v>2025375</v>
      </c>
      <c r="CT182" s="230">
        <v>221625</v>
      </c>
      <c r="CU182" s="229">
        <v>0.1094</v>
      </c>
      <c r="CV182" s="230">
        <v>16536375</v>
      </c>
      <c r="CW182" s="230">
        <v>15611625</v>
      </c>
      <c r="CX182" s="230">
        <v>924750</v>
      </c>
      <c r="CY182" s="229">
        <v>5.9200000000000003E-2</v>
      </c>
      <c r="CZ182" s="228">
        <v>24.35</v>
      </c>
      <c r="DA182" s="228">
        <v>25.94</v>
      </c>
      <c r="DB182" s="228">
        <v>-1.59</v>
      </c>
      <c r="DC182" s="228">
        <v>-1.59</v>
      </c>
      <c r="DD182" s="228">
        <v>25.92</v>
      </c>
      <c r="DE182" s="228">
        <v>25.98</v>
      </c>
      <c r="DF182" s="228">
        <v>-1.57</v>
      </c>
      <c r="DG182" s="228">
        <v>-0.06</v>
      </c>
      <c r="DH182" s="228">
        <v>23.66</v>
      </c>
      <c r="DI182" s="228">
        <v>25.14</v>
      </c>
      <c r="DJ182" s="228">
        <v>-1.48</v>
      </c>
      <c r="DK182" s="228">
        <v>-1.48</v>
      </c>
      <c r="DL182" s="228">
        <v>25.94</v>
      </c>
      <c r="DM182" s="228">
        <v>27.29</v>
      </c>
      <c r="DN182" s="228">
        <v>-1.35</v>
      </c>
      <c r="DO182" s="228">
        <v>-1.35</v>
      </c>
      <c r="DP182" s="228">
        <v>0.61</v>
      </c>
      <c r="DQ182" s="228">
        <v>0.69</v>
      </c>
      <c r="DR182" s="228">
        <v>-0.08</v>
      </c>
      <c r="DS182" s="229">
        <v>-0.1159</v>
      </c>
      <c r="DT182" s="231">
        <v>2000</v>
      </c>
      <c r="DU182" s="231">
        <v>1960</v>
      </c>
      <c r="DV182" s="228">
        <v>0.44</v>
      </c>
      <c r="DW182" s="228">
        <v>0.59</v>
      </c>
      <c r="DX182" s="228">
        <v>-0.15</v>
      </c>
      <c r="DY182" s="229">
        <v>-0.25419999999999998</v>
      </c>
      <c r="DZ182" s="229">
        <v>6.5100000000000005E-2</v>
      </c>
      <c r="EA182" s="230">
        <v>679125</v>
      </c>
      <c r="EB182" s="229">
        <v>5.8999999999999999E-3</v>
      </c>
      <c r="EC182" s="229">
        <v>6.5100000000000005E-2</v>
      </c>
      <c r="ED182" s="228">
        <v>11.26</v>
      </c>
      <c r="EE182" s="229">
        <v>5.7000000000000002E-3</v>
      </c>
      <c r="EF182" s="230">
        <v>337862</v>
      </c>
      <c r="EG182" s="230">
        <v>348423</v>
      </c>
      <c r="EH182" s="229">
        <v>-3.0300000000000001E-2</v>
      </c>
      <c r="EI182" s="229">
        <v>0.62570000000000003</v>
      </c>
      <c r="EJ182" s="231">
        <v>52919.3</v>
      </c>
      <c r="EK182" s="231">
        <v>22039.41</v>
      </c>
      <c r="EL182" s="231">
        <v>13122.43</v>
      </c>
      <c r="EM182" s="231">
        <v>3299</v>
      </c>
      <c r="EN182" s="231">
        <v>88081.14</v>
      </c>
      <c r="EO182" s="231">
        <v>103192.64</v>
      </c>
      <c r="EP182" s="231">
        <v>-15111.5</v>
      </c>
      <c r="EQ182" s="229">
        <v>-0.1464</v>
      </c>
      <c r="ER182" s="231">
        <v>73528</v>
      </c>
      <c r="ES182" s="231">
        <v>40888</v>
      </c>
      <c r="ET182" s="231">
        <v>208619</v>
      </c>
      <c r="EU182" s="231">
        <v>45527821</v>
      </c>
      <c r="EV182" s="231">
        <v>323035</v>
      </c>
      <c r="EW182" s="231">
        <v>305111</v>
      </c>
      <c r="EX182" s="231">
        <v>17924</v>
      </c>
      <c r="EY182" s="229">
        <v>5.8700000000000002E-2</v>
      </c>
      <c r="EZ182" s="229">
        <v>0.36320000000000002</v>
      </c>
      <c r="FA182" s="227" t="s">
        <v>567</v>
      </c>
      <c r="FB182" s="161">
        <f t="shared" si="4"/>
        <v>0</v>
      </c>
    </row>
    <row r="183" spans="1:158" ht="17.25" thickBot="1" x14ac:dyDescent="0.3">
      <c r="A183" s="226">
        <v>46129</v>
      </c>
      <c r="B183" s="227" t="s">
        <v>172</v>
      </c>
      <c r="C183" s="227" t="s">
        <v>283</v>
      </c>
      <c r="D183" s="228">
        <v>750</v>
      </c>
      <c r="E183" s="231">
        <v>1082.8</v>
      </c>
      <c r="F183" s="231">
        <v>1070.1500000000001</v>
      </c>
      <c r="G183" s="228">
        <v>12.65</v>
      </c>
      <c r="H183" s="229">
        <v>1.18E-2</v>
      </c>
      <c r="I183" s="231">
        <v>1080.25</v>
      </c>
      <c r="J183" s="231">
        <v>1067.1500000000001</v>
      </c>
      <c r="K183" s="228">
        <v>13.1</v>
      </c>
      <c r="L183" s="229">
        <v>1.23E-2</v>
      </c>
      <c r="M183" s="231">
        <v>1082.8</v>
      </c>
      <c r="N183" s="231">
        <v>1070.1500000000001</v>
      </c>
      <c r="O183" s="228">
        <v>12.65</v>
      </c>
      <c r="P183" s="229">
        <v>1.18E-2</v>
      </c>
      <c r="Q183" s="231">
        <v>1077.0999999999999</v>
      </c>
      <c r="R183" s="231">
        <v>1064.95</v>
      </c>
      <c r="S183" s="228">
        <v>12.15</v>
      </c>
      <c r="T183" s="229">
        <v>1.14E-2</v>
      </c>
      <c r="U183" s="231">
        <v>1078.7</v>
      </c>
      <c r="V183" s="231">
        <v>1065.75</v>
      </c>
      <c r="W183" s="228">
        <v>12.95</v>
      </c>
      <c r="X183" s="229">
        <v>1.2200000000000001E-2</v>
      </c>
      <c r="Y183" s="228">
        <v>2.5499999999999998</v>
      </c>
      <c r="Z183" s="228">
        <v>3</v>
      </c>
      <c r="AA183" s="228">
        <v>-0.45</v>
      </c>
      <c r="AB183" s="229">
        <v>2.3999999999999998E-3</v>
      </c>
      <c r="AC183" s="228">
        <v>2.5499999999999998</v>
      </c>
      <c r="AD183" s="228">
        <v>3</v>
      </c>
      <c r="AE183" s="228">
        <v>-0.45</v>
      </c>
      <c r="AF183" s="229">
        <v>2.3999999999999998E-3</v>
      </c>
      <c r="AG183" s="228">
        <v>-3.15</v>
      </c>
      <c r="AH183" s="228">
        <v>-2.2000000000000002</v>
      </c>
      <c r="AI183" s="228">
        <v>-0.95</v>
      </c>
      <c r="AJ183" s="229">
        <v>-2.8999999999999998E-3</v>
      </c>
      <c r="AK183" s="228">
        <v>-1.55</v>
      </c>
      <c r="AL183" s="228">
        <v>-1.4</v>
      </c>
      <c r="AM183" s="228">
        <v>-0.15</v>
      </c>
      <c r="AN183" s="229">
        <v>-1.4E-3</v>
      </c>
      <c r="AO183" s="231">
        <v>1076.96</v>
      </c>
      <c r="AP183" s="231">
        <v>1069.46</v>
      </c>
      <c r="AQ183" s="228">
        <v>0</v>
      </c>
      <c r="AR183" s="230">
        <v>12119250</v>
      </c>
      <c r="AS183" s="230">
        <v>11087250</v>
      </c>
      <c r="AT183" s="230">
        <v>1032000</v>
      </c>
      <c r="AU183" s="229">
        <v>9.3100000000000002E-2</v>
      </c>
      <c r="AV183" s="230">
        <v>9500250</v>
      </c>
      <c r="AW183" s="230">
        <v>8982750</v>
      </c>
      <c r="AX183" s="230">
        <v>517500</v>
      </c>
      <c r="AY183" s="229">
        <v>5.7599999999999998E-2</v>
      </c>
      <c r="AZ183" s="230">
        <v>2392500</v>
      </c>
      <c r="BA183" s="230">
        <v>1824750</v>
      </c>
      <c r="BB183" s="230">
        <v>567750</v>
      </c>
      <c r="BC183" s="229">
        <v>0.31109999999999999</v>
      </c>
      <c r="BD183" s="230">
        <v>226500</v>
      </c>
      <c r="BE183" s="230">
        <v>279750</v>
      </c>
      <c r="BF183" s="230">
        <v>-53250</v>
      </c>
      <c r="BG183" s="229">
        <v>-0.1903</v>
      </c>
      <c r="BH183" s="230">
        <v>57024000</v>
      </c>
      <c r="BI183" s="230">
        <v>45171750</v>
      </c>
      <c r="BJ183" s="230">
        <v>11852250</v>
      </c>
      <c r="BK183" s="229">
        <v>0.26240000000000002</v>
      </c>
      <c r="BL183" s="230">
        <v>35200500</v>
      </c>
      <c r="BM183" s="230">
        <v>29275500</v>
      </c>
      <c r="BN183" s="230">
        <v>5925000</v>
      </c>
      <c r="BO183" s="229">
        <v>0.2024</v>
      </c>
      <c r="BP183" s="230">
        <v>104343750</v>
      </c>
      <c r="BQ183" s="230">
        <v>85534500</v>
      </c>
      <c r="BR183" s="230">
        <v>18809250</v>
      </c>
      <c r="BS183" s="229">
        <v>0.21990000000000001</v>
      </c>
      <c r="BT183" s="230">
        <v>17533119</v>
      </c>
      <c r="BU183" s="230">
        <v>22608328</v>
      </c>
      <c r="BV183" s="230">
        <v>-5075209</v>
      </c>
      <c r="BW183" s="229">
        <v>-0.22450000000000001</v>
      </c>
      <c r="BX183" s="230">
        <v>80589750</v>
      </c>
      <c r="BY183" s="230">
        <v>79189500</v>
      </c>
      <c r="BZ183" s="230">
        <v>1400250</v>
      </c>
      <c r="CA183" s="229">
        <v>1.77E-2</v>
      </c>
      <c r="CB183" s="230">
        <v>71784750</v>
      </c>
      <c r="CC183" s="230">
        <v>71784750</v>
      </c>
      <c r="CD183" s="228">
        <v>0</v>
      </c>
      <c r="CE183" s="229">
        <v>0</v>
      </c>
      <c r="CF183" s="230">
        <v>7102500</v>
      </c>
      <c r="CG183" s="230">
        <v>5738250</v>
      </c>
      <c r="CH183" s="230">
        <v>1364250</v>
      </c>
      <c r="CI183" s="229">
        <v>0.23769999999999999</v>
      </c>
      <c r="CJ183" s="230">
        <v>1702500</v>
      </c>
      <c r="CK183" s="230">
        <v>1666500</v>
      </c>
      <c r="CL183" s="230">
        <v>36000</v>
      </c>
      <c r="CM183" s="229">
        <v>2.1600000000000001E-2</v>
      </c>
      <c r="CN183" s="230">
        <v>44845500</v>
      </c>
      <c r="CO183" s="230">
        <v>45602250</v>
      </c>
      <c r="CP183" s="230">
        <v>-756750</v>
      </c>
      <c r="CQ183" s="229">
        <v>-1.66E-2</v>
      </c>
      <c r="CR183" s="230">
        <v>36129000</v>
      </c>
      <c r="CS183" s="230">
        <v>33446250</v>
      </c>
      <c r="CT183" s="230">
        <v>2682750</v>
      </c>
      <c r="CU183" s="229">
        <v>8.0199999999999994E-2</v>
      </c>
      <c r="CV183" s="230">
        <v>161564250</v>
      </c>
      <c r="CW183" s="230">
        <v>158238000</v>
      </c>
      <c r="CX183" s="230">
        <v>3326250</v>
      </c>
      <c r="CY183" s="229">
        <v>2.1000000000000001E-2</v>
      </c>
      <c r="CZ183" s="228">
        <v>27.52</v>
      </c>
      <c r="DA183" s="228">
        <v>29.29</v>
      </c>
      <c r="DB183" s="228">
        <v>-1.77</v>
      </c>
      <c r="DC183" s="228">
        <v>-1.77</v>
      </c>
      <c r="DD183" s="228">
        <v>29.18</v>
      </c>
      <c r="DE183" s="228">
        <v>29.21</v>
      </c>
      <c r="DF183" s="228">
        <v>-1.66</v>
      </c>
      <c r="DG183" s="228">
        <v>-0.03</v>
      </c>
      <c r="DH183" s="228">
        <v>26.09</v>
      </c>
      <c r="DI183" s="228">
        <v>28.32</v>
      </c>
      <c r="DJ183" s="228">
        <v>-2.23</v>
      </c>
      <c r="DK183" s="228">
        <v>-2.23</v>
      </c>
      <c r="DL183" s="228">
        <v>29.85</v>
      </c>
      <c r="DM183" s="228">
        <v>30.79</v>
      </c>
      <c r="DN183" s="228">
        <v>-0.94</v>
      </c>
      <c r="DO183" s="228">
        <v>-0.94</v>
      </c>
      <c r="DP183" s="228">
        <v>0.81</v>
      </c>
      <c r="DQ183" s="228">
        <v>0.73</v>
      </c>
      <c r="DR183" s="228">
        <v>0.08</v>
      </c>
      <c r="DS183" s="229">
        <v>0.1096</v>
      </c>
      <c r="DT183" s="231">
        <v>1100</v>
      </c>
      <c r="DU183" s="231">
        <v>1000</v>
      </c>
      <c r="DV183" s="228">
        <v>0.62</v>
      </c>
      <c r="DW183" s="228">
        <v>0.65</v>
      </c>
      <c r="DX183" s="228">
        <v>-0.03</v>
      </c>
      <c r="DY183" s="229">
        <v>-4.6199999999999998E-2</v>
      </c>
      <c r="DZ183" s="229">
        <v>0.10929999999999999</v>
      </c>
      <c r="EA183" s="230">
        <v>7404750</v>
      </c>
      <c r="EB183" s="229">
        <v>-5.3E-3</v>
      </c>
      <c r="EC183" s="229">
        <v>0.10929999999999999</v>
      </c>
      <c r="ED183" s="228">
        <v>-7.5</v>
      </c>
      <c r="EE183" s="229">
        <v>-7.0000000000000001E-3</v>
      </c>
      <c r="EF183" s="230">
        <v>11113948</v>
      </c>
      <c r="EG183" s="230">
        <v>9113745</v>
      </c>
      <c r="EH183" s="229">
        <v>0.2195</v>
      </c>
      <c r="EI183" s="229">
        <v>0.63390000000000002</v>
      </c>
      <c r="EJ183" s="231">
        <v>637346.66</v>
      </c>
      <c r="EK183" s="231">
        <v>369799.07</v>
      </c>
      <c r="EL183" s="231">
        <v>130331.64</v>
      </c>
      <c r="EM183" s="231">
        <v>17102</v>
      </c>
      <c r="EN183" s="231">
        <v>1137477.3700000001</v>
      </c>
      <c r="EO183" s="231">
        <v>931735.29</v>
      </c>
      <c r="EP183" s="231">
        <v>205742.07999999999</v>
      </c>
      <c r="EQ183" s="229">
        <v>0.2208</v>
      </c>
      <c r="ER183" s="231">
        <v>498357</v>
      </c>
      <c r="ES183" s="231">
        <v>368400</v>
      </c>
      <c r="ET183" s="231">
        <v>872151</v>
      </c>
      <c r="EU183" s="231">
        <v>580324288</v>
      </c>
      <c r="EV183" s="231">
        <v>1738909</v>
      </c>
      <c r="EW183" s="231">
        <v>1693627</v>
      </c>
      <c r="EX183" s="231">
        <v>45282</v>
      </c>
      <c r="EY183" s="229">
        <v>2.6700000000000002E-2</v>
      </c>
      <c r="EZ183" s="229">
        <v>0.27839999999999998</v>
      </c>
      <c r="FA183" s="227" t="s">
        <v>555</v>
      </c>
      <c r="FB183" s="161">
        <f t="shared" si="4"/>
        <v>0</v>
      </c>
    </row>
    <row r="184" spans="1:158" ht="17.25" thickBot="1" x14ac:dyDescent="0.3">
      <c r="A184" s="226">
        <v>46129</v>
      </c>
      <c r="B184" s="227" t="s">
        <v>157</v>
      </c>
      <c r="C184" s="227" t="s">
        <v>284</v>
      </c>
      <c r="D184" s="228">
        <v>25</v>
      </c>
      <c r="E184" s="231">
        <v>25280</v>
      </c>
      <c r="F184" s="231">
        <v>25185</v>
      </c>
      <c r="G184" s="228">
        <v>95</v>
      </c>
      <c r="H184" s="229">
        <v>3.8E-3</v>
      </c>
      <c r="I184" s="231">
        <v>25290</v>
      </c>
      <c r="J184" s="231">
        <v>25110</v>
      </c>
      <c r="K184" s="228">
        <v>180</v>
      </c>
      <c r="L184" s="229">
        <v>7.1999999999999998E-3</v>
      </c>
      <c r="M184" s="231">
        <v>25280</v>
      </c>
      <c r="N184" s="231">
        <v>25185</v>
      </c>
      <c r="O184" s="228">
        <v>95</v>
      </c>
      <c r="P184" s="229">
        <v>3.8E-3</v>
      </c>
      <c r="Q184" s="231">
        <v>25135</v>
      </c>
      <c r="R184" s="231">
        <v>25030</v>
      </c>
      <c r="S184" s="228">
        <v>105</v>
      </c>
      <c r="T184" s="229">
        <v>4.1999999999999997E-3</v>
      </c>
      <c r="U184" s="231">
        <v>25050</v>
      </c>
      <c r="V184" s="231">
        <v>24795</v>
      </c>
      <c r="W184" s="228">
        <v>255</v>
      </c>
      <c r="X184" s="229">
        <v>1.03E-2</v>
      </c>
      <c r="Y184" s="228">
        <v>-10</v>
      </c>
      <c r="Z184" s="228">
        <v>75</v>
      </c>
      <c r="AA184" s="228">
        <v>-85</v>
      </c>
      <c r="AB184" s="229">
        <v>-4.0000000000000002E-4</v>
      </c>
      <c r="AC184" s="228">
        <v>-10</v>
      </c>
      <c r="AD184" s="228">
        <v>75</v>
      </c>
      <c r="AE184" s="228">
        <v>-85</v>
      </c>
      <c r="AF184" s="229">
        <v>-4.0000000000000002E-4</v>
      </c>
      <c r="AG184" s="228">
        <v>-155</v>
      </c>
      <c r="AH184" s="228">
        <v>-80</v>
      </c>
      <c r="AI184" s="228">
        <v>-75</v>
      </c>
      <c r="AJ184" s="229">
        <v>-6.1000000000000004E-3</v>
      </c>
      <c r="AK184" s="228">
        <v>-240</v>
      </c>
      <c r="AL184" s="228">
        <v>-315</v>
      </c>
      <c r="AM184" s="228">
        <v>75</v>
      </c>
      <c r="AN184" s="229">
        <v>-9.4999999999999998E-3</v>
      </c>
      <c r="AO184" s="231">
        <v>25249.55</v>
      </c>
      <c r="AP184" s="231">
        <v>25099.75</v>
      </c>
      <c r="AQ184" s="228">
        <v>0</v>
      </c>
      <c r="AR184" s="230">
        <v>26700</v>
      </c>
      <c r="AS184" s="230">
        <v>31375</v>
      </c>
      <c r="AT184" s="230">
        <v>-4675</v>
      </c>
      <c r="AU184" s="229">
        <v>-0.14899999999999999</v>
      </c>
      <c r="AV184" s="230">
        <v>22100</v>
      </c>
      <c r="AW184" s="230">
        <v>29300</v>
      </c>
      <c r="AX184" s="230">
        <v>-7200</v>
      </c>
      <c r="AY184" s="229">
        <v>-0.2457</v>
      </c>
      <c r="AZ184" s="230">
        <v>4000</v>
      </c>
      <c r="BA184" s="230">
        <v>2000</v>
      </c>
      <c r="BB184" s="230">
        <v>2000</v>
      </c>
      <c r="BC184" s="229">
        <v>1</v>
      </c>
      <c r="BD184" s="228">
        <v>600</v>
      </c>
      <c r="BE184" s="228">
        <v>75</v>
      </c>
      <c r="BF184" s="228">
        <v>525</v>
      </c>
      <c r="BG184" s="229">
        <v>7</v>
      </c>
      <c r="BH184" s="230">
        <v>31725</v>
      </c>
      <c r="BI184" s="230">
        <v>34150</v>
      </c>
      <c r="BJ184" s="230">
        <v>-2425</v>
      </c>
      <c r="BK184" s="229">
        <v>-7.0999999999999994E-2</v>
      </c>
      <c r="BL184" s="230">
        <v>6200</v>
      </c>
      <c r="BM184" s="230">
        <v>12350</v>
      </c>
      <c r="BN184" s="230">
        <v>-6150</v>
      </c>
      <c r="BO184" s="229">
        <v>-0.498</v>
      </c>
      <c r="BP184" s="230">
        <v>64625</v>
      </c>
      <c r="BQ184" s="230">
        <v>77875</v>
      </c>
      <c r="BR184" s="230">
        <v>-13250</v>
      </c>
      <c r="BS184" s="229">
        <v>-0.1701</v>
      </c>
      <c r="BT184" s="230">
        <v>16544</v>
      </c>
      <c r="BU184" s="230">
        <v>35316</v>
      </c>
      <c r="BV184" s="230">
        <v>-18772</v>
      </c>
      <c r="BW184" s="229">
        <v>-0.53149999999999997</v>
      </c>
      <c r="BX184" s="230">
        <v>378800</v>
      </c>
      <c r="BY184" s="230">
        <v>379550</v>
      </c>
      <c r="BZ184" s="228">
        <v>-750</v>
      </c>
      <c r="CA184" s="229">
        <v>-2E-3</v>
      </c>
      <c r="CB184" s="230">
        <v>361850</v>
      </c>
      <c r="CC184" s="230">
        <v>364425</v>
      </c>
      <c r="CD184" s="230">
        <v>-2575</v>
      </c>
      <c r="CE184" s="229">
        <v>-7.1000000000000004E-3</v>
      </c>
      <c r="CF184" s="230">
        <v>16250</v>
      </c>
      <c r="CG184" s="230">
        <v>14500</v>
      </c>
      <c r="CH184" s="230">
        <v>1750</v>
      </c>
      <c r="CI184" s="229">
        <v>0.1207</v>
      </c>
      <c r="CJ184" s="228">
        <v>700</v>
      </c>
      <c r="CK184" s="228">
        <v>625</v>
      </c>
      <c r="CL184" s="228">
        <v>75</v>
      </c>
      <c r="CM184" s="229">
        <v>0.12</v>
      </c>
      <c r="CN184" s="230">
        <v>56275</v>
      </c>
      <c r="CO184" s="230">
        <v>54150</v>
      </c>
      <c r="CP184" s="230">
        <v>2125</v>
      </c>
      <c r="CQ184" s="229">
        <v>3.9199999999999999E-2</v>
      </c>
      <c r="CR184" s="230">
        <v>47825</v>
      </c>
      <c r="CS184" s="230">
        <v>46275</v>
      </c>
      <c r="CT184" s="230">
        <v>1550</v>
      </c>
      <c r="CU184" s="229">
        <v>3.3500000000000002E-2</v>
      </c>
      <c r="CV184" s="230">
        <v>482900</v>
      </c>
      <c r="CW184" s="230">
        <v>479975</v>
      </c>
      <c r="CX184" s="230">
        <v>2925</v>
      </c>
      <c r="CY184" s="229">
        <v>6.1000000000000004E-3</v>
      </c>
      <c r="CZ184" s="228">
        <v>25.91</v>
      </c>
      <c r="DA184" s="228">
        <v>27.1</v>
      </c>
      <c r="DB184" s="228">
        <v>-1.19</v>
      </c>
      <c r="DC184" s="228">
        <v>-1.19</v>
      </c>
      <c r="DD184" s="228">
        <v>27.8</v>
      </c>
      <c r="DE184" s="228">
        <v>27.87</v>
      </c>
      <c r="DF184" s="228">
        <v>-1.89</v>
      </c>
      <c r="DG184" s="228">
        <v>-7.0000000000000007E-2</v>
      </c>
      <c r="DH184" s="228">
        <v>25.23</v>
      </c>
      <c r="DI184" s="228">
        <v>26.25</v>
      </c>
      <c r="DJ184" s="228">
        <v>-1.02</v>
      </c>
      <c r="DK184" s="228">
        <v>-1.02</v>
      </c>
      <c r="DL184" s="228">
        <v>29.39</v>
      </c>
      <c r="DM184" s="228">
        <v>29.44</v>
      </c>
      <c r="DN184" s="228">
        <v>-0.05</v>
      </c>
      <c r="DO184" s="228">
        <v>-0.05</v>
      </c>
      <c r="DP184" s="228">
        <v>0.85</v>
      </c>
      <c r="DQ184" s="228">
        <v>0.85</v>
      </c>
      <c r="DR184" s="228">
        <v>0</v>
      </c>
      <c r="DS184" s="229">
        <v>0</v>
      </c>
      <c r="DT184" s="231">
        <v>25000</v>
      </c>
      <c r="DU184" s="231">
        <v>24000</v>
      </c>
      <c r="DV184" s="228">
        <v>0.2</v>
      </c>
      <c r="DW184" s="228">
        <v>0.36</v>
      </c>
      <c r="DX184" s="228">
        <v>-0.16</v>
      </c>
      <c r="DY184" s="229">
        <v>-0.44440000000000002</v>
      </c>
      <c r="DZ184" s="229">
        <v>4.4699999999999997E-2</v>
      </c>
      <c r="EA184" s="230">
        <v>15125</v>
      </c>
      <c r="EB184" s="229">
        <v>-5.7000000000000002E-3</v>
      </c>
      <c r="EC184" s="229">
        <v>4.4699999999999997E-2</v>
      </c>
      <c r="ED184" s="228">
        <v>-149.80000000000001</v>
      </c>
      <c r="EE184" s="229">
        <v>-5.8999999999999999E-3</v>
      </c>
      <c r="EF184" s="230">
        <v>10153</v>
      </c>
      <c r="EG184" s="230">
        <v>22624</v>
      </c>
      <c r="EH184" s="229">
        <v>-0.55120000000000002</v>
      </c>
      <c r="EI184" s="229">
        <v>0.61370000000000002</v>
      </c>
      <c r="EJ184" s="231">
        <v>8261.93</v>
      </c>
      <c r="EK184" s="231">
        <v>1510.05</v>
      </c>
      <c r="EL184" s="231">
        <v>6734.12</v>
      </c>
      <c r="EM184" s="231">
        <v>2026</v>
      </c>
      <c r="EN184" s="231">
        <v>16506.099999999999</v>
      </c>
      <c r="EO184" s="231">
        <v>19724.560000000001</v>
      </c>
      <c r="EP184" s="231">
        <v>-3218.46</v>
      </c>
      <c r="EQ184" s="229">
        <v>-0.16320000000000001</v>
      </c>
      <c r="ER184" s="231">
        <v>13691</v>
      </c>
      <c r="ES184" s="231">
        <v>11215</v>
      </c>
      <c r="ET184" s="231">
        <v>95735</v>
      </c>
      <c r="EU184" s="231">
        <v>1655049</v>
      </c>
      <c r="EV184" s="231">
        <v>120641</v>
      </c>
      <c r="EW184" s="231">
        <v>119529</v>
      </c>
      <c r="EX184" s="231">
        <v>1112</v>
      </c>
      <c r="EY184" s="229">
        <v>9.2999999999999992E-3</v>
      </c>
      <c r="EZ184" s="229">
        <v>0.2918</v>
      </c>
      <c r="FA184" s="227" t="s">
        <v>693</v>
      </c>
      <c r="FB184" s="161">
        <f t="shared" si="4"/>
        <v>0</v>
      </c>
    </row>
    <row r="185" spans="1:158" ht="17.25" thickBot="1" x14ac:dyDescent="0.3">
      <c r="A185" s="226">
        <v>46129</v>
      </c>
      <c r="B185" s="227" t="s">
        <v>175</v>
      </c>
      <c r="C185" s="227" t="s">
        <v>561</v>
      </c>
      <c r="D185" s="228">
        <v>825</v>
      </c>
      <c r="E185" s="231">
        <v>1036.7</v>
      </c>
      <c r="F185" s="231">
        <v>1023.45</v>
      </c>
      <c r="G185" s="228">
        <v>13.25</v>
      </c>
      <c r="H185" s="229">
        <v>1.29E-2</v>
      </c>
      <c r="I185" s="231">
        <v>1036.95</v>
      </c>
      <c r="J185" s="231">
        <v>1022.75</v>
      </c>
      <c r="K185" s="228">
        <v>14.2</v>
      </c>
      <c r="L185" s="229">
        <v>1.3899999999999999E-2</v>
      </c>
      <c r="M185" s="231">
        <v>1036.7</v>
      </c>
      <c r="N185" s="231">
        <v>1023.45</v>
      </c>
      <c r="O185" s="228">
        <v>13.25</v>
      </c>
      <c r="P185" s="229">
        <v>1.29E-2</v>
      </c>
      <c r="Q185" s="231">
        <v>1042.4000000000001</v>
      </c>
      <c r="R185" s="231">
        <v>1029.5999999999999</v>
      </c>
      <c r="S185" s="228">
        <v>12.8</v>
      </c>
      <c r="T185" s="229">
        <v>1.24E-2</v>
      </c>
      <c r="U185" s="231">
        <v>1047.45</v>
      </c>
      <c r="V185" s="231">
        <v>1034.6500000000001</v>
      </c>
      <c r="W185" s="228">
        <v>12.8</v>
      </c>
      <c r="X185" s="229">
        <v>1.24E-2</v>
      </c>
      <c r="Y185" s="228">
        <v>-0.25</v>
      </c>
      <c r="Z185" s="228">
        <v>0.7</v>
      </c>
      <c r="AA185" s="228">
        <v>-0.95</v>
      </c>
      <c r="AB185" s="229">
        <v>-2.0000000000000001E-4</v>
      </c>
      <c r="AC185" s="228">
        <v>-0.25</v>
      </c>
      <c r="AD185" s="228">
        <v>0.7</v>
      </c>
      <c r="AE185" s="228">
        <v>-0.95</v>
      </c>
      <c r="AF185" s="229">
        <v>-2.0000000000000001E-4</v>
      </c>
      <c r="AG185" s="228">
        <v>5.45</v>
      </c>
      <c r="AH185" s="228">
        <v>6.85</v>
      </c>
      <c r="AI185" s="228">
        <v>-1.4</v>
      </c>
      <c r="AJ185" s="229">
        <v>5.3E-3</v>
      </c>
      <c r="AK185" s="228">
        <v>10.5</v>
      </c>
      <c r="AL185" s="228">
        <v>11.9</v>
      </c>
      <c r="AM185" s="228">
        <v>-1.4</v>
      </c>
      <c r="AN185" s="229">
        <v>1.01E-2</v>
      </c>
      <c r="AO185" s="231">
        <v>1034.75</v>
      </c>
      <c r="AP185" s="231">
        <v>1039.03</v>
      </c>
      <c r="AQ185" s="228">
        <v>0</v>
      </c>
      <c r="AR185" s="230">
        <v>5782425</v>
      </c>
      <c r="AS185" s="230">
        <v>7688175</v>
      </c>
      <c r="AT185" s="230">
        <v>-1905750</v>
      </c>
      <c r="AU185" s="229">
        <v>-0.24790000000000001</v>
      </c>
      <c r="AV185" s="230">
        <v>4305675</v>
      </c>
      <c r="AW185" s="230">
        <v>6287325</v>
      </c>
      <c r="AX185" s="230">
        <v>-1981650</v>
      </c>
      <c r="AY185" s="229">
        <v>-0.31519999999999998</v>
      </c>
      <c r="AZ185" s="230">
        <v>532125</v>
      </c>
      <c r="BA185" s="230">
        <v>526350</v>
      </c>
      <c r="BB185" s="230">
        <v>5775</v>
      </c>
      <c r="BC185" s="229">
        <v>1.0999999999999999E-2</v>
      </c>
      <c r="BD185" s="230">
        <v>944625</v>
      </c>
      <c r="BE185" s="230">
        <v>874500</v>
      </c>
      <c r="BF185" s="230">
        <v>70125</v>
      </c>
      <c r="BG185" s="229">
        <v>8.0199999999999994E-2</v>
      </c>
      <c r="BH185" s="230">
        <v>13279200</v>
      </c>
      <c r="BI185" s="230">
        <v>12747900</v>
      </c>
      <c r="BJ185" s="230">
        <v>531300</v>
      </c>
      <c r="BK185" s="229">
        <v>4.1700000000000001E-2</v>
      </c>
      <c r="BL185" s="230">
        <v>6029100</v>
      </c>
      <c r="BM185" s="230">
        <v>7094175</v>
      </c>
      <c r="BN185" s="230">
        <v>-1065075</v>
      </c>
      <c r="BO185" s="229">
        <v>-0.15010000000000001</v>
      </c>
      <c r="BP185" s="230">
        <v>25090725</v>
      </c>
      <c r="BQ185" s="230">
        <v>27530250</v>
      </c>
      <c r="BR185" s="230">
        <v>-2439525</v>
      </c>
      <c r="BS185" s="229">
        <v>-8.8599999999999998E-2</v>
      </c>
      <c r="BT185" s="230">
        <v>4455463</v>
      </c>
      <c r="BU185" s="230">
        <v>5870395</v>
      </c>
      <c r="BV185" s="230">
        <v>-1414932</v>
      </c>
      <c r="BW185" s="229">
        <v>-0.24099999999999999</v>
      </c>
      <c r="BX185" s="230">
        <v>40702200</v>
      </c>
      <c r="BY185" s="230">
        <v>41409225</v>
      </c>
      <c r="BZ185" s="230">
        <v>-707025</v>
      </c>
      <c r="CA185" s="229">
        <v>-1.7100000000000001E-2</v>
      </c>
      <c r="CB185" s="230">
        <v>35898225</v>
      </c>
      <c r="CC185" s="230">
        <v>37467375</v>
      </c>
      <c r="CD185" s="230">
        <v>-1569150</v>
      </c>
      <c r="CE185" s="229">
        <v>-4.19E-2</v>
      </c>
      <c r="CF185" s="230">
        <v>2737350</v>
      </c>
      <c r="CG185" s="230">
        <v>2778600</v>
      </c>
      <c r="CH185" s="230">
        <v>-41250</v>
      </c>
      <c r="CI185" s="229">
        <v>-1.4800000000000001E-2</v>
      </c>
      <c r="CJ185" s="230">
        <v>2066625</v>
      </c>
      <c r="CK185" s="230">
        <v>1163250</v>
      </c>
      <c r="CL185" s="230">
        <v>903375</v>
      </c>
      <c r="CM185" s="229">
        <v>0.77659999999999996</v>
      </c>
      <c r="CN185" s="230">
        <v>14006850</v>
      </c>
      <c r="CO185" s="230">
        <v>14369850</v>
      </c>
      <c r="CP185" s="230">
        <v>-363000</v>
      </c>
      <c r="CQ185" s="229">
        <v>-2.53E-2</v>
      </c>
      <c r="CR185" s="230">
        <v>10157400</v>
      </c>
      <c r="CS185" s="230">
        <v>10229175</v>
      </c>
      <c r="CT185" s="230">
        <v>-71775</v>
      </c>
      <c r="CU185" s="229">
        <v>-7.0000000000000001E-3</v>
      </c>
      <c r="CV185" s="230">
        <v>64866450</v>
      </c>
      <c r="CW185" s="230">
        <v>66008250</v>
      </c>
      <c r="CX185" s="230">
        <v>-1141800</v>
      </c>
      <c r="CY185" s="229">
        <v>-1.7299999999999999E-2</v>
      </c>
      <c r="CZ185" s="228">
        <v>44.04</v>
      </c>
      <c r="DA185" s="228">
        <v>44.68</v>
      </c>
      <c r="DB185" s="228">
        <v>-0.64</v>
      </c>
      <c r="DC185" s="228">
        <v>-0.64</v>
      </c>
      <c r="DD185" s="228">
        <v>45.11</v>
      </c>
      <c r="DE185" s="228">
        <v>45.19</v>
      </c>
      <c r="DF185" s="228">
        <v>-1.07</v>
      </c>
      <c r="DG185" s="228">
        <v>-0.08</v>
      </c>
      <c r="DH185" s="228">
        <v>43.22</v>
      </c>
      <c r="DI185" s="228">
        <v>44.11</v>
      </c>
      <c r="DJ185" s="228">
        <v>-0.89</v>
      </c>
      <c r="DK185" s="228">
        <v>-0.89</v>
      </c>
      <c r="DL185" s="228">
        <v>45.85</v>
      </c>
      <c r="DM185" s="228">
        <v>45.7</v>
      </c>
      <c r="DN185" s="228">
        <v>0.15</v>
      </c>
      <c r="DO185" s="228">
        <v>0.15</v>
      </c>
      <c r="DP185" s="228">
        <v>0.73</v>
      </c>
      <c r="DQ185" s="228">
        <v>0.71</v>
      </c>
      <c r="DR185" s="228">
        <v>0.02</v>
      </c>
      <c r="DS185" s="229">
        <v>2.8199999999999999E-2</v>
      </c>
      <c r="DT185" s="231">
        <v>1100</v>
      </c>
      <c r="DU185" s="231">
        <v>1000</v>
      </c>
      <c r="DV185" s="228">
        <v>0.45</v>
      </c>
      <c r="DW185" s="228">
        <v>0.56000000000000005</v>
      </c>
      <c r="DX185" s="228">
        <v>-0.11</v>
      </c>
      <c r="DY185" s="229">
        <v>-0.19639999999999999</v>
      </c>
      <c r="DZ185" s="229">
        <v>0.11799999999999999</v>
      </c>
      <c r="EA185" s="230">
        <v>3941850</v>
      </c>
      <c r="EB185" s="229">
        <v>5.4999999999999997E-3</v>
      </c>
      <c r="EC185" s="229">
        <v>0.11799999999999999</v>
      </c>
      <c r="ED185" s="228">
        <v>4.28</v>
      </c>
      <c r="EE185" s="229">
        <v>4.1000000000000003E-3</v>
      </c>
      <c r="EF185" s="230">
        <v>2239567</v>
      </c>
      <c r="EG185" s="230">
        <v>3123419</v>
      </c>
      <c r="EH185" s="229">
        <v>-0.28299999999999997</v>
      </c>
      <c r="EI185" s="229">
        <v>0.50270000000000004</v>
      </c>
      <c r="EJ185" s="231">
        <v>143854.10999999999</v>
      </c>
      <c r="EK185" s="231">
        <v>61098.9</v>
      </c>
      <c r="EL185" s="231">
        <v>60006.68</v>
      </c>
      <c r="EM185" s="231">
        <v>9326</v>
      </c>
      <c r="EN185" s="231">
        <v>264959.69</v>
      </c>
      <c r="EO185" s="231">
        <v>287572.28000000003</v>
      </c>
      <c r="EP185" s="231">
        <v>-22612.59</v>
      </c>
      <c r="EQ185" s="229">
        <v>-7.8600000000000003E-2</v>
      </c>
      <c r="ER185" s="231">
        <v>144341</v>
      </c>
      <c r="ES185" s="231">
        <v>96303</v>
      </c>
      <c r="ET185" s="231">
        <v>422338</v>
      </c>
      <c r="EU185" s="231">
        <v>210567108</v>
      </c>
      <c r="EV185" s="231">
        <v>662982</v>
      </c>
      <c r="EW185" s="231">
        <v>668856</v>
      </c>
      <c r="EX185" s="231">
        <v>-5874</v>
      </c>
      <c r="EY185" s="229">
        <v>-8.8000000000000005E-3</v>
      </c>
      <c r="EZ185" s="229">
        <v>0.30809999999999998</v>
      </c>
      <c r="FA185" s="227" t="s">
        <v>693</v>
      </c>
      <c r="FB185" s="161">
        <f t="shared" si="4"/>
        <v>0</v>
      </c>
    </row>
    <row r="186" spans="1:158" ht="17.25" thickBot="1" x14ac:dyDescent="0.3">
      <c r="A186" s="226">
        <v>46129</v>
      </c>
      <c r="B186" s="227" t="s">
        <v>184</v>
      </c>
      <c r="C186" s="227" t="s">
        <v>285</v>
      </c>
      <c r="D186" s="228">
        <v>175</v>
      </c>
      <c r="E186" s="231">
        <v>3708.6</v>
      </c>
      <c r="F186" s="231">
        <v>3563.6</v>
      </c>
      <c r="G186" s="228">
        <v>145</v>
      </c>
      <c r="H186" s="229">
        <v>4.07E-2</v>
      </c>
      <c r="I186" s="231">
        <v>3707.9</v>
      </c>
      <c r="J186" s="231">
        <v>3563.8</v>
      </c>
      <c r="K186" s="228">
        <v>144.1</v>
      </c>
      <c r="L186" s="229">
        <v>4.0399999999999998E-2</v>
      </c>
      <c r="M186" s="231">
        <v>3708.6</v>
      </c>
      <c r="N186" s="231">
        <v>3563.6</v>
      </c>
      <c r="O186" s="228">
        <v>145</v>
      </c>
      <c r="P186" s="229">
        <v>4.07E-2</v>
      </c>
      <c r="Q186" s="231">
        <v>3692.7</v>
      </c>
      <c r="R186" s="231">
        <v>3548.4</v>
      </c>
      <c r="S186" s="228">
        <v>144.30000000000001</v>
      </c>
      <c r="T186" s="229">
        <v>4.07E-2</v>
      </c>
      <c r="U186" s="231">
        <v>3685.2</v>
      </c>
      <c r="V186" s="231">
        <v>3552</v>
      </c>
      <c r="W186" s="228">
        <v>133.19999999999999</v>
      </c>
      <c r="X186" s="229">
        <v>3.7499999999999999E-2</v>
      </c>
      <c r="Y186" s="228">
        <v>0.7</v>
      </c>
      <c r="Z186" s="228">
        <v>-0.2</v>
      </c>
      <c r="AA186" s="228">
        <v>0.9</v>
      </c>
      <c r="AB186" s="229">
        <v>2.0000000000000001E-4</v>
      </c>
      <c r="AC186" s="228">
        <v>0.7</v>
      </c>
      <c r="AD186" s="228">
        <v>-0.2</v>
      </c>
      <c r="AE186" s="228">
        <v>0.9</v>
      </c>
      <c r="AF186" s="229">
        <v>2.0000000000000001E-4</v>
      </c>
      <c r="AG186" s="228">
        <v>-15.2</v>
      </c>
      <c r="AH186" s="228">
        <v>-15.4</v>
      </c>
      <c r="AI186" s="228">
        <v>0.2</v>
      </c>
      <c r="AJ186" s="229">
        <v>-4.1000000000000003E-3</v>
      </c>
      <c r="AK186" s="228">
        <v>-22.7</v>
      </c>
      <c r="AL186" s="228">
        <v>-11.8</v>
      </c>
      <c r="AM186" s="228">
        <v>-10.9</v>
      </c>
      <c r="AN186" s="229">
        <v>-6.1000000000000004E-3</v>
      </c>
      <c r="AO186" s="231">
        <v>3660.59</v>
      </c>
      <c r="AP186" s="231">
        <v>3644.06</v>
      </c>
      <c r="AQ186" s="228">
        <v>0</v>
      </c>
      <c r="AR186" s="230">
        <v>1145025</v>
      </c>
      <c r="AS186" s="230">
        <v>1157975</v>
      </c>
      <c r="AT186" s="230">
        <v>-12950</v>
      </c>
      <c r="AU186" s="229">
        <v>-1.12E-2</v>
      </c>
      <c r="AV186" s="230">
        <v>960925</v>
      </c>
      <c r="AW186" s="230">
        <v>966000</v>
      </c>
      <c r="AX186" s="230">
        <v>-5075</v>
      </c>
      <c r="AY186" s="229">
        <v>-5.3E-3</v>
      </c>
      <c r="AZ186" s="230">
        <v>171325</v>
      </c>
      <c r="BA186" s="230">
        <v>176750</v>
      </c>
      <c r="BB186" s="230">
        <v>-5425</v>
      </c>
      <c r="BC186" s="229">
        <v>-3.0700000000000002E-2</v>
      </c>
      <c r="BD186" s="230">
        <v>12775</v>
      </c>
      <c r="BE186" s="230">
        <v>15225</v>
      </c>
      <c r="BF186" s="230">
        <v>-2450</v>
      </c>
      <c r="BG186" s="229">
        <v>-0.16089999999999999</v>
      </c>
      <c r="BH186" s="230">
        <v>9022475</v>
      </c>
      <c r="BI186" s="230">
        <v>5378275</v>
      </c>
      <c r="BJ186" s="230">
        <v>3644200</v>
      </c>
      <c r="BK186" s="229">
        <v>0.67759999999999998</v>
      </c>
      <c r="BL186" s="230">
        <v>4194400</v>
      </c>
      <c r="BM186" s="230">
        <v>2635325</v>
      </c>
      <c r="BN186" s="230">
        <v>1559075</v>
      </c>
      <c r="BO186" s="229">
        <v>0.59160000000000001</v>
      </c>
      <c r="BP186" s="230">
        <v>14361900</v>
      </c>
      <c r="BQ186" s="230">
        <v>9171575</v>
      </c>
      <c r="BR186" s="230">
        <v>5190325</v>
      </c>
      <c r="BS186" s="229">
        <v>0.56589999999999996</v>
      </c>
      <c r="BT186" s="230">
        <v>1105747</v>
      </c>
      <c r="BU186" s="230">
        <v>1063439</v>
      </c>
      <c r="BV186" s="230">
        <v>42308</v>
      </c>
      <c r="BW186" s="229">
        <v>3.9800000000000002E-2</v>
      </c>
      <c r="BX186" s="230">
        <v>3456775</v>
      </c>
      <c r="BY186" s="230">
        <v>3467800</v>
      </c>
      <c r="BZ186" s="230">
        <v>-11025</v>
      </c>
      <c r="CA186" s="229">
        <v>-3.2000000000000002E-3</v>
      </c>
      <c r="CB186" s="230">
        <v>3193050</v>
      </c>
      <c r="CC186" s="230">
        <v>3233650</v>
      </c>
      <c r="CD186" s="230">
        <v>-40600</v>
      </c>
      <c r="CE186" s="229">
        <v>-1.26E-2</v>
      </c>
      <c r="CF186" s="230">
        <v>245875</v>
      </c>
      <c r="CG186" s="230">
        <v>215425</v>
      </c>
      <c r="CH186" s="230">
        <v>30450</v>
      </c>
      <c r="CI186" s="229">
        <v>0.14130000000000001</v>
      </c>
      <c r="CJ186" s="230">
        <v>17850</v>
      </c>
      <c r="CK186" s="230">
        <v>18725</v>
      </c>
      <c r="CL186" s="228">
        <v>-875</v>
      </c>
      <c r="CM186" s="229">
        <v>-4.6699999999999998E-2</v>
      </c>
      <c r="CN186" s="230">
        <v>1396500</v>
      </c>
      <c r="CO186" s="230">
        <v>1458450</v>
      </c>
      <c r="CP186" s="230">
        <v>-61950</v>
      </c>
      <c r="CQ186" s="229">
        <v>-4.2500000000000003E-2</v>
      </c>
      <c r="CR186" s="230">
        <v>1331225</v>
      </c>
      <c r="CS186" s="230">
        <v>1115975</v>
      </c>
      <c r="CT186" s="230">
        <v>215250</v>
      </c>
      <c r="CU186" s="229">
        <v>0.19289999999999999</v>
      </c>
      <c r="CV186" s="230">
        <v>6184500</v>
      </c>
      <c r="CW186" s="230">
        <v>6042225</v>
      </c>
      <c r="CX186" s="230">
        <v>142275</v>
      </c>
      <c r="CY186" s="229">
        <v>2.35E-2</v>
      </c>
      <c r="CZ186" s="228">
        <v>39.270000000000003</v>
      </c>
      <c r="DA186" s="228">
        <v>39.26</v>
      </c>
      <c r="DB186" s="228">
        <v>0.01</v>
      </c>
      <c r="DC186" s="228">
        <v>0.01</v>
      </c>
      <c r="DD186" s="228">
        <v>41.19</v>
      </c>
      <c r="DE186" s="228">
        <v>40.94</v>
      </c>
      <c r="DF186" s="228">
        <v>-1.92</v>
      </c>
      <c r="DG186" s="228">
        <v>0.25</v>
      </c>
      <c r="DH186" s="228">
        <v>37.94</v>
      </c>
      <c r="DI186" s="228">
        <v>38.96</v>
      </c>
      <c r="DJ186" s="228">
        <v>-1.02</v>
      </c>
      <c r="DK186" s="228">
        <v>-1.02</v>
      </c>
      <c r="DL186" s="228">
        <v>42.14</v>
      </c>
      <c r="DM186" s="228">
        <v>39.86</v>
      </c>
      <c r="DN186" s="228">
        <v>2.2799999999999998</v>
      </c>
      <c r="DO186" s="228">
        <v>2.2799999999999998</v>
      </c>
      <c r="DP186" s="228">
        <v>0.95</v>
      </c>
      <c r="DQ186" s="228">
        <v>0.77</v>
      </c>
      <c r="DR186" s="228">
        <v>0.18</v>
      </c>
      <c r="DS186" s="229">
        <v>0.23380000000000001</v>
      </c>
      <c r="DT186" s="231">
        <v>3900</v>
      </c>
      <c r="DU186" s="231">
        <v>3500</v>
      </c>
      <c r="DV186" s="228">
        <v>0.46</v>
      </c>
      <c r="DW186" s="228">
        <v>0.49</v>
      </c>
      <c r="DX186" s="228">
        <v>-0.03</v>
      </c>
      <c r="DY186" s="229">
        <v>-6.1199999999999997E-2</v>
      </c>
      <c r="DZ186" s="229">
        <v>7.6300000000000007E-2</v>
      </c>
      <c r="EA186" s="230">
        <v>234150</v>
      </c>
      <c r="EB186" s="229">
        <v>-4.3E-3</v>
      </c>
      <c r="EC186" s="229">
        <v>7.6300000000000007E-2</v>
      </c>
      <c r="ED186" s="228">
        <v>-16.53</v>
      </c>
      <c r="EE186" s="229">
        <v>-4.4999999999999997E-3</v>
      </c>
      <c r="EF186" s="230">
        <v>375812</v>
      </c>
      <c r="EG186" s="230">
        <v>386096</v>
      </c>
      <c r="EH186" s="229">
        <v>-2.6599999999999999E-2</v>
      </c>
      <c r="EI186" s="229">
        <v>0.33989999999999998</v>
      </c>
      <c r="EJ186" s="231">
        <v>344136.93</v>
      </c>
      <c r="EK186" s="231">
        <v>141568.56</v>
      </c>
      <c r="EL186" s="231">
        <v>41883.43</v>
      </c>
      <c r="EM186" s="231">
        <v>6580</v>
      </c>
      <c r="EN186" s="231">
        <v>527588.92000000004</v>
      </c>
      <c r="EO186" s="231">
        <v>333383.53999999998</v>
      </c>
      <c r="EP186" s="231">
        <v>194205.38</v>
      </c>
      <c r="EQ186" s="229">
        <v>0.58250000000000002</v>
      </c>
      <c r="ER186" s="231">
        <v>50909</v>
      </c>
      <c r="ES186" s="231">
        <v>44329</v>
      </c>
      <c r="ET186" s="231">
        <v>128155</v>
      </c>
      <c r="EU186" s="231">
        <v>10374894</v>
      </c>
      <c r="EV186" s="231">
        <v>223393</v>
      </c>
      <c r="EW186" s="231">
        <v>212317</v>
      </c>
      <c r="EX186" s="231">
        <v>11076</v>
      </c>
      <c r="EY186" s="229">
        <v>5.2200000000000003E-2</v>
      </c>
      <c r="EZ186" s="229">
        <v>0.59609999999999996</v>
      </c>
      <c r="FA186" s="227" t="s">
        <v>693</v>
      </c>
      <c r="FB186" s="161">
        <f t="shared" si="4"/>
        <v>0</v>
      </c>
    </row>
    <row r="187" spans="1:158" ht="17.25" thickBot="1" x14ac:dyDescent="0.3">
      <c r="A187" s="226">
        <v>46129</v>
      </c>
      <c r="B187" s="227" t="s">
        <v>498</v>
      </c>
      <c r="C187" s="227" t="s">
        <v>645</v>
      </c>
      <c r="D187" s="228">
        <v>50</v>
      </c>
      <c r="E187" s="231">
        <v>15140</v>
      </c>
      <c r="F187" s="231">
        <v>15048</v>
      </c>
      <c r="G187" s="228">
        <v>92</v>
      </c>
      <c r="H187" s="229">
        <v>6.1000000000000004E-3</v>
      </c>
      <c r="I187" s="231">
        <v>15089</v>
      </c>
      <c r="J187" s="231">
        <v>14990</v>
      </c>
      <c r="K187" s="228">
        <v>99</v>
      </c>
      <c r="L187" s="229">
        <v>6.6E-3</v>
      </c>
      <c r="M187" s="231">
        <v>15140</v>
      </c>
      <c r="N187" s="231">
        <v>15048</v>
      </c>
      <c r="O187" s="228">
        <v>92</v>
      </c>
      <c r="P187" s="229">
        <v>6.1000000000000004E-3</v>
      </c>
      <c r="Q187" s="231">
        <v>15208</v>
      </c>
      <c r="R187" s="231">
        <v>15066</v>
      </c>
      <c r="S187" s="228">
        <v>142</v>
      </c>
      <c r="T187" s="229">
        <v>9.4000000000000004E-3</v>
      </c>
      <c r="U187" s="231">
        <v>15286</v>
      </c>
      <c r="V187" s="231">
        <v>15125</v>
      </c>
      <c r="W187" s="228">
        <v>161</v>
      </c>
      <c r="X187" s="229">
        <v>1.06E-2</v>
      </c>
      <c r="Y187" s="228">
        <v>51</v>
      </c>
      <c r="Z187" s="228">
        <v>58</v>
      </c>
      <c r="AA187" s="228">
        <v>-7</v>
      </c>
      <c r="AB187" s="229">
        <v>3.3999999999999998E-3</v>
      </c>
      <c r="AC187" s="228">
        <v>51</v>
      </c>
      <c r="AD187" s="228">
        <v>58</v>
      </c>
      <c r="AE187" s="228">
        <v>-7</v>
      </c>
      <c r="AF187" s="229">
        <v>3.3999999999999998E-3</v>
      </c>
      <c r="AG187" s="228">
        <v>119</v>
      </c>
      <c r="AH187" s="228">
        <v>76</v>
      </c>
      <c r="AI187" s="228">
        <v>43</v>
      </c>
      <c r="AJ187" s="229">
        <v>7.9000000000000008E-3</v>
      </c>
      <c r="AK187" s="228">
        <v>197</v>
      </c>
      <c r="AL187" s="228">
        <v>135</v>
      </c>
      <c r="AM187" s="228">
        <v>62</v>
      </c>
      <c r="AN187" s="229">
        <v>1.3100000000000001E-2</v>
      </c>
      <c r="AO187" s="231">
        <v>15113.01</v>
      </c>
      <c r="AP187" s="231">
        <v>15169.22</v>
      </c>
      <c r="AQ187" s="228">
        <v>0</v>
      </c>
      <c r="AR187" s="230">
        <v>124900</v>
      </c>
      <c r="AS187" s="230">
        <v>140650</v>
      </c>
      <c r="AT187" s="230">
        <v>-15750</v>
      </c>
      <c r="AU187" s="229">
        <v>-0.112</v>
      </c>
      <c r="AV187" s="230">
        <v>87400</v>
      </c>
      <c r="AW187" s="230">
        <v>109550</v>
      </c>
      <c r="AX187" s="230">
        <v>-22150</v>
      </c>
      <c r="AY187" s="229">
        <v>-0.20219999999999999</v>
      </c>
      <c r="AZ187" s="230">
        <v>23650</v>
      </c>
      <c r="BA187" s="230">
        <v>26700</v>
      </c>
      <c r="BB187" s="230">
        <v>-3050</v>
      </c>
      <c r="BC187" s="229">
        <v>-0.1142</v>
      </c>
      <c r="BD187" s="230">
        <v>13850</v>
      </c>
      <c r="BE187" s="230">
        <v>4400</v>
      </c>
      <c r="BF187" s="230">
        <v>9450</v>
      </c>
      <c r="BG187" s="229">
        <v>2.1476999999999999</v>
      </c>
      <c r="BH187" s="230">
        <v>313300</v>
      </c>
      <c r="BI187" s="230">
        <v>493450</v>
      </c>
      <c r="BJ187" s="230">
        <v>-180150</v>
      </c>
      <c r="BK187" s="229">
        <v>-0.36509999999999998</v>
      </c>
      <c r="BL187" s="230">
        <v>848550</v>
      </c>
      <c r="BM187" s="230">
        <v>274750</v>
      </c>
      <c r="BN187" s="230">
        <v>573800</v>
      </c>
      <c r="BO187" s="229">
        <v>2.0884</v>
      </c>
      <c r="BP187" s="230">
        <v>1286750</v>
      </c>
      <c r="BQ187" s="230">
        <v>908850</v>
      </c>
      <c r="BR187" s="230">
        <v>377900</v>
      </c>
      <c r="BS187" s="229">
        <v>0.4158</v>
      </c>
      <c r="BT187" s="230">
        <v>135419</v>
      </c>
      <c r="BU187" s="230">
        <v>167345</v>
      </c>
      <c r="BV187" s="230">
        <v>-31926</v>
      </c>
      <c r="BW187" s="229">
        <v>-0.1908</v>
      </c>
      <c r="BX187" s="230">
        <v>784300</v>
      </c>
      <c r="BY187" s="230">
        <v>775000</v>
      </c>
      <c r="BZ187" s="230">
        <v>9300</v>
      </c>
      <c r="CA187" s="229">
        <v>1.2E-2</v>
      </c>
      <c r="CB187" s="230">
        <v>658600</v>
      </c>
      <c r="CC187" s="230">
        <v>663600</v>
      </c>
      <c r="CD187" s="230">
        <v>-5000</v>
      </c>
      <c r="CE187" s="229">
        <v>-7.4999999999999997E-3</v>
      </c>
      <c r="CF187" s="230">
        <v>95000</v>
      </c>
      <c r="CG187" s="230">
        <v>90900</v>
      </c>
      <c r="CH187" s="230">
        <v>4100</v>
      </c>
      <c r="CI187" s="229">
        <v>4.5100000000000001E-2</v>
      </c>
      <c r="CJ187" s="230">
        <v>30700</v>
      </c>
      <c r="CK187" s="230">
        <v>20500</v>
      </c>
      <c r="CL187" s="230">
        <v>10200</v>
      </c>
      <c r="CM187" s="229">
        <v>0.49759999999999999</v>
      </c>
      <c r="CN187" s="230">
        <v>302000</v>
      </c>
      <c r="CO187" s="230">
        <v>292800</v>
      </c>
      <c r="CP187" s="230">
        <v>9200</v>
      </c>
      <c r="CQ187" s="229">
        <v>3.1399999999999997E-2</v>
      </c>
      <c r="CR187" s="230">
        <v>230850</v>
      </c>
      <c r="CS187" s="230">
        <v>217850</v>
      </c>
      <c r="CT187" s="230">
        <v>13000</v>
      </c>
      <c r="CU187" s="229">
        <v>5.9700000000000003E-2</v>
      </c>
      <c r="CV187" s="230">
        <v>1317150</v>
      </c>
      <c r="CW187" s="230">
        <v>1285650</v>
      </c>
      <c r="CX187" s="230">
        <v>31500</v>
      </c>
      <c r="CY187" s="229">
        <v>2.4500000000000001E-2</v>
      </c>
      <c r="CZ187" s="228">
        <v>48.79</v>
      </c>
      <c r="DA187" s="228">
        <v>39.229999999999997</v>
      </c>
      <c r="DB187" s="228">
        <v>9.56</v>
      </c>
      <c r="DC187" s="228">
        <v>9.56</v>
      </c>
      <c r="DD187" s="228">
        <v>41.58</v>
      </c>
      <c r="DE187" s="228">
        <v>41.67</v>
      </c>
      <c r="DF187" s="228">
        <v>7.21</v>
      </c>
      <c r="DG187" s="228">
        <v>-0.09</v>
      </c>
      <c r="DH187" s="228">
        <v>33.82</v>
      </c>
      <c r="DI187" s="228">
        <v>36.14</v>
      </c>
      <c r="DJ187" s="228">
        <v>-2.3199999999999998</v>
      </c>
      <c r="DK187" s="228">
        <v>-2.3199999999999998</v>
      </c>
      <c r="DL187" s="228">
        <v>54.32</v>
      </c>
      <c r="DM187" s="228">
        <v>44.78</v>
      </c>
      <c r="DN187" s="228">
        <v>9.5399999999999991</v>
      </c>
      <c r="DO187" s="228">
        <v>9.5399999999999991</v>
      </c>
      <c r="DP187" s="228">
        <v>0.76</v>
      </c>
      <c r="DQ187" s="228">
        <v>0.74</v>
      </c>
      <c r="DR187" s="228">
        <v>0.02</v>
      </c>
      <c r="DS187" s="229">
        <v>2.7E-2</v>
      </c>
      <c r="DT187" s="231">
        <v>16000</v>
      </c>
      <c r="DU187" s="231">
        <v>13000</v>
      </c>
      <c r="DV187" s="228">
        <v>2.71</v>
      </c>
      <c r="DW187" s="228">
        <v>0.56000000000000005</v>
      </c>
      <c r="DX187" s="228">
        <v>2.15</v>
      </c>
      <c r="DY187" s="229">
        <v>3.8393000000000002</v>
      </c>
      <c r="DZ187" s="229">
        <v>0.1603</v>
      </c>
      <c r="EA187" s="230">
        <v>111400</v>
      </c>
      <c r="EB187" s="229">
        <v>4.4999999999999997E-3</v>
      </c>
      <c r="EC187" s="229">
        <v>0.1603</v>
      </c>
      <c r="ED187" s="228">
        <v>56.21</v>
      </c>
      <c r="EE187" s="229">
        <v>3.7000000000000002E-3</v>
      </c>
      <c r="EF187" s="230">
        <v>57310</v>
      </c>
      <c r="EG187" s="230">
        <v>66258</v>
      </c>
      <c r="EH187" s="229">
        <v>-0.13500000000000001</v>
      </c>
      <c r="EI187" s="229">
        <v>0.42320000000000002</v>
      </c>
      <c r="EJ187" s="231">
        <v>49506.34</v>
      </c>
      <c r="EK187" s="231">
        <v>106402.21</v>
      </c>
      <c r="EL187" s="231">
        <v>18911.759999999998</v>
      </c>
      <c r="EM187" s="231">
        <v>2869</v>
      </c>
      <c r="EN187" s="231">
        <v>174820.31</v>
      </c>
      <c r="EO187" s="231">
        <v>136273.96</v>
      </c>
      <c r="EP187" s="231">
        <v>38546.35</v>
      </c>
      <c r="EQ187" s="229">
        <v>0.28289999999999998</v>
      </c>
      <c r="ER187" s="231">
        <v>44603</v>
      </c>
      <c r="ES187" s="231">
        <v>30514</v>
      </c>
      <c r="ET187" s="231">
        <v>118852</v>
      </c>
      <c r="EU187" s="231">
        <v>3644817</v>
      </c>
      <c r="EV187" s="231">
        <v>193970</v>
      </c>
      <c r="EW187" s="231">
        <v>188597</v>
      </c>
      <c r="EX187" s="231">
        <v>5373</v>
      </c>
      <c r="EY187" s="229">
        <v>2.8500000000000001E-2</v>
      </c>
      <c r="EZ187" s="229">
        <v>0.3614</v>
      </c>
      <c r="FA187" s="227" t="s">
        <v>555</v>
      </c>
      <c r="FB187" s="161">
        <f t="shared" si="4"/>
        <v>0</v>
      </c>
    </row>
    <row r="188" spans="1:158" ht="17.25" thickBot="1" x14ac:dyDescent="0.3">
      <c r="A188" s="226">
        <v>46129</v>
      </c>
      <c r="B188" s="227" t="s">
        <v>162</v>
      </c>
      <c r="C188" s="227" t="s">
        <v>613</v>
      </c>
      <c r="D188" s="228">
        <v>1225</v>
      </c>
      <c r="E188" s="228">
        <v>594.95000000000005</v>
      </c>
      <c r="F188" s="228">
        <v>583.1</v>
      </c>
      <c r="G188" s="228">
        <v>11.85</v>
      </c>
      <c r="H188" s="229">
        <v>2.0299999999999999E-2</v>
      </c>
      <c r="I188" s="228">
        <v>593.85</v>
      </c>
      <c r="J188" s="228">
        <v>580.85</v>
      </c>
      <c r="K188" s="228">
        <v>13</v>
      </c>
      <c r="L188" s="229">
        <v>2.24E-2</v>
      </c>
      <c r="M188" s="228">
        <v>594.95000000000005</v>
      </c>
      <c r="N188" s="228">
        <v>583.1</v>
      </c>
      <c r="O188" s="228">
        <v>11.85</v>
      </c>
      <c r="P188" s="229">
        <v>2.0299999999999999E-2</v>
      </c>
      <c r="Q188" s="228">
        <v>597.54999999999995</v>
      </c>
      <c r="R188" s="228">
        <v>584.35</v>
      </c>
      <c r="S188" s="228">
        <v>13.2</v>
      </c>
      <c r="T188" s="229">
        <v>2.2599999999999999E-2</v>
      </c>
      <c r="U188" s="228">
        <v>599.75</v>
      </c>
      <c r="V188" s="228">
        <v>584.85</v>
      </c>
      <c r="W188" s="228">
        <v>14.9</v>
      </c>
      <c r="X188" s="229">
        <v>2.5499999999999998E-2</v>
      </c>
      <c r="Y188" s="228">
        <v>1.1000000000000001</v>
      </c>
      <c r="Z188" s="228">
        <v>2.25</v>
      </c>
      <c r="AA188" s="228">
        <v>-1.1499999999999999</v>
      </c>
      <c r="AB188" s="229">
        <v>1.9E-3</v>
      </c>
      <c r="AC188" s="228">
        <v>1.1000000000000001</v>
      </c>
      <c r="AD188" s="228">
        <v>2.25</v>
      </c>
      <c r="AE188" s="228">
        <v>-1.1499999999999999</v>
      </c>
      <c r="AF188" s="229">
        <v>1.9E-3</v>
      </c>
      <c r="AG188" s="228">
        <v>3.7</v>
      </c>
      <c r="AH188" s="228">
        <v>3.5</v>
      </c>
      <c r="AI188" s="228">
        <v>0.2</v>
      </c>
      <c r="AJ188" s="229">
        <v>6.1999999999999998E-3</v>
      </c>
      <c r="AK188" s="228">
        <v>5.9</v>
      </c>
      <c r="AL188" s="228">
        <v>4</v>
      </c>
      <c r="AM188" s="228">
        <v>1.9</v>
      </c>
      <c r="AN188" s="229">
        <v>9.9000000000000008E-3</v>
      </c>
      <c r="AO188" s="228">
        <v>591.25</v>
      </c>
      <c r="AP188" s="228">
        <v>593.79</v>
      </c>
      <c r="AQ188" s="228">
        <v>0</v>
      </c>
      <c r="AR188" s="230">
        <v>3994725</v>
      </c>
      <c r="AS188" s="230">
        <v>3175200</v>
      </c>
      <c r="AT188" s="230">
        <v>819525</v>
      </c>
      <c r="AU188" s="229">
        <v>0.2581</v>
      </c>
      <c r="AV188" s="230">
        <v>3519425</v>
      </c>
      <c r="AW188" s="230">
        <v>2922850</v>
      </c>
      <c r="AX188" s="230">
        <v>596575</v>
      </c>
      <c r="AY188" s="229">
        <v>0.2041</v>
      </c>
      <c r="AZ188" s="230">
        <v>439775</v>
      </c>
      <c r="BA188" s="230">
        <v>213150</v>
      </c>
      <c r="BB188" s="230">
        <v>226625</v>
      </c>
      <c r="BC188" s="229">
        <v>1.0631999999999999</v>
      </c>
      <c r="BD188" s="230">
        <v>35525</v>
      </c>
      <c r="BE188" s="230">
        <v>39200</v>
      </c>
      <c r="BF188" s="230">
        <v>-3675</v>
      </c>
      <c r="BG188" s="229">
        <v>-9.3799999999999994E-2</v>
      </c>
      <c r="BH188" s="230">
        <v>10296125</v>
      </c>
      <c r="BI188" s="230">
        <v>4030250</v>
      </c>
      <c r="BJ188" s="230">
        <v>6265875</v>
      </c>
      <c r="BK188" s="229">
        <v>1.5547</v>
      </c>
      <c r="BL188" s="230">
        <v>3644375</v>
      </c>
      <c r="BM188" s="230">
        <v>2189075</v>
      </c>
      <c r="BN188" s="230">
        <v>1455300</v>
      </c>
      <c r="BO188" s="229">
        <v>0.66479999999999995</v>
      </c>
      <c r="BP188" s="230">
        <v>17935225</v>
      </c>
      <c r="BQ188" s="230">
        <v>9394525</v>
      </c>
      <c r="BR188" s="230">
        <v>8540700</v>
      </c>
      <c r="BS188" s="229">
        <v>0.90910000000000002</v>
      </c>
      <c r="BT188" s="230">
        <v>3694058</v>
      </c>
      <c r="BU188" s="230">
        <v>2505232</v>
      </c>
      <c r="BV188" s="230">
        <v>1188826</v>
      </c>
      <c r="BW188" s="229">
        <v>0.47449999999999998</v>
      </c>
      <c r="BX188" s="230">
        <v>14274925</v>
      </c>
      <c r="BY188" s="230">
        <v>14256550</v>
      </c>
      <c r="BZ188" s="230">
        <v>18375</v>
      </c>
      <c r="CA188" s="229">
        <v>1.2999999999999999E-3</v>
      </c>
      <c r="CB188" s="230">
        <v>13820450</v>
      </c>
      <c r="CC188" s="230">
        <v>13930700</v>
      </c>
      <c r="CD188" s="230">
        <v>-110250</v>
      </c>
      <c r="CE188" s="229">
        <v>-7.9000000000000008E-3</v>
      </c>
      <c r="CF188" s="230">
        <v>395675</v>
      </c>
      <c r="CG188" s="230">
        <v>285425</v>
      </c>
      <c r="CH188" s="230">
        <v>110250</v>
      </c>
      <c r="CI188" s="229">
        <v>0.38629999999999998</v>
      </c>
      <c r="CJ188" s="230">
        <v>58800</v>
      </c>
      <c r="CK188" s="230">
        <v>40425</v>
      </c>
      <c r="CL188" s="230">
        <v>18375</v>
      </c>
      <c r="CM188" s="229">
        <v>0.45450000000000002</v>
      </c>
      <c r="CN188" s="230">
        <v>4523925</v>
      </c>
      <c r="CO188" s="230">
        <v>4401425</v>
      </c>
      <c r="CP188" s="230">
        <v>122500</v>
      </c>
      <c r="CQ188" s="229">
        <v>2.7799999999999998E-2</v>
      </c>
      <c r="CR188" s="230">
        <v>3552500</v>
      </c>
      <c r="CS188" s="230">
        <v>3537800</v>
      </c>
      <c r="CT188" s="230">
        <v>14700</v>
      </c>
      <c r="CU188" s="229">
        <v>4.1999999999999997E-3</v>
      </c>
      <c r="CV188" s="230">
        <v>22351350</v>
      </c>
      <c r="CW188" s="230">
        <v>22195775</v>
      </c>
      <c r="CX188" s="230">
        <v>155575</v>
      </c>
      <c r="CY188" s="229">
        <v>7.0000000000000001E-3</v>
      </c>
      <c r="CZ188" s="228">
        <v>38.270000000000003</v>
      </c>
      <c r="DA188" s="228">
        <v>38.82</v>
      </c>
      <c r="DB188" s="228">
        <v>-0.55000000000000004</v>
      </c>
      <c r="DC188" s="228">
        <v>-0.55000000000000004</v>
      </c>
      <c r="DD188" s="228">
        <v>41.42</v>
      </c>
      <c r="DE188" s="228">
        <v>41.44</v>
      </c>
      <c r="DF188" s="228">
        <v>-3.15</v>
      </c>
      <c r="DG188" s="228">
        <v>-0.02</v>
      </c>
      <c r="DH188" s="228">
        <v>37.78</v>
      </c>
      <c r="DI188" s="228">
        <v>37.93</v>
      </c>
      <c r="DJ188" s="228">
        <v>-0.15</v>
      </c>
      <c r="DK188" s="228">
        <v>-0.15</v>
      </c>
      <c r="DL188" s="228">
        <v>39.67</v>
      </c>
      <c r="DM188" s="228">
        <v>40.46</v>
      </c>
      <c r="DN188" s="228">
        <v>-0.79</v>
      </c>
      <c r="DO188" s="228">
        <v>-0.79</v>
      </c>
      <c r="DP188" s="228">
        <v>0.79</v>
      </c>
      <c r="DQ188" s="228">
        <v>0.8</v>
      </c>
      <c r="DR188" s="228">
        <v>-0.01</v>
      </c>
      <c r="DS188" s="229">
        <v>-1.2500000000000001E-2</v>
      </c>
      <c r="DT188" s="228">
        <v>600</v>
      </c>
      <c r="DU188" s="228">
        <v>550</v>
      </c>
      <c r="DV188" s="228">
        <v>0.35</v>
      </c>
      <c r="DW188" s="228">
        <v>0.54</v>
      </c>
      <c r="DX188" s="228">
        <v>-0.19</v>
      </c>
      <c r="DY188" s="229">
        <v>-0.35189999999999999</v>
      </c>
      <c r="DZ188" s="229">
        <v>3.1800000000000002E-2</v>
      </c>
      <c r="EA188" s="230">
        <v>325850</v>
      </c>
      <c r="EB188" s="229">
        <v>4.4000000000000003E-3</v>
      </c>
      <c r="EC188" s="229">
        <v>3.1800000000000002E-2</v>
      </c>
      <c r="ED188" s="228">
        <v>2.54</v>
      </c>
      <c r="EE188" s="229">
        <v>4.3E-3</v>
      </c>
      <c r="EF188" s="230">
        <v>2150134</v>
      </c>
      <c r="EG188" s="230">
        <v>1353409</v>
      </c>
      <c r="EH188" s="229">
        <v>0.5887</v>
      </c>
      <c r="EI188" s="229">
        <v>0.58209999999999995</v>
      </c>
      <c r="EJ188" s="231">
        <v>63494.94</v>
      </c>
      <c r="EK188" s="231">
        <v>21032.26</v>
      </c>
      <c r="EL188" s="231">
        <v>23631.57</v>
      </c>
      <c r="EM188" s="231">
        <v>5052</v>
      </c>
      <c r="EN188" s="231">
        <v>108158.77</v>
      </c>
      <c r="EO188" s="231">
        <v>55738.59</v>
      </c>
      <c r="EP188" s="231">
        <v>52420.18</v>
      </c>
      <c r="EQ188" s="229">
        <v>0.9405</v>
      </c>
      <c r="ER188" s="231">
        <v>26070</v>
      </c>
      <c r="ES188" s="231">
        <v>18992</v>
      </c>
      <c r="ET188" s="231">
        <v>84942</v>
      </c>
      <c r="EU188" s="231">
        <v>61283708</v>
      </c>
      <c r="EV188" s="231">
        <v>130004</v>
      </c>
      <c r="EW188" s="231">
        <v>127184</v>
      </c>
      <c r="EX188" s="231">
        <v>2820</v>
      </c>
      <c r="EY188" s="229">
        <v>2.2200000000000001E-2</v>
      </c>
      <c r="EZ188" s="229">
        <v>0.36470000000000002</v>
      </c>
      <c r="FA188" s="227" t="s">
        <v>555</v>
      </c>
      <c r="FB188" s="161">
        <f t="shared" si="4"/>
        <v>0</v>
      </c>
    </row>
    <row r="189" spans="1:158" ht="17.25" thickBot="1" x14ac:dyDescent="0.3">
      <c r="A189" s="226">
        <v>46129</v>
      </c>
      <c r="B189" s="227" t="s">
        <v>197</v>
      </c>
      <c r="C189" s="227" t="s">
        <v>286</v>
      </c>
      <c r="D189" s="228">
        <v>200</v>
      </c>
      <c r="E189" s="231">
        <v>2495.3000000000002</v>
      </c>
      <c r="F189" s="231">
        <v>2507.9</v>
      </c>
      <c r="G189" s="228">
        <v>-12.6</v>
      </c>
      <c r="H189" s="229">
        <v>-5.0000000000000001E-3</v>
      </c>
      <c r="I189" s="231">
        <v>2494.5</v>
      </c>
      <c r="J189" s="231">
        <v>2504</v>
      </c>
      <c r="K189" s="228">
        <v>-9.5</v>
      </c>
      <c r="L189" s="229">
        <v>-3.8E-3</v>
      </c>
      <c r="M189" s="231">
        <v>2495.3000000000002</v>
      </c>
      <c r="N189" s="231">
        <v>2507.9</v>
      </c>
      <c r="O189" s="228">
        <v>-12.6</v>
      </c>
      <c r="P189" s="229">
        <v>-5.0000000000000001E-3</v>
      </c>
      <c r="Q189" s="231">
        <v>2503.1999999999998</v>
      </c>
      <c r="R189" s="231">
        <v>2515.4</v>
      </c>
      <c r="S189" s="228">
        <v>-12.2</v>
      </c>
      <c r="T189" s="229">
        <v>-4.8999999999999998E-3</v>
      </c>
      <c r="U189" s="231">
        <v>2518.6999999999998</v>
      </c>
      <c r="V189" s="231">
        <v>2532</v>
      </c>
      <c r="W189" s="228">
        <v>-13.3</v>
      </c>
      <c r="X189" s="229">
        <v>-5.3E-3</v>
      </c>
      <c r="Y189" s="228">
        <v>0.8</v>
      </c>
      <c r="Z189" s="228">
        <v>3.9</v>
      </c>
      <c r="AA189" s="228">
        <v>-3.1</v>
      </c>
      <c r="AB189" s="229">
        <v>2.9999999999999997E-4</v>
      </c>
      <c r="AC189" s="228">
        <v>0.8</v>
      </c>
      <c r="AD189" s="228">
        <v>3.9</v>
      </c>
      <c r="AE189" s="228">
        <v>-3.1</v>
      </c>
      <c r="AF189" s="229">
        <v>2.9999999999999997E-4</v>
      </c>
      <c r="AG189" s="228">
        <v>8.6999999999999993</v>
      </c>
      <c r="AH189" s="228">
        <v>11.4</v>
      </c>
      <c r="AI189" s="228">
        <v>-2.7</v>
      </c>
      <c r="AJ189" s="229">
        <v>3.5000000000000001E-3</v>
      </c>
      <c r="AK189" s="228">
        <v>24.2</v>
      </c>
      <c r="AL189" s="228">
        <v>28</v>
      </c>
      <c r="AM189" s="228">
        <v>-3.8</v>
      </c>
      <c r="AN189" s="229">
        <v>9.7000000000000003E-3</v>
      </c>
      <c r="AO189" s="231">
        <v>2506.6</v>
      </c>
      <c r="AP189" s="231">
        <v>2514.56</v>
      </c>
      <c r="AQ189" s="228">
        <v>0</v>
      </c>
      <c r="AR189" s="230">
        <v>710800</v>
      </c>
      <c r="AS189" s="230">
        <v>533200</v>
      </c>
      <c r="AT189" s="230">
        <v>177600</v>
      </c>
      <c r="AU189" s="229">
        <v>0.33310000000000001</v>
      </c>
      <c r="AV189" s="230">
        <v>620600</v>
      </c>
      <c r="AW189" s="230">
        <v>466200</v>
      </c>
      <c r="AX189" s="230">
        <v>154400</v>
      </c>
      <c r="AY189" s="229">
        <v>0.33119999999999999</v>
      </c>
      <c r="AZ189" s="230">
        <v>83800</v>
      </c>
      <c r="BA189" s="230">
        <v>62400</v>
      </c>
      <c r="BB189" s="230">
        <v>21400</v>
      </c>
      <c r="BC189" s="229">
        <v>0.34289999999999998</v>
      </c>
      <c r="BD189" s="230">
        <v>6400</v>
      </c>
      <c r="BE189" s="230">
        <v>4600</v>
      </c>
      <c r="BF189" s="230">
        <v>1800</v>
      </c>
      <c r="BG189" s="229">
        <v>0.39129999999999998</v>
      </c>
      <c r="BH189" s="230">
        <v>2604400</v>
      </c>
      <c r="BI189" s="230">
        <v>1867800</v>
      </c>
      <c r="BJ189" s="230">
        <v>736600</v>
      </c>
      <c r="BK189" s="229">
        <v>0.39439999999999997</v>
      </c>
      <c r="BL189" s="230">
        <v>903000</v>
      </c>
      <c r="BM189" s="230">
        <v>602800</v>
      </c>
      <c r="BN189" s="230">
        <v>300200</v>
      </c>
      <c r="BO189" s="229">
        <v>0.498</v>
      </c>
      <c r="BP189" s="230">
        <v>4218200</v>
      </c>
      <c r="BQ189" s="230">
        <v>3003800</v>
      </c>
      <c r="BR189" s="230">
        <v>1214400</v>
      </c>
      <c r="BS189" s="229">
        <v>0.40429999999999999</v>
      </c>
      <c r="BT189" s="230">
        <v>289743</v>
      </c>
      <c r="BU189" s="230">
        <v>245765</v>
      </c>
      <c r="BV189" s="230">
        <v>43978</v>
      </c>
      <c r="BW189" s="229">
        <v>0.1789</v>
      </c>
      <c r="BX189" s="230">
        <v>4230200</v>
      </c>
      <c r="BY189" s="230">
        <v>4183400</v>
      </c>
      <c r="BZ189" s="230">
        <v>46800</v>
      </c>
      <c r="CA189" s="229">
        <v>1.12E-2</v>
      </c>
      <c r="CB189" s="230">
        <v>4040200</v>
      </c>
      <c r="CC189" s="230">
        <v>4049000</v>
      </c>
      <c r="CD189" s="230">
        <v>-8800</v>
      </c>
      <c r="CE189" s="229">
        <v>-2.2000000000000001E-3</v>
      </c>
      <c r="CF189" s="230">
        <v>168200</v>
      </c>
      <c r="CG189" s="230">
        <v>117200</v>
      </c>
      <c r="CH189" s="230">
        <v>51000</v>
      </c>
      <c r="CI189" s="229">
        <v>0.43519999999999998</v>
      </c>
      <c r="CJ189" s="230">
        <v>21800</v>
      </c>
      <c r="CK189" s="230">
        <v>17200</v>
      </c>
      <c r="CL189" s="230">
        <v>4600</v>
      </c>
      <c r="CM189" s="229">
        <v>0.26740000000000003</v>
      </c>
      <c r="CN189" s="230">
        <v>2055600</v>
      </c>
      <c r="CO189" s="230">
        <v>1663600</v>
      </c>
      <c r="CP189" s="230">
        <v>392000</v>
      </c>
      <c r="CQ189" s="229">
        <v>0.2356</v>
      </c>
      <c r="CR189" s="230">
        <v>1203000</v>
      </c>
      <c r="CS189" s="230">
        <v>1136800</v>
      </c>
      <c r="CT189" s="230">
        <v>66200</v>
      </c>
      <c r="CU189" s="229">
        <v>5.8200000000000002E-2</v>
      </c>
      <c r="CV189" s="230">
        <v>7488800</v>
      </c>
      <c r="CW189" s="230">
        <v>6983800</v>
      </c>
      <c r="CX189" s="230">
        <v>505000</v>
      </c>
      <c r="CY189" s="229">
        <v>7.2300000000000003E-2</v>
      </c>
      <c r="CZ189" s="228">
        <v>33.340000000000003</v>
      </c>
      <c r="DA189" s="228">
        <v>33.58</v>
      </c>
      <c r="DB189" s="228">
        <v>-0.24</v>
      </c>
      <c r="DC189" s="228">
        <v>-0.24</v>
      </c>
      <c r="DD189" s="228">
        <v>36.61</v>
      </c>
      <c r="DE189" s="228">
        <v>36.700000000000003</v>
      </c>
      <c r="DF189" s="228">
        <v>-3.27</v>
      </c>
      <c r="DG189" s="228">
        <v>-0.09</v>
      </c>
      <c r="DH189" s="228">
        <v>33.06</v>
      </c>
      <c r="DI189" s="228">
        <v>32.979999999999997</v>
      </c>
      <c r="DJ189" s="228">
        <v>0.08</v>
      </c>
      <c r="DK189" s="228">
        <v>0.08</v>
      </c>
      <c r="DL189" s="228">
        <v>34.159999999999997</v>
      </c>
      <c r="DM189" s="228">
        <v>35.44</v>
      </c>
      <c r="DN189" s="228">
        <v>-1.28</v>
      </c>
      <c r="DO189" s="228">
        <v>-1.28</v>
      </c>
      <c r="DP189" s="228">
        <v>0.59</v>
      </c>
      <c r="DQ189" s="228">
        <v>0.68</v>
      </c>
      <c r="DR189" s="228">
        <v>-0.09</v>
      </c>
      <c r="DS189" s="229">
        <v>-0.13239999999999999</v>
      </c>
      <c r="DT189" s="231">
        <v>2500</v>
      </c>
      <c r="DU189" s="231">
        <v>2400</v>
      </c>
      <c r="DV189" s="228">
        <v>0.35</v>
      </c>
      <c r="DW189" s="228">
        <v>0.32</v>
      </c>
      <c r="DX189" s="228">
        <v>0.03</v>
      </c>
      <c r="DY189" s="229">
        <v>9.3700000000000006E-2</v>
      </c>
      <c r="DZ189" s="229">
        <v>4.4900000000000002E-2</v>
      </c>
      <c r="EA189" s="230">
        <v>134400</v>
      </c>
      <c r="EB189" s="229">
        <v>3.2000000000000002E-3</v>
      </c>
      <c r="EC189" s="229">
        <v>4.4900000000000002E-2</v>
      </c>
      <c r="ED189" s="228">
        <v>7.96</v>
      </c>
      <c r="EE189" s="229">
        <v>3.2000000000000002E-3</v>
      </c>
      <c r="EF189" s="230">
        <v>125436</v>
      </c>
      <c r="EG189" s="230">
        <v>96105</v>
      </c>
      <c r="EH189" s="229">
        <v>0.30520000000000003</v>
      </c>
      <c r="EI189" s="229">
        <v>0.43290000000000001</v>
      </c>
      <c r="EJ189" s="231">
        <v>67627.33</v>
      </c>
      <c r="EK189" s="231">
        <v>22454.66</v>
      </c>
      <c r="EL189" s="231">
        <v>17824.78</v>
      </c>
      <c r="EM189" s="231">
        <v>3266</v>
      </c>
      <c r="EN189" s="231">
        <v>107906.77</v>
      </c>
      <c r="EO189" s="231">
        <v>76923.210000000006</v>
      </c>
      <c r="EP189" s="231">
        <v>30983.56</v>
      </c>
      <c r="EQ189" s="229">
        <v>0.40279999999999999</v>
      </c>
      <c r="ER189" s="231">
        <v>52979</v>
      </c>
      <c r="ES189" s="231">
        <v>29281</v>
      </c>
      <c r="ET189" s="231">
        <v>105575</v>
      </c>
      <c r="EU189" s="231">
        <v>19721628</v>
      </c>
      <c r="EV189" s="231">
        <v>187834</v>
      </c>
      <c r="EW189" s="231">
        <v>175477</v>
      </c>
      <c r="EX189" s="231">
        <v>12357</v>
      </c>
      <c r="EY189" s="229">
        <v>7.0400000000000004E-2</v>
      </c>
      <c r="EZ189" s="229">
        <v>0.37969999999999998</v>
      </c>
      <c r="FA189" s="227" t="s">
        <v>566</v>
      </c>
      <c r="FB189" s="161">
        <f t="shared" si="4"/>
        <v>0</v>
      </c>
    </row>
    <row r="190" spans="1:158" ht="17.25" thickBot="1" x14ac:dyDescent="0.3">
      <c r="A190" s="226">
        <v>46129</v>
      </c>
      <c r="B190" s="227" t="s">
        <v>170</v>
      </c>
      <c r="C190" s="227" t="s">
        <v>288</v>
      </c>
      <c r="D190" s="228">
        <v>350</v>
      </c>
      <c r="E190" s="231">
        <v>1674.9</v>
      </c>
      <c r="F190" s="231">
        <v>1692.9</v>
      </c>
      <c r="G190" s="228">
        <v>-18</v>
      </c>
      <c r="H190" s="229">
        <v>-1.06E-2</v>
      </c>
      <c r="I190" s="231">
        <v>1675.5</v>
      </c>
      <c r="J190" s="231">
        <v>1693.1</v>
      </c>
      <c r="K190" s="228">
        <v>-17.600000000000001</v>
      </c>
      <c r="L190" s="229">
        <v>-1.04E-2</v>
      </c>
      <c r="M190" s="231">
        <v>1674.9</v>
      </c>
      <c r="N190" s="231">
        <v>1692.9</v>
      </c>
      <c r="O190" s="228">
        <v>-18</v>
      </c>
      <c r="P190" s="229">
        <v>-1.06E-2</v>
      </c>
      <c r="Q190" s="231">
        <v>1684.2</v>
      </c>
      <c r="R190" s="231">
        <v>1701.9</v>
      </c>
      <c r="S190" s="228">
        <v>-17.7</v>
      </c>
      <c r="T190" s="229">
        <v>-1.04E-2</v>
      </c>
      <c r="U190" s="231">
        <v>1696.3</v>
      </c>
      <c r="V190" s="231">
        <v>1714</v>
      </c>
      <c r="W190" s="228">
        <v>-17.7</v>
      </c>
      <c r="X190" s="229">
        <v>-1.03E-2</v>
      </c>
      <c r="Y190" s="228">
        <v>-0.6</v>
      </c>
      <c r="Z190" s="228">
        <v>-0.2</v>
      </c>
      <c r="AA190" s="228">
        <v>-0.4</v>
      </c>
      <c r="AB190" s="229">
        <v>-4.0000000000000002E-4</v>
      </c>
      <c r="AC190" s="228">
        <v>-0.6</v>
      </c>
      <c r="AD190" s="228">
        <v>-0.2</v>
      </c>
      <c r="AE190" s="228">
        <v>-0.4</v>
      </c>
      <c r="AF190" s="229">
        <v>-4.0000000000000002E-4</v>
      </c>
      <c r="AG190" s="228">
        <v>8.6999999999999993</v>
      </c>
      <c r="AH190" s="228">
        <v>8.8000000000000007</v>
      </c>
      <c r="AI190" s="228">
        <v>-0.1</v>
      </c>
      <c r="AJ190" s="229">
        <v>5.1999999999999998E-3</v>
      </c>
      <c r="AK190" s="228">
        <v>20.8</v>
      </c>
      <c r="AL190" s="228">
        <v>20.9</v>
      </c>
      <c r="AM190" s="228">
        <v>-0.1</v>
      </c>
      <c r="AN190" s="229">
        <v>1.24E-2</v>
      </c>
      <c r="AO190" s="231">
        <v>1678.15</v>
      </c>
      <c r="AP190" s="231">
        <v>1688.02</v>
      </c>
      <c r="AQ190" s="228">
        <v>0</v>
      </c>
      <c r="AR190" s="230">
        <v>2747500</v>
      </c>
      <c r="AS190" s="230">
        <v>4410350</v>
      </c>
      <c r="AT190" s="230">
        <v>-1662850</v>
      </c>
      <c r="AU190" s="229">
        <v>-0.377</v>
      </c>
      <c r="AV190" s="230">
        <v>2127300</v>
      </c>
      <c r="AW190" s="230">
        <v>3670450</v>
      </c>
      <c r="AX190" s="230">
        <v>-1543150</v>
      </c>
      <c r="AY190" s="229">
        <v>-0.4204</v>
      </c>
      <c r="AZ190" s="230">
        <v>200200</v>
      </c>
      <c r="BA190" s="230">
        <v>197750</v>
      </c>
      <c r="BB190" s="230">
        <v>2450</v>
      </c>
      <c r="BC190" s="229">
        <v>1.24E-2</v>
      </c>
      <c r="BD190" s="230">
        <v>420000</v>
      </c>
      <c r="BE190" s="230">
        <v>542150</v>
      </c>
      <c r="BF190" s="230">
        <v>-122150</v>
      </c>
      <c r="BG190" s="229">
        <v>-0.2253</v>
      </c>
      <c r="BH190" s="230">
        <v>9800000</v>
      </c>
      <c r="BI190" s="230">
        <v>15556450</v>
      </c>
      <c r="BJ190" s="230">
        <v>-5756450</v>
      </c>
      <c r="BK190" s="229">
        <v>-0.37</v>
      </c>
      <c r="BL190" s="230">
        <v>7228550</v>
      </c>
      <c r="BM190" s="230">
        <v>12570950</v>
      </c>
      <c r="BN190" s="230">
        <v>-5342400</v>
      </c>
      <c r="BO190" s="229">
        <v>-0.42499999999999999</v>
      </c>
      <c r="BP190" s="230">
        <v>19776050</v>
      </c>
      <c r="BQ190" s="230">
        <v>32537750</v>
      </c>
      <c r="BR190" s="230">
        <v>-12761700</v>
      </c>
      <c r="BS190" s="229">
        <v>-0.39219999999999999</v>
      </c>
      <c r="BT190" s="230">
        <v>3328143</v>
      </c>
      <c r="BU190" s="230">
        <v>4780044</v>
      </c>
      <c r="BV190" s="230">
        <v>-1451901</v>
      </c>
      <c r="BW190" s="229">
        <v>-0.30370000000000003</v>
      </c>
      <c r="BX190" s="230">
        <v>18700500</v>
      </c>
      <c r="BY190" s="230">
        <v>18375700</v>
      </c>
      <c r="BZ190" s="230">
        <v>324800</v>
      </c>
      <c r="CA190" s="229">
        <v>1.77E-2</v>
      </c>
      <c r="CB190" s="230">
        <v>14903350</v>
      </c>
      <c r="CC190" s="230">
        <v>15072400</v>
      </c>
      <c r="CD190" s="230">
        <v>-169050</v>
      </c>
      <c r="CE190" s="229">
        <v>-1.12E-2</v>
      </c>
      <c r="CF190" s="230">
        <v>2503200</v>
      </c>
      <c r="CG190" s="230">
        <v>2417800</v>
      </c>
      <c r="CH190" s="230">
        <v>85400</v>
      </c>
      <c r="CI190" s="229">
        <v>3.5299999999999998E-2</v>
      </c>
      <c r="CJ190" s="230">
        <v>1293950</v>
      </c>
      <c r="CK190" s="230">
        <v>885500</v>
      </c>
      <c r="CL190" s="230">
        <v>408450</v>
      </c>
      <c r="CM190" s="229">
        <v>0.46129999999999999</v>
      </c>
      <c r="CN190" s="230">
        <v>8200500</v>
      </c>
      <c r="CO190" s="230">
        <v>7004200</v>
      </c>
      <c r="CP190" s="230">
        <v>1196300</v>
      </c>
      <c r="CQ190" s="229">
        <v>0.17080000000000001</v>
      </c>
      <c r="CR190" s="230">
        <v>5840800</v>
      </c>
      <c r="CS190" s="230">
        <v>5802650</v>
      </c>
      <c r="CT190" s="230">
        <v>38150</v>
      </c>
      <c r="CU190" s="229">
        <v>6.6E-3</v>
      </c>
      <c r="CV190" s="230">
        <v>32741800</v>
      </c>
      <c r="CW190" s="230">
        <v>31182550</v>
      </c>
      <c r="CX190" s="230">
        <v>1559250</v>
      </c>
      <c r="CY190" s="229">
        <v>0.05</v>
      </c>
      <c r="CZ190" s="228">
        <v>25.71</v>
      </c>
      <c r="DA190" s="228">
        <v>25.68</v>
      </c>
      <c r="DB190" s="228">
        <v>0.03</v>
      </c>
      <c r="DC190" s="228">
        <v>0.03</v>
      </c>
      <c r="DD190" s="228">
        <v>23.75</v>
      </c>
      <c r="DE190" s="228">
        <v>23.76</v>
      </c>
      <c r="DF190" s="228">
        <v>1.96</v>
      </c>
      <c r="DG190" s="228">
        <v>-0.01</v>
      </c>
      <c r="DH190" s="228">
        <v>24.87</v>
      </c>
      <c r="DI190" s="228">
        <v>24.16</v>
      </c>
      <c r="DJ190" s="228">
        <v>0.71</v>
      </c>
      <c r="DK190" s="228">
        <v>0.71</v>
      </c>
      <c r="DL190" s="228">
        <v>26.86</v>
      </c>
      <c r="DM190" s="228">
        <v>27.55</v>
      </c>
      <c r="DN190" s="228">
        <v>-0.69</v>
      </c>
      <c r="DO190" s="228">
        <v>-0.69</v>
      </c>
      <c r="DP190" s="228">
        <v>0.71</v>
      </c>
      <c r="DQ190" s="228">
        <v>0.83</v>
      </c>
      <c r="DR190" s="228">
        <v>-0.12</v>
      </c>
      <c r="DS190" s="229">
        <v>-0.14460000000000001</v>
      </c>
      <c r="DT190" s="231">
        <v>1800</v>
      </c>
      <c r="DU190" s="231">
        <v>1600</v>
      </c>
      <c r="DV190" s="228">
        <v>0.74</v>
      </c>
      <c r="DW190" s="228">
        <v>0.81</v>
      </c>
      <c r="DX190" s="228">
        <v>-7.0000000000000007E-2</v>
      </c>
      <c r="DY190" s="229">
        <v>-8.6400000000000005E-2</v>
      </c>
      <c r="DZ190" s="229">
        <v>0.2031</v>
      </c>
      <c r="EA190" s="230">
        <v>3303300</v>
      </c>
      <c r="EB190" s="229">
        <v>5.5999999999999999E-3</v>
      </c>
      <c r="EC190" s="229">
        <v>0.2031</v>
      </c>
      <c r="ED190" s="228">
        <v>9.8699999999999992</v>
      </c>
      <c r="EE190" s="229">
        <v>5.8999999999999999E-3</v>
      </c>
      <c r="EF190" s="230">
        <v>2209790</v>
      </c>
      <c r="EG190" s="230">
        <v>2877956</v>
      </c>
      <c r="EH190" s="229">
        <v>-0.23219999999999999</v>
      </c>
      <c r="EI190" s="229">
        <v>0.66400000000000003</v>
      </c>
      <c r="EJ190" s="231">
        <v>169583.43</v>
      </c>
      <c r="EK190" s="231">
        <v>121021.46</v>
      </c>
      <c r="EL190" s="231">
        <v>46198.080000000002</v>
      </c>
      <c r="EM190" s="231">
        <v>11704</v>
      </c>
      <c r="EN190" s="231">
        <v>336802.97</v>
      </c>
      <c r="EO190" s="231">
        <v>554734.92000000004</v>
      </c>
      <c r="EP190" s="231">
        <v>-217931.95</v>
      </c>
      <c r="EQ190" s="229">
        <v>-0.39290000000000003</v>
      </c>
      <c r="ER190" s="231">
        <v>143677</v>
      </c>
      <c r="ES190" s="231">
        <v>96095</v>
      </c>
      <c r="ET190" s="231">
        <v>313724</v>
      </c>
      <c r="EU190" s="231">
        <v>121755902</v>
      </c>
      <c r="EV190" s="231">
        <v>553497</v>
      </c>
      <c r="EW190" s="231">
        <v>530158</v>
      </c>
      <c r="EX190" s="231">
        <v>23339</v>
      </c>
      <c r="EY190" s="229">
        <v>4.3999999999999997E-2</v>
      </c>
      <c r="EZ190" s="229">
        <v>0.26889999999999997</v>
      </c>
      <c r="FA190" s="227" t="s">
        <v>566</v>
      </c>
      <c r="FB190" s="161">
        <f t="shared" si="4"/>
        <v>0</v>
      </c>
    </row>
    <row r="191" spans="1:158" ht="17.25" thickBot="1" x14ac:dyDescent="0.3">
      <c r="A191" s="226">
        <v>46129</v>
      </c>
      <c r="B191" s="227" t="s">
        <v>184</v>
      </c>
      <c r="C191" s="227" t="s">
        <v>573</v>
      </c>
      <c r="D191" s="228">
        <v>175</v>
      </c>
      <c r="E191" s="231">
        <v>3720.7</v>
      </c>
      <c r="F191" s="231">
        <v>3673.3</v>
      </c>
      <c r="G191" s="228">
        <v>47.4</v>
      </c>
      <c r="H191" s="229">
        <v>1.29E-2</v>
      </c>
      <c r="I191" s="231">
        <v>3709</v>
      </c>
      <c r="J191" s="231">
        <v>3663.8</v>
      </c>
      <c r="K191" s="228">
        <v>45.2</v>
      </c>
      <c r="L191" s="229">
        <v>1.23E-2</v>
      </c>
      <c r="M191" s="231">
        <v>3720.7</v>
      </c>
      <c r="N191" s="231">
        <v>3673.3</v>
      </c>
      <c r="O191" s="228">
        <v>47.4</v>
      </c>
      <c r="P191" s="229">
        <v>1.29E-2</v>
      </c>
      <c r="Q191" s="231">
        <v>3720.7</v>
      </c>
      <c r="R191" s="231">
        <v>3675.8</v>
      </c>
      <c r="S191" s="228">
        <v>44.9</v>
      </c>
      <c r="T191" s="229">
        <v>1.2200000000000001E-2</v>
      </c>
      <c r="U191" s="231">
        <v>3715.5</v>
      </c>
      <c r="V191" s="231">
        <v>3663.4</v>
      </c>
      <c r="W191" s="228">
        <v>52.1</v>
      </c>
      <c r="X191" s="229">
        <v>1.4200000000000001E-2</v>
      </c>
      <c r="Y191" s="228">
        <v>11.7</v>
      </c>
      <c r="Z191" s="228">
        <v>9.5</v>
      </c>
      <c r="AA191" s="228">
        <v>2.2000000000000002</v>
      </c>
      <c r="AB191" s="229">
        <v>3.2000000000000002E-3</v>
      </c>
      <c r="AC191" s="228">
        <v>11.7</v>
      </c>
      <c r="AD191" s="228">
        <v>9.5</v>
      </c>
      <c r="AE191" s="228">
        <v>2.2000000000000002</v>
      </c>
      <c r="AF191" s="229">
        <v>3.2000000000000002E-3</v>
      </c>
      <c r="AG191" s="228">
        <v>11.7</v>
      </c>
      <c r="AH191" s="228">
        <v>12</v>
      </c>
      <c r="AI191" s="228">
        <v>-0.3</v>
      </c>
      <c r="AJ191" s="229">
        <v>3.2000000000000002E-3</v>
      </c>
      <c r="AK191" s="228">
        <v>6.5</v>
      </c>
      <c r="AL191" s="228">
        <v>-0.4</v>
      </c>
      <c r="AM191" s="228">
        <v>6.9</v>
      </c>
      <c r="AN191" s="229">
        <v>1.8E-3</v>
      </c>
      <c r="AO191" s="231">
        <v>3713.56</v>
      </c>
      <c r="AP191" s="231">
        <v>3720.13</v>
      </c>
      <c r="AQ191" s="228">
        <v>0</v>
      </c>
      <c r="AR191" s="230">
        <v>758800</v>
      </c>
      <c r="AS191" s="230">
        <v>604800</v>
      </c>
      <c r="AT191" s="230">
        <v>154000</v>
      </c>
      <c r="AU191" s="229">
        <v>0.25459999999999999</v>
      </c>
      <c r="AV191" s="230">
        <v>701750</v>
      </c>
      <c r="AW191" s="230">
        <v>521500</v>
      </c>
      <c r="AX191" s="230">
        <v>180250</v>
      </c>
      <c r="AY191" s="229">
        <v>0.34560000000000002</v>
      </c>
      <c r="AZ191" s="230">
        <v>53025</v>
      </c>
      <c r="BA191" s="230">
        <v>78400</v>
      </c>
      <c r="BB191" s="230">
        <v>-25375</v>
      </c>
      <c r="BC191" s="229">
        <v>-0.32369999999999999</v>
      </c>
      <c r="BD191" s="230">
        <v>4025</v>
      </c>
      <c r="BE191" s="230">
        <v>4900</v>
      </c>
      <c r="BF191" s="228">
        <v>-875</v>
      </c>
      <c r="BG191" s="229">
        <v>-0.17860000000000001</v>
      </c>
      <c r="BH191" s="230">
        <v>1099175</v>
      </c>
      <c r="BI191" s="230">
        <v>1263675</v>
      </c>
      <c r="BJ191" s="230">
        <v>-164500</v>
      </c>
      <c r="BK191" s="229">
        <v>-0.13020000000000001</v>
      </c>
      <c r="BL191" s="230">
        <v>460075</v>
      </c>
      <c r="BM191" s="230">
        <v>1082550</v>
      </c>
      <c r="BN191" s="230">
        <v>-622475</v>
      </c>
      <c r="BO191" s="229">
        <v>-0.57499999999999996</v>
      </c>
      <c r="BP191" s="230">
        <v>2318050</v>
      </c>
      <c r="BQ191" s="230">
        <v>2951025</v>
      </c>
      <c r="BR191" s="230">
        <v>-632975</v>
      </c>
      <c r="BS191" s="229">
        <v>-0.2145</v>
      </c>
      <c r="BT191" s="230">
        <v>1191794</v>
      </c>
      <c r="BU191" s="230">
        <v>618483</v>
      </c>
      <c r="BV191" s="230">
        <v>573311</v>
      </c>
      <c r="BW191" s="229">
        <v>0.92700000000000005</v>
      </c>
      <c r="BX191" s="230">
        <v>2161775</v>
      </c>
      <c r="BY191" s="230">
        <v>2128000</v>
      </c>
      <c r="BZ191" s="230">
        <v>33775</v>
      </c>
      <c r="CA191" s="229">
        <v>1.5900000000000001E-2</v>
      </c>
      <c r="CB191" s="230">
        <v>2090550</v>
      </c>
      <c r="CC191" s="230">
        <v>2063950</v>
      </c>
      <c r="CD191" s="230">
        <v>26600</v>
      </c>
      <c r="CE191" s="229">
        <v>1.29E-2</v>
      </c>
      <c r="CF191" s="230">
        <v>65100</v>
      </c>
      <c r="CG191" s="230">
        <v>58450</v>
      </c>
      <c r="CH191" s="230">
        <v>6650</v>
      </c>
      <c r="CI191" s="229">
        <v>0.1138</v>
      </c>
      <c r="CJ191" s="230">
        <v>6125</v>
      </c>
      <c r="CK191" s="230">
        <v>5600</v>
      </c>
      <c r="CL191" s="228">
        <v>525</v>
      </c>
      <c r="CM191" s="229">
        <v>9.3799999999999994E-2</v>
      </c>
      <c r="CN191" s="230">
        <v>785750</v>
      </c>
      <c r="CO191" s="230">
        <v>798700</v>
      </c>
      <c r="CP191" s="230">
        <v>-12950</v>
      </c>
      <c r="CQ191" s="229">
        <v>-1.6199999999999999E-2</v>
      </c>
      <c r="CR191" s="230">
        <v>410550</v>
      </c>
      <c r="CS191" s="230">
        <v>391825</v>
      </c>
      <c r="CT191" s="230">
        <v>18725</v>
      </c>
      <c r="CU191" s="229">
        <v>4.7800000000000002E-2</v>
      </c>
      <c r="CV191" s="230">
        <v>3358075</v>
      </c>
      <c r="CW191" s="230">
        <v>3318525</v>
      </c>
      <c r="CX191" s="230">
        <v>39550</v>
      </c>
      <c r="CY191" s="229">
        <v>1.1900000000000001E-2</v>
      </c>
      <c r="CZ191" s="228">
        <v>40.44</v>
      </c>
      <c r="DA191" s="228">
        <v>42.56</v>
      </c>
      <c r="DB191" s="228">
        <v>-2.12</v>
      </c>
      <c r="DC191" s="228">
        <v>-2.12</v>
      </c>
      <c r="DD191" s="228">
        <v>38.36</v>
      </c>
      <c r="DE191" s="228">
        <v>38.42</v>
      </c>
      <c r="DF191" s="228">
        <v>2.08</v>
      </c>
      <c r="DG191" s="228">
        <v>-0.06</v>
      </c>
      <c r="DH191" s="228">
        <v>39.25</v>
      </c>
      <c r="DI191" s="228">
        <v>40.86</v>
      </c>
      <c r="DJ191" s="228">
        <v>-1.61</v>
      </c>
      <c r="DK191" s="228">
        <v>-1.61</v>
      </c>
      <c r="DL191" s="228">
        <v>43.27</v>
      </c>
      <c r="DM191" s="228">
        <v>44.53</v>
      </c>
      <c r="DN191" s="228">
        <v>-1.26</v>
      </c>
      <c r="DO191" s="228">
        <v>-1.26</v>
      </c>
      <c r="DP191" s="228">
        <v>0.52</v>
      </c>
      <c r="DQ191" s="228">
        <v>0.49</v>
      </c>
      <c r="DR191" s="228">
        <v>0.03</v>
      </c>
      <c r="DS191" s="229">
        <v>6.1199999999999997E-2</v>
      </c>
      <c r="DT191" s="231">
        <v>4100</v>
      </c>
      <c r="DU191" s="231">
        <v>3500</v>
      </c>
      <c r="DV191" s="228">
        <v>0.42</v>
      </c>
      <c r="DW191" s="228">
        <v>0.86</v>
      </c>
      <c r="DX191" s="228">
        <v>-0.44</v>
      </c>
      <c r="DY191" s="229">
        <v>-0.51160000000000005</v>
      </c>
      <c r="DZ191" s="229">
        <v>3.2899999999999999E-2</v>
      </c>
      <c r="EA191" s="230">
        <v>64050</v>
      </c>
      <c r="EB191" s="229">
        <v>0</v>
      </c>
      <c r="EC191" s="229">
        <v>3.2899999999999999E-2</v>
      </c>
      <c r="ED191" s="228">
        <v>6.57</v>
      </c>
      <c r="EE191" s="229">
        <v>1.8E-3</v>
      </c>
      <c r="EF191" s="230">
        <v>662757</v>
      </c>
      <c r="EG191" s="230">
        <v>274363</v>
      </c>
      <c r="EH191" s="229">
        <v>1.4156</v>
      </c>
      <c r="EI191" s="229">
        <v>0.55610000000000004</v>
      </c>
      <c r="EJ191" s="231">
        <v>43305.1</v>
      </c>
      <c r="EK191" s="231">
        <v>16671.61</v>
      </c>
      <c r="EL191" s="231">
        <v>28181.71</v>
      </c>
      <c r="EM191" s="231">
        <v>2047</v>
      </c>
      <c r="EN191" s="231">
        <v>88158.42</v>
      </c>
      <c r="EO191" s="231">
        <v>111328.2</v>
      </c>
      <c r="EP191" s="231">
        <v>-23169.78</v>
      </c>
      <c r="EQ191" s="229">
        <v>-0.20810000000000001</v>
      </c>
      <c r="ER191" s="231">
        <v>31625</v>
      </c>
      <c r="ES191" s="231">
        <v>14770</v>
      </c>
      <c r="ET191" s="231">
        <v>80433</v>
      </c>
      <c r="EU191" s="231">
        <v>9724371</v>
      </c>
      <c r="EV191" s="231">
        <v>126827</v>
      </c>
      <c r="EW191" s="231">
        <v>124267</v>
      </c>
      <c r="EX191" s="231">
        <v>2560</v>
      </c>
      <c r="EY191" s="229">
        <v>2.06E-2</v>
      </c>
      <c r="EZ191" s="229">
        <v>0.3453</v>
      </c>
      <c r="FA191" s="227" t="s">
        <v>555</v>
      </c>
      <c r="FB191" s="161">
        <f t="shared" si="4"/>
        <v>0</v>
      </c>
    </row>
    <row r="192" spans="1:158" ht="17.25" thickBot="1" x14ac:dyDescent="0.3">
      <c r="A192" s="226">
        <v>46129</v>
      </c>
      <c r="B192" s="227" t="s">
        <v>161</v>
      </c>
      <c r="C192" s="227" t="s">
        <v>682</v>
      </c>
      <c r="D192" s="228">
        <v>9025</v>
      </c>
      <c r="E192" s="228">
        <v>52.96</v>
      </c>
      <c r="F192" s="228">
        <v>50.3</v>
      </c>
      <c r="G192" s="228">
        <v>2.66</v>
      </c>
      <c r="H192" s="229">
        <v>5.2900000000000003E-2</v>
      </c>
      <c r="I192" s="228">
        <v>52.93</v>
      </c>
      <c r="J192" s="228">
        <v>50.25</v>
      </c>
      <c r="K192" s="228">
        <v>2.68</v>
      </c>
      <c r="L192" s="229">
        <v>5.33E-2</v>
      </c>
      <c r="M192" s="228">
        <v>52.96</v>
      </c>
      <c r="N192" s="228">
        <v>50.3</v>
      </c>
      <c r="O192" s="228">
        <v>2.66</v>
      </c>
      <c r="P192" s="229">
        <v>5.2900000000000003E-2</v>
      </c>
      <c r="Q192" s="228">
        <v>53.34</v>
      </c>
      <c r="R192" s="228">
        <v>50.69</v>
      </c>
      <c r="S192" s="228">
        <v>2.65</v>
      </c>
      <c r="T192" s="229">
        <v>5.2299999999999999E-2</v>
      </c>
      <c r="U192" s="228">
        <v>53.77</v>
      </c>
      <c r="V192" s="228">
        <v>50.87</v>
      </c>
      <c r="W192" s="228">
        <v>2.9</v>
      </c>
      <c r="X192" s="229">
        <v>5.7000000000000002E-2</v>
      </c>
      <c r="Y192" s="228">
        <v>0.03</v>
      </c>
      <c r="Z192" s="228">
        <v>0.05</v>
      </c>
      <c r="AA192" s="228">
        <v>-0.02</v>
      </c>
      <c r="AB192" s="229">
        <v>5.9999999999999995E-4</v>
      </c>
      <c r="AC192" s="228">
        <v>0.03</v>
      </c>
      <c r="AD192" s="228">
        <v>0.05</v>
      </c>
      <c r="AE192" s="228">
        <v>-0.02</v>
      </c>
      <c r="AF192" s="229">
        <v>5.9999999999999995E-4</v>
      </c>
      <c r="AG192" s="228">
        <v>0.41</v>
      </c>
      <c r="AH192" s="228">
        <v>0.44</v>
      </c>
      <c r="AI192" s="228">
        <v>-0.03</v>
      </c>
      <c r="AJ192" s="229">
        <v>7.7000000000000002E-3</v>
      </c>
      <c r="AK192" s="228">
        <v>0.84</v>
      </c>
      <c r="AL192" s="228">
        <v>0.62</v>
      </c>
      <c r="AM192" s="228">
        <v>0.22</v>
      </c>
      <c r="AN192" s="229">
        <v>1.5900000000000001E-2</v>
      </c>
      <c r="AO192" s="228">
        <v>52.33</v>
      </c>
      <c r="AP192" s="228">
        <v>52.55</v>
      </c>
      <c r="AQ192" s="228">
        <v>0</v>
      </c>
      <c r="AR192" s="230">
        <v>204244775</v>
      </c>
      <c r="AS192" s="230">
        <v>110339650</v>
      </c>
      <c r="AT192" s="230">
        <v>93905125</v>
      </c>
      <c r="AU192" s="229">
        <v>0.85109999999999997</v>
      </c>
      <c r="AV192" s="230">
        <v>166574425</v>
      </c>
      <c r="AW192" s="230">
        <v>85376500</v>
      </c>
      <c r="AX192" s="230">
        <v>81197925</v>
      </c>
      <c r="AY192" s="229">
        <v>0.95109999999999995</v>
      </c>
      <c r="AZ192" s="230">
        <v>32769775</v>
      </c>
      <c r="BA192" s="230">
        <v>13736050</v>
      </c>
      <c r="BB192" s="230">
        <v>19033725</v>
      </c>
      <c r="BC192" s="229">
        <v>1.3856999999999999</v>
      </c>
      <c r="BD192" s="230">
        <v>4900575</v>
      </c>
      <c r="BE192" s="230">
        <v>11227100</v>
      </c>
      <c r="BF192" s="230">
        <v>-6326525</v>
      </c>
      <c r="BG192" s="229">
        <v>-0.5635</v>
      </c>
      <c r="BH192" s="230">
        <v>623564325</v>
      </c>
      <c r="BI192" s="230">
        <v>304395200</v>
      </c>
      <c r="BJ192" s="230">
        <v>319169125</v>
      </c>
      <c r="BK192" s="229">
        <v>1.0485</v>
      </c>
      <c r="BL192" s="230">
        <v>292734900</v>
      </c>
      <c r="BM192" s="230">
        <v>181953025</v>
      </c>
      <c r="BN192" s="230">
        <v>110781875</v>
      </c>
      <c r="BO192" s="229">
        <v>0.60880000000000001</v>
      </c>
      <c r="BP192" s="230">
        <v>1120544000</v>
      </c>
      <c r="BQ192" s="230">
        <v>596687875</v>
      </c>
      <c r="BR192" s="230">
        <v>523856125</v>
      </c>
      <c r="BS192" s="229">
        <v>0.87790000000000001</v>
      </c>
      <c r="BT192" s="230">
        <v>359683061</v>
      </c>
      <c r="BU192" s="230">
        <v>173731308</v>
      </c>
      <c r="BV192" s="230">
        <v>185951753</v>
      </c>
      <c r="BW192" s="229">
        <v>1.0703</v>
      </c>
      <c r="BX192" s="230">
        <v>359817725</v>
      </c>
      <c r="BY192" s="230">
        <v>349592400</v>
      </c>
      <c r="BZ192" s="230">
        <v>10225325</v>
      </c>
      <c r="CA192" s="229">
        <v>2.92E-2</v>
      </c>
      <c r="CB192" s="230">
        <v>309647750</v>
      </c>
      <c r="CC192" s="230">
        <v>310947350</v>
      </c>
      <c r="CD192" s="230">
        <v>-1299600</v>
      </c>
      <c r="CE192" s="229">
        <v>-4.1999999999999997E-3</v>
      </c>
      <c r="CF192" s="230">
        <v>34962850</v>
      </c>
      <c r="CG192" s="230">
        <v>25107550</v>
      </c>
      <c r="CH192" s="230">
        <v>9855300</v>
      </c>
      <c r="CI192" s="229">
        <v>0.39250000000000002</v>
      </c>
      <c r="CJ192" s="230">
        <v>15207125</v>
      </c>
      <c r="CK192" s="230">
        <v>13537500</v>
      </c>
      <c r="CL192" s="230">
        <v>1669625</v>
      </c>
      <c r="CM192" s="229">
        <v>0.12330000000000001</v>
      </c>
      <c r="CN192" s="230">
        <v>177341250</v>
      </c>
      <c r="CO192" s="230">
        <v>170247600</v>
      </c>
      <c r="CP192" s="230">
        <v>7093650</v>
      </c>
      <c r="CQ192" s="229">
        <v>4.1700000000000001E-2</v>
      </c>
      <c r="CR192" s="230">
        <v>172449700</v>
      </c>
      <c r="CS192" s="230">
        <v>154553125</v>
      </c>
      <c r="CT192" s="230">
        <v>17896575</v>
      </c>
      <c r="CU192" s="229">
        <v>0.1158</v>
      </c>
      <c r="CV192" s="230">
        <v>709608675</v>
      </c>
      <c r="CW192" s="230">
        <v>674393125</v>
      </c>
      <c r="CX192" s="230">
        <v>35215550</v>
      </c>
      <c r="CY192" s="229">
        <v>5.2200000000000003E-2</v>
      </c>
      <c r="CZ192" s="228">
        <v>44.96</v>
      </c>
      <c r="DA192" s="228">
        <v>41.84</v>
      </c>
      <c r="DB192" s="228">
        <v>3.12</v>
      </c>
      <c r="DC192" s="228">
        <v>3.12</v>
      </c>
      <c r="DD192" s="228">
        <v>47.49</v>
      </c>
      <c r="DE192" s="228">
        <v>47.1</v>
      </c>
      <c r="DF192" s="228">
        <v>-2.5299999999999998</v>
      </c>
      <c r="DG192" s="228">
        <v>0.39</v>
      </c>
      <c r="DH192" s="228">
        <v>44.04</v>
      </c>
      <c r="DI192" s="228">
        <v>41.14</v>
      </c>
      <c r="DJ192" s="228">
        <v>2.9</v>
      </c>
      <c r="DK192" s="228">
        <v>2.9</v>
      </c>
      <c r="DL192" s="228">
        <v>46.91</v>
      </c>
      <c r="DM192" s="228">
        <v>43</v>
      </c>
      <c r="DN192" s="228">
        <v>3.91</v>
      </c>
      <c r="DO192" s="228">
        <v>3.91</v>
      </c>
      <c r="DP192" s="228">
        <v>0.97</v>
      </c>
      <c r="DQ192" s="228">
        <v>0.91</v>
      </c>
      <c r="DR192" s="228">
        <v>0.06</v>
      </c>
      <c r="DS192" s="229">
        <v>6.59E-2</v>
      </c>
      <c r="DT192" s="228">
        <v>45</v>
      </c>
      <c r="DU192" s="228">
        <v>46</v>
      </c>
      <c r="DV192" s="228">
        <v>0.47</v>
      </c>
      <c r="DW192" s="228">
        <v>0.6</v>
      </c>
      <c r="DX192" s="228">
        <v>-0.13</v>
      </c>
      <c r="DY192" s="229">
        <v>-0.2167</v>
      </c>
      <c r="DZ192" s="229">
        <v>0.1394</v>
      </c>
      <c r="EA192" s="230">
        <v>38645050</v>
      </c>
      <c r="EB192" s="229">
        <v>7.1999999999999998E-3</v>
      </c>
      <c r="EC192" s="229">
        <v>0.1394</v>
      </c>
      <c r="ED192" s="228">
        <v>0.22</v>
      </c>
      <c r="EE192" s="229">
        <v>4.1999999999999997E-3</v>
      </c>
      <c r="EF192" s="230">
        <v>152863510</v>
      </c>
      <c r="EG192" s="230">
        <v>59813059</v>
      </c>
      <c r="EH192" s="229">
        <v>1.5557000000000001</v>
      </c>
      <c r="EI192" s="229">
        <v>0.42499999999999999</v>
      </c>
      <c r="EJ192" s="231">
        <v>341001.29</v>
      </c>
      <c r="EK192" s="231">
        <v>143599.51</v>
      </c>
      <c r="EL192" s="231">
        <v>106970.54</v>
      </c>
      <c r="EM192" s="231">
        <v>10166</v>
      </c>
      <c r="EN192" s="231">
        <v>591571.34</v>
      </c>
      <c r="EO192" s="231">
        <v>299635.23</v>
      </c>
      <c r="EP192" s="231">
        <v>291936.11</v>
      </c>
      <c r="EQ192" s="229">
        <v>0.97430000000000005</v>
      </c>
      <c r="ER192" s="231">
        <v>87789</v>
      </c>
      <c r="ES192" s="231">
        <v>78577</v>
      </c>
      <c r="ET192" s="231">
        <v>190816</v>
      </c>
      <c r="EU192" s="231">
        <v>1815546735</v>
      </c>
      <c r="EV192" s="231">
        <v>357182</v>
      </c>
      <c r="EW192" s="231">
        <v>327582</v>
      </c>
      <c r="EX192" s="231">
        <v>29600</v>
      </c>
      <c r="EY192" s="229">
        <v>9.0399999999999994E-2</v>
      </c>
      <c r="EZ192" s="229">
        <v>0.39090000000000003</v>
      </c>
      <c r="FA192" s="227" t="s">
        <v>555</v>
      </c>
      <c r="FB192" s="161">
        <f t="shared" si="4"/>
        <v>0</v>
      </c>
    </row>
    <row r="193" spans="1:158" ht="17.25" thickBot="1" x14ac:dyDescent="0.3">
      <c r="A193" s="226">
        <v>46129</v>
      </c>
      <c r="B193" s="227" t="s">
        <v>614</v>
      </c>
      <c r="C193" s="227" t="s">
        <v>691</v>
      </c>
      <c r="D193" s="228">
        <v>1300</v>
      </c>
      <c r="E193" s="228">
        <v>277.45</v>
      </c>
      <c r="F193" s="228">
        <v>281</v>
      </c>
      <c r="G193" s="228">
        <v>-3.55</v>
      </c>
      <c r="H193" s="229">
        <v>-1.26E-2</v>
      </c>
      <c r="I193" s="228">
        <v>277.45</v>
      </c>
      <c r="J193" s="228">
        <v>280.39999999999998</v>
      </c>
      <c r="K193" s="228">
        <v>-2.95</v>
      </c>
      <c r="L193" s="229">
        <v>-1.0500000000000001E-2</v>
      </c>
      <c r="M193" s="228">
        <v>277.45</v>
      </c>
      <c r="N193" s="228">
        <v>281</v>
      </c>
      <c r="O193" s="228">
        <v>-3.55</v>
      </c>
      <c r="P193" s="229">
        <v>-1.26E-2</v>
      </c>
      <c r="Q193" s="228">
        <v>275.45</v>
      </c>
      <c r="R193" s="228">
        <v>279.2</v>
      </c>
      <c r="S193" s="228">
        <v>-3.75</v>
      </c>
      <c r="T193" s="229">
        <v>-1.34E-2</v>
      </c>
      <c r="U193" s="228">
        <v>275.2</v>
      </c>
      <c r="V193" s="228">
        <v>278.75</v>
      </c>
      <c r="W193" s="228">
        <v>-3.55</v>
      </c>
      <c r="X193" s="229">
        <v>-1.2699999999999999E-2</v>
      </c>
      <c r="Y193" s="228">
        <v>0</v>
      </c>
      <c r="Z193" s="228">
        <v>0.6</v>
      </c>
      <c r="AA193" s="228">
        <v>-0.6</v>
      </c>
      <c r="AB193" s="229">
        <v>0</v>
      </c>
      <c r="AC193" s="228">
        <v>0</v>
      </c>
      <c r="AD193" s="228">
        <v>0.6</v>
      </c>
      <c r="AE193" s="228">
        <v>-0.6</v>
      </c>
      <c r="AF193" s="229">
        <v>0</v>
      </c>
      <c r="AG193" s="228">
        <v>-2</v>
      </c>
      <c r="AH193" s="228">
        <v>-1.2</v>
      </c>
      <c r="AI193" s="228">
        <v>-0.8</v>
      </c>
      <c r="AJ193" s="229">
        <v>-7.1999999999999998E-3</v>
      </c>
      <c r="AK193" s="228">
        <v>-2.25</v>
      </c>
      <c r="AL193" s="228">
        <v>-1.65</v>
      </c>
      <c r="AM193" s="228">
        <v>-0.6</v>
      </c>
      <c r="AN193" s="229">
        <v>-8.0999999999999996E-3</v>
      </c>
      <c r="AO193" s="228">
        <v>277.95999999999998</v>
      </c>
      <c r="AP193" s="228">
        <v>276.52999999999997</v>
      </c>
      <c r="AQ193" s="228">
        <v>0</v>
      </c>
      <c r="AR193" s="230">
        <v>8244600</v>
      </c>
      <c r="AS193" s="230">
        <v>7098000</v>
      </c>
      <c r="AT193" s="230">
        <v>1146600</v>
      </c>
      <c r="AU193" s="229">
        <v>0.1615</v>
      </c>
      <c r="AV193" s="230">
        <v>6793800</v>
      </c>
      <c r="AW193" s="230">
        <v>6147700</v>
      </c>
      <c r="AX193" s="230">
        <v>646100</v>
      </c>
      <c r="AY193" s="229">
        <v>0.1051</v>
      </c>
      <c r="AZ193" s="230">
        <v>1263600</v>
      </c>
      <c r="BA193" s="230">
        <v>868400</v>
      </c>
      <c r="BB193" s="230">
        <v>395200</v>
      </c>
      <c r="BC193" s="229">
        <v>0.4551</v>
      </c>
      <c r="BD193" s="230">
        <v>187200</v>
      </c>
      <c r="BE193" s="230">
        <v>81900</v>
      </c>
      <c r="BF193" s="230">
        <v>105300</v>
      </c>
      <c r="BG193" s="229">
        <v>1.2857000000000001</v>
      </c>
      <c r="BH193" s="230">
        <v>18175300</v>
      </c>
      <c r="BI193" s="230">
        <v>19082700</v>
      </c>
      <c r="BJ193" s="230">
        <v>-907400</v>
      </c>
      <c r="BK193" s="229">
        <v>-4.7600000000000003E-2</v>
      </c>
      <c r="BL193" s="230">
        <v>5684900</v>
      </c>
      <c r="BM193" s="230">
        <v>6652100</v>
      </c>
      <c r="BN193" s="230">
        <v>-967200</v>
      </c>
      <c r="BO193" s="229">
        <v>-0.1454</v>
      </c>
      <c r="BP193" s="230">
        <v>32104800</v>
      </c>
      <c r="BQ193" s="230">
        <v>32832800</v>
      </c>
      <c r="BR193" s="230">
        <v>-728000</v>
      </c>
      <c r="BS193" s="229">
        <v>-2.2200000000000001E-2</v>
      </c>
      <c r="BT193" s="230">
        <v>7586920</v>
      </c>
      <c r="BU193" s="230">
        <v>7853184</v>
      </c>
      <c r="BV193" s="230">
        <v>-266264</v>
      </c>
      <c r="BW193" s="229">
        <v>-3.39E-2</v>
      </c>
      <c r="BX193" s="230">
        <v>51483900</v>
      </c>
      <c r="BY193" s="230">
        <v>50962600</v>
      </c>
      <c r="BZ193" s="230">
        <v>521300</v>
      </c>
      <c r="CA193" s="229">
        <v>1.0200000000000001E-2</v>
      </c>
      <c r="CB193" s="230">
        <v>49597600</v>
      </c>
      <c r="CC193" s="230">
        <v>49532600</v>
      </c>
      <c r="CD193" s="230">
        <v>65000</v>
      </c>
      <c r="CE193" s="229">
        <v>1.2999999999999999E-3</v>
      </c>
      <c r="CF193" s="230">
        <v>1569100</v>
      </c>
      <c r="CG193" s="230">
        <v>1263600</v>
      </c>
      <c r="CH193" s="230">
        <v>305500</v>
      </c>
      <c r="CI193" s="229">
        <v>0.24179999999999999</v>
      </c>
      <c r="CJ193" s="230">
        <v>317200</v>
      </c>
      <c r="CK193" s="230">
        <v>166400</v>
      </c>
      <c r="CL193" s="230">
        <v>150800</v>
      </c>
      <c r="CM193" s="229">
        <v>0.90629999999999999</v>
      </c>
      <c r="CN193" s="230">
        <v>11849500</v>
      </c>
      <c r="CO193" s="230">
        <v>9838400</v>
      </c>
      <c r="CP193" s="230">
        <v>2011100</v>
      </c>
      <c r="CQ193" s="229">
        <v>0.2044</v>
      </c>
      <c r="CR193" s="230">
        <v>6578000</v>
      </c>
      <c r="CS193" s="230">
        <v>5892900</v>
      </c>
      <c r="CT193" s="230">
        <v>685100</v>
      </c>
      <c r="CU193" s="229">
        <v>0.1163</v>
      </c>
      <c r="CV193" s="230">
        <v>69911400</v>
      </c>
      <c r="CW193" s="230">
        <v>66693900</v>
      </c>
      <c r="CX193" s="230">
        <v>3217500</v>
      </c>
      <c r="CY193" s="229">
        <v>4.82E-2</v>
      </c>
      <c r="CZ193" s="228">
        <v>45.52</v>
      </c>
      <c r="DA193" s="228">
        <v>48.35</v>
      </c>
      <c r="DB193" s="228">
        <v>-2.83</v>
      </c>
      <c r="DC193" s="228">
        <v>-2.83</v>
      </c>
      <c r="DD193" s="228">
        <v>45.48</v>
      </c>
      <c r="DE193" s="228">
        <v>45.58</v>
      </c>
      <c r="DF193" s="228">
        <v>0.04</v>
      </c>
      <c r="DG193" s="228">
        <v>-0.1</v>
      </c>
      <c r="DH193" s="228">
        <v>45.43</v>
      </c>
      <c r="DI193" s="228">
        <v>48.17</v>
      </c>
      <c r="DJ193" s="228">
        <v>-2.74</v>
      </c>
      <c r="DK193" s="228">
        <v>-2.74</v>
      </c>
      <c r="DL193" s="228">
        <v>45.81</v>
      </c>
      <c r="DM193" s="228">
        <v>48.85</v>
      </c>
      <c r="DN193" s="228">
        <v>-3.04</v>
      </c>
      <c r="DO193" s="228">
        <v>-3.04</v>
      </c>
      <c r="DP193" s="228">
        <v>0.56000000000000005</v>
      </c>
      <c r="DQ193" s="228">
        <v>0.6</v>
      </c>
      <c r="DR193" s="228">
        <v>-0.04</v>
      </c>
      <c r="DS193" s="229">
        <v>-6.6699999999999995E-2</v>
      </c>
      <c r="DT193" s="228">
        <v>280</v>
      </c>
      <c r="DU193" s="228">
        <v>270</v>
      </c>
      <c r="DV193" s="228">
        <v>0.31</v>
      </c>
      <c r="DW193" s="228">
        <v>0.35</v>
      </c>
      <c r="DX193" s="228">
        <v>-0.04</v>
      </c>
      <c r="DY193" s="229">
        <v>-0.1143</v>
      </c>
      <c r="DZ193" s="229">
        <v>3.6600000000000001E-2</v>
      </c>
      <c r="EA193" s="230">
        <v>1430000</v>
      </c>
      <c r="EB193" s="229">
        <v>-7.1999999999999998E-3</v>
      </c>
      <c r="EC193" s="229">
        <v>3.6600000000000001E-2</v>
      </c>
      <c r="ED193" s="228">
        <v>-1.43</v>
      </c>
      <c r="EE193" s="229">
        <v>-5.1000000000000004E-3</v>
      </c>
      <c r="EF193" s="230">
        <v>2703481</v>
      </c>
      <c r="EG193" s="230">
        <v>2117074</v>
      </c>
      <c r="EH193" s="229">
        <v>0.27700000000000002</v>
      </c>
      <c r="EI193" s="229">
        <v>0.35630000000000001</v>
      </c>
      <c r="EJ193" s="231">
        <v>53053.279999999999</v>
      </c>
      <c r="EK193" s="231">
        <v>15843.34</v>
      </c>
      <c r="EL193" s="231">
        <v>22895.25</v>
      </c>
      <c r="EM193" s="231">
        <v>5482</v>
      </c>
      <c r="EN193" s="231">
        <v>91791.87</v>
      </c>
      <c r="EO193" s="231">
        <v>94259.66</v>
      </c>
      <c r="EP193" s="231">
        <v>-2467.79</v>
      </c>
      <c r="EQ193" s="229">
        <v>-2.6200000000000001E-2</v>
      </c>
      <c r="ER193" s="231">
        <v>34234</v>
      </c>
      <c r="ES193" s="231">
        <v>17945</v>
      </c>
      <c r="ET193" s="231">
        <v>142804</v>
      </c>
      <c r="EU193" s="231">
        <v>389472858</v>
      </c>
      <c r="EV193" s="231">
        <v>194983</v>
      </c>
      <c r="EW193" s="231">
        <v>187738</v>
      </c>
      <c r="EX193" s="231">
        <v>7245</v>
      </c>
      <c r="EY193" s="229">
        <v>3.8600000000000002E-2</v>
      </c>
      <c r="EZ193" s="229">
        <v>0.17949999999999999</v>
      </c>
      <c r="FA193" s="227" t="s">
        <v>566</v>
      </c>
      <c r="FB193" s="161">
        <f t="shared" si="4"/>
        <v>0</v>
      </c>
    </row>
    <row r="194" spans="1:158" ht="17.25" thickBot="1" x14ac:dyDescent="0.3">
      <c r="A194" s="226">
        <v>46129</v>
      </c>
      <c r="B194" s="227" t="s">
        <v>168</v>
      </c>
      <c r="C194" s="227" t="s">
        <v>291</v>
      </c>
      <c r="D194" s="228">
        <v>550</v>
      </c>
      <c r="E194" s="231">
        <v>1113.9000000000001</v>
      </c>
      <c r="F194" s="231">
        <v>1102.7</v>
      </c>
      <c r="G194" s="228">
        <v>11.2</v>
      </c>
      <c r="H194" s="229">
        <v>1.0200000000000001E-2</v>
      </c>
      <c r="I194" s="231">
        <v>1113.2</v>
      </c>
      <c r="J194" s="231">
        <v>1102.5999999999999</v>
      </c>
      <c r="K194" s="228">
        <v>10.6</v>
      </c>
      <c r="L194" s="229">
        <v>9.5999999999999992E-3</v>
      </c>
      <c r="M194" s="231">
        <v>1113.9000000000001</v>
      </c>
      <c r="N194" s="231">
        <v>1102.7</v>
      </c>
      <c r="O194" s="228">
        <v>11.2</v>
      </c>
      <c r="P194" s="229">
        <v>1.0200000000000001E-2</v>
      </c>
      <c r="Q194" s="231">
        <v>1117.2</v>
      </c>
      <c r="R194" s="231">
        <v>1104.7</v>
      </c>
      <c r="S194" s="228">
        <v>12.5</v>
      </c>
      <c r="T194" s="229">
        <v>1.1299999999999999E-2</v>
      </c>
      <c r="U194" s="231">
        <v>1120.5</v>
      </c>
      <c r="V194" s="231">
        <v>1104</v>
      </c>
      <c r="W194" s="228">
        <v>16.5</v>
      </c>
      <c r="X194" s="229">
        <v>1.49E-2</v>
      </c>
      <c r="Y194" s="228">
        <v>0.7</v>
      </c>
      <c r="Z194" s="228">
        <v>0.1</v>
      </c>
      <c r="AA194" s="228">
        <v>0.6</v>
      </c>
      <c r="AB194" s="229">
        <v>5.9999999999999995E-4</v>
      </c>
      <c r="AC194" s="228">
        <v>0.7</v>
      </c>
      <c r="AD194" s="228">
        <v>0.1</v>
      </c>
      <c r="AE194" s="228">
        <v>0.6</v>
      </c>
      <c r="AF194" s="229">
        <v>5.9999999999999995E-4</v>
      </c>
      <c r="AG194" s="228">
        <v>4</v>
      </c>
      <c r="AH194" s="228">
        <v>2.1</v>
      </c>
      <c r="AI194" s="228">
        <v>1.9</v>
      </c>
      <c r="AJ194" s="229">
        <v>3.5999999999999999E-3</v>
      </c>
      <c r="AK194" s="228">
        <v>7.3</v>
      </c>
      <c r="AL194" s="228">
        <v>1.4</v>
      </c>
      <c r="AM194" s="228">
        <v>5.9</v>
      </c>
      <c r="AN194" s="229">
        <v>6.6E-3</v>
      </c>
      <c r="AO194" s="231">
        <v>1114.6400000000001</v>
      </c>
      <c r="AP194" s="231">
        <v>1116.22</v>
      </c>
      <c r="AQ194" s="228">
        <v>0</v>
      </c>
      <c r="AR194" s="230">
        <v>1689600</v>
      </c>
      <c r="AS194" s="230">
        <v>1500400</v>
      </c>
      <c r="AT194" s="230">
        <v>189200</v>
      </c>
      <c r="AU194" s="229">
        <v>0.12609999999999999</v>
      </c>
      <c r="AV194" s="230">
        <v>1545500</v>
      </c>
      <c r="AW194" s="230">
        <v>1390400</v>
      </c>
      <c r="AX194" s="230">
        <v>155100</v>
      </c>
      <c r="AY194" s="229">
        <v>0.1116</v>
      </c>
      <c r="AZ194" s="230">
        <v>133650</v>
      </c>
      <c r="BA194" s="230">
        <v>108350</v>
      </c>
      <c r="BB194" s="230">
        <v>25300</v>
      </c>
      <c r="BC194" s="229">
        <v>0.23350000000000001</v>
      </c>
      <c r="BD194" s="230">
        <v>10450</v>
      </c>
      <c r="BE194" s="230">
        <v>1650</v>
      </c>
      <c r="BF194" s="230">
        <v>8800</v>
      </c>
      <c r="BG194" s="229">
        <v>5.3333000000000004</v>
      </c>
      <c r="BH194" s="230">
        <v>6153400</v>
      </c>
      <c r="BI194" s="230">
        <v>1874400</v>
      </c>
      <c r="BJ194" s="230">
        <v>4279000</v>
      </c>
      <c r="BK194" s="229">
        <v>2.2829000000000002</v>
      </c>
      <c r="BL194" s="230">
        <v>1476750</v>
      </c>
      <c r="BM194" s="230">
        <v>1009250</v>
      </c>
      <c r="BN194" s="230">
        <v>467500</v>
      </c>
      <c r="BO194" s="229">
        <v>0.4632</v>
      </c>
      <c r="BP194" s="230">
        <v>9319750</v>
      </c>
      <c r="BQ194" s="230">
        <v>4384050</v>
      </c>
      <c r="BR194" s="230">
        <v>4935700</v>
      </c>
      <c r="BS194" s="229">
        <v>1.1257999999999999</v>
      </c>
      <c r="BT194" s="230">
        <v>1310394</v>
      </c>
      <c r="BU194" s="230">
        <v>1452506</v>
      </c>
      <c r="BV194" s="230">
        <v>-142112</v>
      </c>
      <c r="BW194" s="229">
        <v>-9.7799999999999998E-2</v>
      </c>
      <c r="BX194" s="230">
        <v>13252250</v>
      </c>
      <c r="BY194" s="230">
        <v>13201650</v>
      </c>
      <c r="BZ194" s="230">
        <v>50600</v>
      </c>
      <c r="CA194" s="229">
        <v>3.8E-3</v>
      </c>
      <c r="CB194" s="230">
        <v>12372250</v>
      </c>
      <c r="CC194" s="230">
        <v>12328250</v>
      </c>
      <c r="CD194" s="230">
        <v>44000</v>
      </c>
      <c r="CE194" s="229">
        <v>3.5999999999999999E-3</v>
      </c>
      <c r="CF194" s="230">
        <v>805200</v>
      </c>
      <c r="CG194" s="230">
        <v>799150</v>
      </c>
      <c r="CH194" s="230">
        <v>6050</v>
      </c>
      <c r="CI194" s="229">
        <v>7.6E-3</v>
      </c>
      <c r="CJ194" s="230">
        <v>74800</v>
      </c>
      <c r="CK194" s="230">
        <v>74250</v>
      </c>
      <c r="CL194" s="228">
        <v>550</v>
      </c>
      <c r="CM194" s="229">
        <v>7.4000000000000003E-3</v>
      </c>
      <c r="CN194" s="230">
        <v>2451350</v>
      </c>
      <c r="CO194" s="230">
        <v>1971750</v>
      </c>
      <c r="CP194" s="230">
        <v>479600</v>
      </c>
      <c r="CQ194" s="229">
        <v>0.2432</v>
      </c>
      <c r="CR194" s="230">
        <v>2457400</v>
      </c>
      <c r="CS194" s="230">
        <v>2284700</v>
      </c>
      <c r="CT194" s="230">
        <v>172700</v>
      </c>
      <c r="CU194" s="229">
        <v>7.5600000000000001E-2</v>
      </c>
      <c r="CV194" s="230">
        <v>18161000</v>
      </c>
      <c r="CW194" s="230">
        <v>17458100</v>
      </c>
      <c r="CX194" s="230">
        <v>702900</v>
      </c>
      <c r="CY194" s="229">
        <v>4.0300000000000002E-2</v>
      </c>
      <c r="CZ194" s="228">
        <v>28.47</v>
      </c>
      <c r="DA194" s="228">
        <v>29.62</v>
      </c>
      <c r="DB194" s="228">
        <v>-1.1499999999999999</v>
      </c>
      <c r="DC194" s="228">
        <v>-1.1499999999999999</v>
      </c>
      <c r="DD194" s="228">
        <v>27.36</v>
      </c>
      <c r="DE194" s="228">
        <v>27.39</v>
      </c>
      <c r="DF194" s="228">
        <v>1.1100000000000001</v>
      </c>
      <c r="DG194" s="228">
        <v>-0.03</v>
      </c>
      <c r="DH194" s="228">
        <v>27.94</v>
      </c>
      <c r="DI194" s="228">
        <v>28.36</v>
      </c>
      <c r="DJ194" s="228">
        <v>-0.42</v>
      </c>
      <c r="DK194" s="228">
        <v>-0.42</v>
      </c>
      <c r="DL194" s="228">
        <v>30.68</v>
      </c>
      <c r="DM194" s="228">
        <v>31.95</v>
      </c>
      <c r="DN194" s="228">
        <v>-1.27</v>
      </c>
      <c r="DO194" s="228">
        <v>-1.27</v>
      </c>
      <c r="DP194" s="228">
        <v>1</v>
      </c>
      <c r="DQ194" s="228">
        <v>1.1599999999999999</v>
      </c>
      <c r="DR194" s="228">
        <v>-0.16</v>
      </c>
      <c r="DS194" s="229">
        <v>-0.13789999999999999</v>
      </c>
      <c r="DT194" s="231">
        <v>1150</v>
      </c>
      <c r="DU194" s="228">
        <v>930</v>
      </c>
      <c r="DV194" s="228">
        <v>0.24</v>
      </c>
      <c r="DW194" s="228">
        <v>0.54</v>
      </c>
      <c r="DX194" s="228">
        <v>-0.3</v>
      </c>
      <c r="DY194" s="229">
        <v>-0.55559999999999998</v>
      </c>
      <c r="DZ194" s="229">
        <v>6.6400000000000001E-2</v>
      </c>
      <c r="EA194" s="230">
        <v>873400</v>
      </c>
      <c r="EB194" s="229">
        <v>3.0000000000000001E-3</v>
      </c>
      <c r="EC194" s="229">
        <v>6.6400000000000001E-2</v>
      </c>
      <c r="ED194" s="228">
        <v>1.58</v>
      </c>
      <c r="EE194" s="229">
        <v>1.4E-3</v>
      </c>
      <c r="EF194" s="230">
        <v>565447</v>
      </c>
      <c r="EG194" s="230">
        <v>798273</v>
      </c>
      <c r="EH194" s="229">
        <v>-0.29170000000000001</v>
      </c>
      <c r="EI194" s="229">
        <v>0.43149999999999999</v>
      </c>
      <c r="EJ194" s="231">
        <v>70921.440000000002</v>
      </c>
      <c r="EK194" s="231">
        <v>16240</v>
      </c>
      <c r="EL194" s="231">
        <v>18835.95</v>
      </c>
      <c r="EM194" s="231">
        <v>2146</v>
      </c>
      <c r="EN194" s="231">
        <v>105997.39</v>
      </c>
      <c r="EO194" s="231">
        <v>48735.68</v>
      </c>
      <c r="EP194" s="231">
        <v>57261.71</v>
      </c>
      <c r="EQ194" s="229">
        <v>1.1749000000000001</v>
      </c>
      <c r="ER194" s="231">
        <v>27771</v>
      </c>
      <c r="ES194" s="231">
        <v>24861</v>
      </c>
      <c r="ET194" s="231">
        <v>147648</v>
      </c>
      <c r="EU194" s="231">
        <v>65472757</v>
      </c>
      <c r="EV194" s="231">
        <v>200280</v>
      </c>
      <c r="EW194" s="231">
        <v>190768</v>
      </c>
      <c r="EX194" s="231">
        <v>9512</v>
      </c>
      <c r="EY194" s="229">
        <v>4.99E-2</v>
      </c>
      <c r="EZ194" s="229">
        <v>0.27739999999999998</v>
      </c>
      <c r="FA194" s="227" t="s">
        <v>555</v>
      </c>
      <c r="FB194" s="161">
        <f t="shared" si="4"/>
        <v>0</v>
      </c>
    </row>
    <row r="195" spans="1:158" ht="17.25" thickBot="1" x14ac:dyDescent="0.3">
      <c r="A195" s="226">
        <v>46129</v>
      </c>
      <c r="B195" s="227" t="s">
        <v>221</v>
      </c>
      <c r="C195" s="227" t="s">
        <v>603</v>
      </c>
      <c r="D195" s="228">
        <v>100</v>
      </c>
      <c r="E195" s="231">
        <v>4602</v>
      </c>
      <c r="F195" s="231">
        <v>4603.8</v>
      </c>
      <c r="G195" s="228">
        <v>-1.8</v>
      </c>
      <c r="H195" s="229">
        <v>-4.0000000000000002E-4</v>
      </c>
      <c r="I195" s="231">
        <v>4592.5</v>
      </c>
      <c r="J195" s="231">
        <v>4593.6000000000004</v>
      </c>
      <c r="K195" s="228">
        <v>-1.1000000000000001</v>
      </c>
      <c r="L195" s="229">
        <v>-2.0000000000000001E-4</v>
      </c>
      <c r="M195" s="231">
        <v>4602</v>
      </c>
      <c r="N195" s="231">
        <v>4603.8</v>
      </c>
      <c r="O195" s="228">
        <v>-1.8</v>
      </c>
      <c r="P195" s="229">
        <v>-4.0000000000000002E-4</v>
      </c>
      <c r="Q195" s="231">
        <v>4581.1000000000004</v>
      </c>
      <c r="R195" s="231">
        <v>4580.6000000000004</v>
      </c>
      <c r="S195" s="228">
        <v>0.5</v>
      </c>
      <c r="T195" s="229">
        <v>1E-4</v>
      </c>
      <c r="U195" s="231">
        <v>4525.3</v>
      </c>
      <c r="V195" s="231">
        <v>4520</v>
      </c>
      <c r="W195" s="228">
        <v>5.3</v>
      </c>
      <c r="X195" s="229">
        <v>1.1999999999999999E-3</v>
      </c>
      <c r="Y195" s="228">
        <v>9.5</v>
      </c>
      <c r="Z195" s="228">
        <v>10.199999999999999</v>
      </c>
      <c r="AA195" s="228">
        <v>-0.7</v>
      </c>
      <c r="AB195" s="229">
        <v>2.0999999999999999E-3</v>
      </c>
      <c r="AC195" s="228">
        <v>9.5</v>
      </c>
      <c r="AD195" s="228">
        <v>10.199999999999999</v>
      </c>
      <c r="AE195" s="228">
        <v>-0.7</v>
      </c>
      <c r="AF195" s="229">
        <v>2.0999999999999999E-3</v>
      </c>
      <c r="AG195" s="228">
        <v>-11.4</v>
      </c>
      <c r="AH195" s="228">
        <v>-13</v>
      </c>
      <c r="AI195" s="228">
        <v>1.6</v>
      </c>
      <c r="AJ195" s="229">
        <v>-2.5000000000000001E-3</v>
      </c>
      <c r="AK195" s="228">
        <v>-67.2</v>
      </c>
      <c r="AL195" s="228">
        <v>-73.599999999999994</v>
      </c>
      <c r="AM195" s="228">
        <v>6.4</v>
      </c>
      <c r="AN195" s="229">
        <v>-1.46E-2</v>
      </c>
      <c r="AO195" s="231">
        <v>4654.25</v>
      </c>
      <c r="AP195" s="231">
        <v>4626.3500000000004</v>
      </c>
      <c r="AQ195" s="228">
        <v>0</v>
      </c>
      <c r="AR195" s="230">
        <v>517400</v>
      </c>
      <c r="AS195" s="230">
        <v>629600</v>
      </c>
      <c r="AT195" s="230">
        <v>-112200</v>
      </c>
      <c r="AU195" s="229">
        <v>-0.1782</v>
      </c>
      <c r="AV195" s="230">
        <v>440700</v>
      </c>
      <c r="AW195" s="230">
        <v>521100</v>
      </c>
      <c r="AX195" s="230">
        <v>-80400</v>
      </c>
      <c r="AY195" s="229">
        <v>-0.15429999999999999</v>
      </c>
      <c r="AZ195" s="230">
        <v>68300</v>
      </c>
      <c r="BA195" s="230">
        <v>106500</v>
      </c>
      <c r="BB195" s="230">
        <v>-38200</v>
      </c>
      <c r="BC195" s="229">
        <v>-0.35870000000000002</v>
      </c>
      <c r="BD195" s="230">
        <v>8400</v>
      </c>
      <c r="BE195" s="230">
        <v>2000</v>
      </c>
      <c r="BF195" s="230">
        <v>6400</v>
      </c>
      <c r="BG195" s="229">
        <v>3.2</v>
      </c>
      <c r="BH195" s="230">
        <v>2317900</v>
      </c>
      <c r="BI195" s="230">
        <v>1663300</v>
      </c>
      <c r="BJ195" s="230">
        <v>654600</v>
      </c>
      <c r="BK195" s="229">
        <v>0.39360000000000001</v>
      </c>
      <c r="BL195" s="230">
        <v>972800</v>
      </c>
      <c r="BM195" s="230">
        <v>772500</v>
      </c>
      <c r="BN195" s="230">
        <v>200300</v>
      </c>
      <c r="BO195" s="229">
        <v>0.25929999999999997</v>
      </c>
      <c r="BP195" s="230">
        <v>3808100</v>
      </c>
      <c r="BQ195" s="230">
        <v>3065400</v>
      </c>
      <c r="BR195" s="230">
        <v>742700</v>
      </c>
      <c r="BS195" s="229">
        <v>0.24229999999999999</v>
      </c>
      <c r="BT195" s="230">
        <v>396748</v>
      </c>
      <c r="BU195" s="230">
        <v>324627</v>
      </c>
      <c r="BV195" s="230">
        <v>72121</v>
      </c>
      <c r="BW195" s="229">
        <v>0.22220000000000001</v>
      </c>
      <c r="BX195" s="230">
        <v>1803300</v>
      </c>
      <c r="BY195" s="230">
        <v>1786300</v>
      </c>
      <c r="BZ195" s="230">
        <v>17000</v>
      </c>
      <c r="CA195" s="229">
        <v>9.4999999999999998E-3</v>
      </c>
      <c r="CB195" s="230">
        <v>1447000</v>
      </c>
      <c r="CC195" s="230">
        <v>1455600</v>
      </c>
      <c r="CD195" s="230">
        <v>-8600</v>
      </c>
      <c r="CE195" s="229">
        <v>-5.8999999999999999E-3</v>
      </c>
      <c r="CF195" s="230">
        <v>327500</v>
      </c>
      <c r="CG195" s="230">
        <v>306000</v>
      </c>
      <c r="CH195" s="230">
        <v>21500</v>
      </c>
      <c r="CI195" s="229">
        <v>7.0300000000000001E-2</v>
      </c>
      <c r="CJ195" s="230">
        <v>28800</v>
      </c>
      <c r="CK195" s="230">
        <v>24700</v>
      </c>
      <c r="CL195" s="230">
        <v>4100</v>
      </c>
      <c r="CM195" s="229">
        <v>0.16600000000000001</v>
      </c>
      <c r="CN195" s="230">
        <v>915200</v>
      </c>
      <c r="CO195" s="230">
        <v>753600</v>
      </c>
      <c r="CP195" s="230">
        <v>161600</v>
      </c>
      <c r="CQ195" s="229">
        <v>0.21440000000000001</v>
      </c>
      <c r="CR195" s="230">
        <v>503000</v>
      </c>
      <c r="CS195" s="230">
        <v>498700</v>
      </c>
      <c r="CT195" s="230">
        <v>4300</v>
      </c>
      <c r="CU195" s="229">
        <v>8.6E-3</v>
      </c>
      <c r="CV195" s="230">
        <v>3221500</v>
      </c>
      <c r="CW195" s="230">
        <v>3038600</v>
      </c>
      <c r="CX195" s="230">
        <v>182900</v>
      </c>
      <c r="CY195" s="229">
        <v>6.0199999999999997E-2</v>
      </c>
      <c r="CZ195" s="228">
        <v>42.78</v>
      </c>
      <c r="DA195" s="228">
        <v>41.65</v>
      </c>
      <c r="DB195" s="228">
        <v>1.1299999999999999</v>
      </c>
      <c r="DC195" s="228">
        <v>1.1299999999999999</v>
      </c>
      <c r="DD195" s="228">
        <v>38.83</v>
      </c>
      <c r="DE195" s="228">
        <v>38.93</v>
      </c>
      <c r="DF195" s="228">
        <v>3.95</v>
      </c>
      <c r="DG195" s="228">
        <v>-0.1</v>
      </c>
      <c r="DH195" s="228">
        <v>42.56</v>
      </c>
      <c r="DI195" s="228">
        <v>40.83</v>
      </c>
      <c r="DJ195" s="228">
        <v>1.73</v>
      </c>
      <c r="DK195" s="228">
        <v>1.73</v>
      </c>
      <c r="DL195" s="228">
        <v>43.29</v>
      </c>
      <c r="DM195" s="228">
        <v>43.4</v>
      </c>
      <c r="DN195" s="228">
        <v>-0.11</v>
      </c>
      <c r="DO195" s="228">
        <v>-0.11</v>
      </c>
      <c r="DP195" s="228">
        <v>0.55000000000000004</v>
      </c>
      <c r="DQ195" s="228">
        <v>0.66</v>
      </c>
      <c r="DR195" s="228">
        <v>-0.11</v>
      </c>
      <c r="DS195" s="229">
        <v>-0.16669999999999999</v>
      </c>
      <c r="DT195" s="231">
        <v>5000</v>
      </c>
      <c r="DU195" s="231">
        <v>4000</v>
      </c>
      <c r="DV195" s="228">
        <v>0.42</v>
      </c>
      <c r="DW195" s="228">
        <v>0.46</v>
      </c>
      <c r="DX195" s="228">
        <v>-0.04</v>
      </c>
      <c r="DY195" s="229">
        <v>-8.6999999999999994E-2</v>
      </c>
      <c r="DZ195" s="229">
        <v>0.1976</v>
      </c>
      <c r="EA195" s="230">
        <v>330700</v>
      </c>
      <c r="EB195" s="229">
        <v>-4.4999999999999997E-3</v>
      </c>
      <c r="EC195" s="229">
        <v>0.1976</v>
      </c>
      <c r="ED195" s="228">
        <v>-27.9</v>
      </c>
      <c r="EE195" s="229">
        <v>-6.0000000000000001E-3</v>
      </c>
      <c r="EF195" s="230">
        <v>135221</v>
      </c>
      <c r="EG195" s="230">
        <v>91395</v>
      </c>
      <c r="EH195" s="229">
        <v>0.47949999999999998</v>
      </c>
      <c r="EI195" s="229">
        <v>0.34079999999999999</v>
      </c>
      <c r="EJ195" s="231">
        <v>113958.45</v>
      </c>
      <c r="EK195" s="231">
        <v>43919.519999999997</v>
      </c>
      <c r="EL195" s="231">
        <v>24054.11</v>
      </c>
      <c r="EM195" s="231">
        <v>4235</v>
      </c>
      <c r="EN195" s="231">
        <v>181932.08</v>
      </c>
      <c r="EO195" s="231">
        <v>143680.57999999999</v>
      </c>
      <c r="EP195" s="231">
        <v>38251.5</v>
      </c>
      <c r="EQ195" s="229">
        <v>0.26619999999999999</v>
      </c>
      <c r="ER195" s="231">
        <v>43331</v>
      </c>
      <c r="ES195" s="231">
        <v>21841</v>
      </c>
      <c r="ET195" s="231">
        <v>82897</v>
      </c>
      <c r="EU195" s="231">
        <v>5241946</v>
      </c>
      <c r="EV195" s="231">
        <v>148069</v>
      </c>
      <c r="EW195" s="231">
        <v>138773</v>
      </c>
      <c r="EX195" s="231">
        <v>9296</v>
      </c>
      <c r="EY195" s="229">
        <v>6.7000000000000004E-2</v>
      </c>
      <c r="EZ195" s="229">
        <v>0.61460000000000004</v>
      </c>
      <c r="FA195" s="227" t="s">
        <v>566</v>
      </c>
      <c r="FB195" s="161">
        <f t="shared" ref="FB195:FB258" si="5">BX266-CB266</f>
        <v>0</v>
      </c>
    </row>
    <row r="196" spans="1:158" ht="17.25" thickBot="1" x14ac:dyDescent="0.3">
      <c r="A196" s="226">
        <v>46129</v>
      </c>
      <c r="B196" s="227" t="s">
        <v>161</v>
      </c>
      <c r="C196" s="227" t="s">
        <v>293</v>
      </c>
      <c r="D196" s="228">
        <v>1450</v>
      </c>
      <c r="E196" s="228">
        <v>427.95</v>
      </c>
      <c r="F196" s="228">
        <v>427.55</v>
      </c>
      <c r="G196" s="228">
        <v>0.4</v>
      </c>
      <c r="H196" s="229">
        <v>8.9999999999999998E-4</v>
      </c>
      <c r="I196" s="228">
        <v>427.6</v>
      </c>
      <c r="J196" s="228">
        <v>426.6</v>
      </c>
      <c r="K196" s="228">
        <v>1</v>
      </c>
      <c r="L196" s="229">
        <v>2.3E-3</v>
      </c>
      <c r="M196" s="228">
        <v>427.95</v>
      </c>
      <c r="N196" s="228">
        <v>427.55</v>
      </c>
      <c r="O196" s="228">
        <v>0.4</v>
      </c>
      <c r="P196" s="229">
        <v>8.9999999999999998E-4</v>
      </c>
      <c r="Q196" s="228">
        <v>430.45</v>
      </c>
      <c r="R196" s="228">
        <v>430.45</v>
      </c>
      <c r="S196" s="228">
        <v>0</v>
      </c>
      <c r="T196" s="229">
        <v>0</v>
      </c>
      <c r="U196" s="228">
        <v>430.95</v>
      </c>
      <c r="V196" s="228">
        <v>430.6</v>
      </c>
      <c r="W196" s="228">
        <v>0.35</v>
      </c>
      <c r="X196" s="229">
        <v>8.0000000000000004E-4</v>
      </c>
      <c r="Y196" s="228">
        <v>0.35</v>
      </c>
      <c r="Z196" s="228">
        <v>0.95</v>
      </c>
      <c r="AA196" s="228">
        <v>-0.6</v>
      </c>
      <c r="AB196" s="229">
        <v>8.0000000000000004E-4</v>
      </c>
      <c r="AC196" s="228">
        <v>0.35</v>
      </c>
      <c r="AD196" s="228">
        <v>0.95</v>
      </c>
      <c r="AE196" s="228">
        <v>-0.6</v>
      </c>
      <c r="AF196" s="229">
        <v>8.0000000000000004E-4</v>
      </c>
      <c r="AG196" s="228">
        <v>2.85</v>
      </c>
      <c r="AH196" s="228">
        <v>3.85</v>
      </c>
      <c r="AI196" s="228">
        <v>-1</v>
      </c>
      <c r="AJ196" s="229">
        <v>6.7000000000000002E-3</v>
      </c>
      <c r="AK196" s="228">
        <v>3.35</v>
      </c>
      <c r="AL196" s="228">
        <v>4</v>
      </c>
      <c r="AM196" s="228">
        <v>-0.65</v>
      </c>
      <c r="AN196" s="229">
        <v>7.7999999999999996E-3</v>
      </c>
      <c r="AO196" s="228">
        <v>428.03</v>
      </c>
      <c r="AP196" s="228">
        <v>431.18</v>
      </c>
      <c r="AQ196" s="228">
        <v>0</v>
      </c>
      <c r="AR196" s="230">
        <v>10577750</v>
      </c>
      <c r="AS196" s="230">
        <v>18177200</v>
      </c>
      <c r="AT196" s="230">
        <v>-7599450</v>
      </c>
      <c r="AU196" s="229">
        <v>-0.41810000000000003</v>
      </c>
      <c r="AV196" s="230">
        <v>8263550</v>
      </c>
      <c r="AW196" s="230">
        <v>15491800</v>
      </c>
      <c r="AX196" s="230">
        <v>-7228250</v>
      </c>
      <c r="AY196" s="229">
        <v>-0.46660000000000001</v>
      </c>
      <c r="AZ196" s="230">
        <v>2160500</v>
      </c>
      <c r="BA196" s="230">
        <v>2459200</v>
      </c>
      <c r="BB196" s="230">
        <v>-298700</v>
      </c>
      <c r="BC196" s="229">
        <v>-0.1215</v>
      </c>
      <c r="BD196" s="230">
        <v>153700</v>
      </c>
      <c r="BE196" s="230">
        <v>226200</v>
      </c>
      <c r="BF196" s="230">
        <v>-72500</v>
      </c>
      <c r="BG196" s="229">
        <v>-0.32050000000000001</v>
      </c>
      <c r="BH196" s="230">
        <v>49584200</v>
      </c>
      <c r="BI196" s="230">
        <v>96426450</v>
      </c>
      <c r="BJ196" s="230">
        <v>-46842250</v>
      </c>
      <c r="BK196" s="229">
        <v>-0.48580000000000001</v>
      </c>
      <c r="BL196" s="230">
        <v>36983700</v>
      </c>
      <c r="BM196" s="230">
        <v>38445300</v>
      </c>
      <c r="BN196" s="230">
        <v>-1461600</v>
      </c>
      <c r="BO196" s="229">
        <v>-3.7999999999999999E-2</v>
      </c>
      <c r="BP196" s="230">
        <v>97145650</v>
      </c>
      <c r="BQ196" s="230">
        <v>153048950</v>
      </c>
      <c r="BR196" s="230">
        <v>-55903300</v>
      </c>
      <c r="BS196" s="229">
        <v>-0.36530000000000001</v>
      </c>
      <c r="BT196" s="230">
        <v>8238954</v>
      </c>
      <c r="BU196" s="230">
        <v>14599412</v>
      </c>
      <c r="BV196" s="230">
        <v>-6360458</v>
      </c>
      <c r="BW196" s="229">
        <v>-0.43569999999999998</v>
      </c>
      <c r="BX196" s="230">
        <v>57102450</v>
      </c>
      <c r="BY196" s="230">
        <v>57530200</v>
      </c>
      <c r="BZ196" s="230">
        <v>-427750</v>
      </c>
      <c r="CA196" s="229">
        <v>-7.4000000000000003E-3</v>
      </c>
      <c r="CB196" s="230">
        <v>51140050</v>
      </c>
      <c r="CC196" s="230">
        <v>52736500</v>
      </c>
      <c r="CD196" s="230">
        <v>-1596450</v>
      </c>
      <c r="CE196" s="229">
        <v>-3.0300000000000001E-2</v>
      </c>
      <c r="CF196" s="230">
        <v>5528850</v>
      </c>
      <c r="CG196" s="230">
        <v>4392050</v>
      </c>
      <c r="CH196" s="230">
        <v>1136800</v>
      </c>
      <c r="CI196" s="229">
        <v>0.25879999999999997</v>
      </c>
      <c r="CJ196" s="230">
        <v>433550</v>
      </c>
      <c r="CK196" s="230">
        <v>401650</v>
      </c>
      <c r="CL196" s="230">
        <v>31900</v>
      </c>
      <c r="CM196" s="229">
        <v>7.9399999999999998E-2</v>
      </c>
      <c r="CN196" s="230">
        <v>36669050</v>
      </c>
      <c r="CO196" s="230">
        <v>37244700</v>
      </c>
      <c r="CP196" s="230">
        <v>-575650</v>
      </c>
      <c r="CQ196" s="229">
        <v>-1.55E-2</v>
      </c>
      <c r="CR196" s="230">
        <v>31375100</v>
      </c>
      <c r="CS196" s="230">
        <v>29159500</v>
      </c>
      <c r="CT196" s="230">
        <v>2215600</v>
      </c>
      <c r="CU196" s="229">
        <v>7.5999999999999998E-2</v>
      </c>
      <c r="CV196" s="230">
        <v>125146600</v>
      </c>
      <c r="CW196" s="230">
        <v>123934400</v>
      </c>
      <c r="CX196" s="230">
        <v>1212200</v>
      </c>
      <c r="CY196" s="229">
        <v>9.7999999999999997E-3</v>
      </c>
      <c r="CZ196" s="228">
        <v>29.31</v>
      </c>
      <c r="DA196" s="228">
        <v>29.35</v>
      </c>
      <c r="DB196" s="228">
        <v>-0.04</v>
      </c>
      <c r="DC196" s="228">
        <v>-0.04</v>
      </c>
      <c r="DD196" s="228">
        <v>31.57</v>
      </c>
      <c r="DE196" s="228">
        <v>31.64</v>
      </c>
      <c r="DF196" s="228">
        <v>-2.2599999999999998</v>
      </c>
      <c r="DG196" s="228">
        <v>-7.0000000000000007E-2</v>
      </c>
      <c r="DH196" s="228">
        <v>28.97</v>
      </c>
      <c r="DI196" s="228">
        <v>29.08</v>
      </c>
      <c r="DJ196" s="228">
        <v>-0.11</v>
      </c>
      <c r="DK196" s="228">
        <v>-0.11</v>
      </c>
      <c r="DL196" s="228">
        <v>29.77</v>
      </c>
      <c r="DM196" s="228">
        <v>30.04</v>
      </c>
      <c r="DN196" s="228">
        <v>-0.27</v>
      </c>
      <c r="DO196" s="228">
        <v>-0.27</v>
      </c>
      <c r="DP196" s="228">
        <v>0.86</v>
      </c>
      <c r="DQ196" s="228">
        <v>0.78</v>
      </c>
      <c r="DR196" s="228">
        <v>0.08</v>
      </c>
      <c r="DS196" s="229">
        <v>0.1026</v>
      </c>
      <c r="DT196" s="228">
        <v>430</v>
      </c>
      <c r="DU196" s="228">
        <v>415</v>
      </c>
      <c r="DV196" s="228">
        <v>0.75</v>
      </c>
      <c r="DW196" s="228">
        <v>0.4</v>
      </c>
      <c r="DX196" s="228">
        <v>0.35</v>
      </c>
      <c r="DY196" s="229">
        <v>0.875</v>
      </c>
      <c r="DZ196" s="229">
        <v>0.10440000000000001</v>
      </c>
      <c r="EA196" s="230">
        <v>4793700</v>
      </c>
      <c r="EB196" s="229">
        <v>5.7999999999999996E-3</v>
      </c>
      <c r="EC196" s="229">
        <v>0.10440000000000001</v>
      </c>
      <c r="ED196" s="228">
        <v>3.15</v>
      </c>
      <c r="EE196" s="229">
        <v>7.4000000000000003E-3</v>
      </c>
      <c r="EF196" s="230">
        <v>3410739</v>
      </c>
      <c r="EG196" s="230">
        <v>5470380</v>
      </c>
      <c r="EH196" s="229">
        <v>-0.3765</v>
      </c>
      <c r="EI196" s="229">
        <v>0.41399999999999998</v>
      </c>
      <c r="EJ196" s="231">
        <v>219748.04</v>
      </c>
      <c r="EK196" s="231">
        <v>155773.67000000001</v>
      </c>
      <c r="EL196" s="231">
        <v>45348.19</v>
      </c>
      <c r="EM196" s="231">
        <v>11392</v>
      </c>
      <c r="EN196" s="231">
        <v>420869.9</v>
      </c>
      <c r="EO196" s="231">
        <v>661709.65</v>
      </c>
      <c r="EP196" s="231">
        <v>-240839.75</v>
      </c>
      <c r="EQ196" s="229">
        <v>-0.36399999999999999</v>
      </c>
      <c r="ER196" s="231">
        <v>154774</v>
      </c>
      <c r="ES196" s="231">
        <v>124882</v>
      </c>
      <c r="ET196" s="231">
        <v>244521</v>
      </c>
      <c r="EU196" s="231">
        <v>169808198</v>
      </c>
      <c r="EV196" s="231">
        <v>524177</v>
      </c>
      <c r="EW196" s="231">
        <v>518104</v>
      </c>
      <c r="EX196" s="231">
        <v>6073</v>
      </c>
      <c r="EY196" s="229">
        <v>1.17E-2</v>
      </c>
      <c r="EZ196" s="229">
        <v>0.73699999999999999</v>
      </c>
      <c r="FA196" s="227" t="s">
        <v>693</v>
      </c>
      <c r="FB196" s="161">
        <f t="shared" si="5"/>
        <v>0</v>
      </c>
    </row>
    <row r="197" spans="1:158" ht="17.25" thickBot="1" x14ac:dyDescent="0.3">
      <c r="A197" s="226">
        <v>46129</v>
      </c>
      <c r="B197" s="227" t="s">
        <v>227</v>
      </c>
      <c r="C197" s="227" t="s">
        <v>294</v>
      </c>
      <c r="D197" s="228">
        <v>5500</v>
      </c>
      <c r="E197" s="228">
        <v>212.3</v>
      </c>
      <c r="F197" s="228">
        <v>210.72</v>
      </c>
      <c r="G197" s="228">
        <v>1.58</v>
      </c>
      <c r="H197" s="229">
        <v>7.4999999999999997E-3</v>
      </c>
      <c r="I197" s="228">
        <v>212.12</v>
      </c>
      <c r="J197" s="228">
        <v>210.69</v>
      </c>
      <c r="K197" s="228">
        <v>1.43</v>
      </c>
      <c r="L197" s="229">
        <v>6.7999999999999996E-3</v>
      </c>
      <c r="M197" s="228">
        <v>212.3</v>
      </c>
      <c r="N197" s="228">
        <v>210.72</v>
      </c>
      <c r="O197" s="228">
        <v>1.58</v>
      </c>
      <c r="P197" s="229">
        <v>7.4999999999999997E-3</v>
      </c>
      <c r="Q197" s="228">
        <v>213.63</v>
      </c>
      <c r="R197" s="228">
        <v>211.95</v>
      </c>
      <c r="S197" s="228">
        <v>1.68</v>
      </c>
      <c r="T197" s="229">
        <v>7.9000000000000008E-3</v>
      </c>
      <c r="U197" s="228">
        <v>211.66</v>
      </c>
      <c r="V197" s="228">
        <v>210.21</v>
      </c>
      <c r="W197" s="228">
        <v>1.45</v>
      </c>
      <c r="X197" s="229">
        <v>6.8999999999999999E-3</v>
      </c>
      <c r="Y197" s="228">
        <v>0.18</v>
      </c>
      <c r="Z197" s="228">
        <v>0.03</v>
      </c>
      <c r="AA197" s="228">
        <v>0.15</v>
      </c>
      <c r="AB197" s="229">
        <v>8.0000000000000004E-4</v>
      </c>
      <c r="AC197" s="228">
        <v>0.18</v>
      </c>
      <c r="AD197" s="228">
        <v>0.03</v>
      </c>
      <c r="AE197" s="228">
        <v>0.15</v>
      </c>
      <c r="AF197" s="229">
        <v>8.0000000000000004E-4</v>
      </c>
      <c r="AG197" s="228">
        <v>1.51</v>
      </c>
      <c r="AH197" s="228">
        <v>1.26</v>
      </c>
      <c r="AI197" s="228">
        <v>0.25</v>
      </c>
      <c r="AJ197" s="229">
        <v>7.1000000000000004E-3</v>
      </c>
      <c r="AK197" s="228">
        <v>-0.46</v>
      </c>
      <c r="AL197" s="228">
        <v>-0.48</v>
      </c>
      <c r="AM197" s="228">
        <v>0.02</v>
      </c>
      <c r="AN197" s="229">
        <v>-2.2000000000000001E-3</v>
      </c>
      <c r="AO197" s="228">
        <v>211.33</v>
      </c>
      <c r="AP197" s="228">
        <v>212.68</v>
      </c>
      <c r="AQ197" s="228">
        <v>0</v>
      </c>
      <c r="AR197" s="230">
        <v>29694500</v>
      </c>
      <c r="AS197" s="230">
        <v>38500000</v>
      </c>
      <c r="AT197" s="230">
        <v>-8805500</v>
      </c>
      <c r="AU197" s="229">
        <v>-0.22869999999999999</v>
      </c>
      <c r="AV197" s="230">
        <v>24684000</v>
      </c>
      <c r="AW197" s="230">
        <v>32136500</v>
      </c>
      <c r="AX197" s="230">
        <v>-7452500</v>
      </c>
      <c r="AY197" s="229">
        <v>-0.2319</v>
      </c>
      <c r="AZ197" s="230">
        <v>4323000</v>
      </c>
      <c r="BA197" s="230">
        <v>5159000</v>
      </c>
      <c r="BB197" s="230">
        <v>-836000</v>
      </c>
      <c r="BC197" s="229">
        <v>-0.16200000000000001</v>
      </c>
      <c r="BD197" s="230">
        <v>687500</v>
      </c>
      <c r="BE197" s="230">
        <v>1204500</v>
      </c>
      <c r="BF197" s="230">
        <v>-517000</v>
      </c>
      <c r="BG197" s="229">
        <v>-0.42920000000000003</v>
      </c>
      <c r="BH197" s="230">
        <v>118387500</v>
      </c>
      <c r="BI197" s="230">
        <v>153279500</v>
      </c>
      <c r="BJ197" s="230">
        <v>-34892000</v>
      </c>
      <c r="BK197" s="229">
        <v>-0.2276</v>
      </c>
      <c r="BL197" s="230">
        <v>76807500</v>
      </c>
      <c r="BM197" s="230">
        <v>80080000</v>
      </c>
      <c r="BN197" s="230">
        <v>-3272500</v>
      </c>
      <c r="BO197" s="229">
        <v>-4.0899999999999999E-2</v>
      </c>
      <c r="BP197" s="230">
        <v>224889500</v>
      </c>
      <c r="BQ197" s="230">
        <v>271859500</v>
      </c>
      <c r="BR197" s="230">
        <v>-46970000</v>
      </c>
      <c r="BS197" s="229">
        <v>-0.17280000000000001</v>
      </c>
      <c r="BT197" s="230">
        <v>24403581</v>
      </c>
      <c r="BU197" s="230">
        <v>29279774</v>
      </c>
      <c r="BV197" s="230">
        <v>-4876193</v>
      </c>
      <c r="BW197" s="229">
        <v>-0.16650000000000001</v>
      </c>
      <c r="BX197" s="230">
        <v>178337500</v>
      </c>
      <c r="BY197" s="230">
        <v>179784000</v>
      </c>
      <c r="BZ197" s="230">
        <v>-1446500</v>
      </c>
      <c r="CA197" s="229">
        <v>-8.0000000000000002E-3</v>
      </c>
      <c r="CB197" s="230">
        <v>153642500</v>
      </c>
      <c r="CC197" s="230">
        <v>156101000</v>
      </c>
      <c r="CD197" s="230">
        <v>-2458500</v>
      </c>
      <c r="CE197" s="229">
        <v>-1.5699999999999999E-2</v>
      </c>
      <c r="CF197" s="230">
        <v>19184000</v>
      </c>
      <c r="CG197" s="230">
        <v>18144500</v>
      </c>
      <c r="CH197" s="230">
        <v>1039500</v>
      </c>
      <c r="CI197" s="229">
        <v>5.7299999999999997E-2</v>
      </c>
      <c r="CJ197" s="230">
        <v>5511000</v>
      </c>
      <c r="CK197" s="230">
        <v>5538500</v>
      </c>
      <c r="CL197" s="230">
        <v>-27500</v>
      </c>
      <c r="CM197" s="229">
        <v>-5.0000000000000001E-3</v>
      </c>
      <c r="CN197" s="230">
        <v>116435000</v>
      </c>
      <c r="CO197" s="230">
        <v>117111500</v>
      </c>
      <c r="CP197" s="230">
        <v>-676500</v>
      </c>
      <c r="CQ197" s="229">
        <v>-5.7999999999999996E-3</v>
      </c>
      <c r="CR197" s="230">
        <v>99880000</v>
      </c>
      <c r="CS197" s="230">
        <v>93923500</v>
      </c>
      <c r="CT197" s="230">
        <v>5956500</v>
      </c>
      <c r="CU197" s="229">
        <v>6.3399999999999998E-2</v>
      </c>
      <c r="CV197" s="230">
        <v>394652500</v>
      </c>
      <c r="CW197" s="230">
        <v>390819000</v>
      </c>
      <c r="CX197" s="230">
        <v>3833500</v>
      </c>
      <c r="CY197" s="229">
        <v>9.7999999999999997E-3</v>
      </c>
      <c r="CZ197" s="228">
        <v>29.64</v>
      </c>
      <c r="DA197" s="228">
        <v>31.19</v>
      </c>
      <c r="DB197" s="228">
        <v>-1.55</v>
      </c>
      <c r="DC197" s="228">
        <v>-1.55</v>
      </c>
      <c r="DD197" s="228">
        <v>36.159999999999997</v>
      </c>
      <c r="DE197" s="228">
        <v>36.229999999999997</v>
      </c>
      <c r="DF197" s="228">
        <v>-6.52</v>
      </c>
      <c r="DG197" s="228">
        <v>-7.0000000000000007E-2</v>
      </c>
      <c r="DH197" s="228">
        <v>28.19</v>
      </c>
      <c r="DI197" s="228">
        <v>30.31</v>
      </c>
      <c r="DJ197" s="228">
        <v>-2.12</v>
      </c>
      <c r="DK197" s="228">
        <v>-2.12</v>
      </c>
      <c r="DL197" s="228">
        <v>31.87</v>
      </c>
      <c r="DM197" s="228">
        <v>32.869999999999997</v>
      </c>
      <c r="DN197" s="228">
        <v>-1</v>
      </c>
      <c r="DO197" s="228">
        <v>-1</v>
      </c>
      <c r="DP197" s="228">
        <v>0.86</v>
      </c>
      <c r="DQ197" s="228">
        <v>0.8</v>
      </c>
      <c r="DR197" s="228">
        <v>0.06</v>
      </c>
      <c r="DS197" s="229">
        <v>7.4999999999999997E-2</v>
      </c>
      <c r="DT197" s="228">
        <v>195</v>
      </c>
      <c r="DU197" s="228">
        <v>200</v>
      </c>
      <c r="DV197" s="228">
        <v>0.65</v>
      </c>
      <c r="DW197" s="228">
        <v>0.52</v>
      </c>
      <c r="DX197" s="228">
        <v>0.13</v>
      </c>
      <c r="DY197" s="229">
        <v>0.25</v>
      </c>
      <c r="DZ197" s="229">
        <v>0.13850000000000001</v>
      </c>
      <c r="EA197" s="230">
        <v>23683000</v>
      </c>
      <c r="EB197" s="229">
        <v>6.3E-3</v>
      </c>
      <c r="EC197" s="229">
        <v>0.13850000000000001</v>
      </c>
      <c r="ED197" s="228">
        <v>1.35</v>
      </c>
      <c r="EE197" s="229">
        <v>6.4000000000000003E-3</v>
      </c>
      <c r="EF197" s="230">
        <v>9314487</v>
      </c>
      <c r="EG197" s="230">
        <v>10747419</v>
      </c>
      <c r="EH197" s="229">
        <v>-0.1333</v>
      </c>
      <c r="EI197" s="229">
        <v>0.38169999999999998</v>
      </c>
      <c r="EJ197" s="231">
        <v>258277.1</v>
      </c>
      <c r="EK197" s="231">
        <v>158022.76</v>
      </c>
      <c r="EL197" s="231">
        <v>62806.57</v>
      </c>
      <c r="EM197" s="231">
        <v>6493</v>
      </c>
      <c r="EN197" s="231">
        <v>479106.43</v>
      </c>
      <c r="EO197" s="231">
        <v>580632.23</v>
      </c>
      <c r="EP197" s="231">
        <v>-101525.8</v>
      </c>
      <c r="EQ197" s="229">
        <v>-0.1749</v>
      </c>
      <c r="ER197" s="231">
        <v>242007</v>
      </c>
      <c r="ES197" s="231">
        <v>194249</v>
      </c>
      <c r="ET197" s="231">
        <v>378830</v>
      </c>
      <c r="EU197" s="231">
        <v>1049350971</v>
      </c>
      <c r="EV197" s="231">
        <v>815086</v>
      </c>
      <c r="EW197" s="231">
        <v>803978</v>
      </c>
      <c r="EX197" s="231">
        <v>11108</v>
      </c>
      <c r="EY197" s="229">
        <v>1.38E-2</v>
      </c>
      <c r="EZ197" s="229">
        <v>0.37609999999999999</v>
      </c>
      <c r="FA197" s="227" t="s">
        <v>693</v>
      </c>
      <c r="FB197" s="161">
        <f t="shared" si="5"/>
        <v>0</v>
      </c>
    </row>
    <row r="198" spans="1:158" ht="17.25" thickBot="1" x14ac:dyDescent="0.3">
      <c r="A198" s="226">
        <v>46129</v>
      </c>
      <c r="B198" s="227" t="s">
        <v>221</v>
      </c>
      <c r="C198" s="227" t="s">
        <v>662</v>
      </c>
      <c r="D198" s="228">
        <v>800</v>
      </c>
      <c r="E198" s="228">
        <v>590.9</v>
      </c>
      <c r="F198" s="228">
        <v>588</v>
      </c>
      <c r="G198" s="228">
        <v>2.9</v>
      </c>
      <c r="H198" s="229">
        <v>4.8999999999999998E-3</v>
      </c>
      <c r="I198" s="228">
        <v>589.29999999999995</v>
      </c>
      <c r="J198" s="228">
        <v>586.70000000000005</v>
      </c>
      <c r="K198" s="228">
        <v>2.6</v>
      </c>
      <c r="L198" s="229">
        <v>4.4000000000000003E-3</v>
      </c>
      <c r="M198" s="228">
        <v>590.9</v>
      </c>
      <c r="N198" s="228">
        <v>588</v>
      </c>
      <c r="O198" s="228">
        <v>2.9</v>
      </c>
      <c r="P198" s="229">
        <v>4.8999999999999998E-3</v>
      </c>
      <c r="Q198" s="228">
        <v>0</v>
      </c>
      <c r="R198" s="228">
        <v>0</v>
      </c>
      <c r="S198" s="228">
        <v>0</v>
      </c>
      <c r="T198" s="229">
        <v>0</v>
      </c>
      <c r="U198" s="228">
        <v>0</v>
      </c>
      <c r="V198" s="228">
        <v>0</v>
      </c>
      <c r="W198" s="228">
        <v>0</v>
      </c>
      <c r="X198" s="229">
        <v>0</v>
      </c>
      <c r="Y198" s="228">
        <v>1.6</v>
      </c>
      <c r="Z198" s="228">
        <v>1.3</v>
      </c>
      <c r="AA198" s="228">
        <v>0.3</v>
      </c>
      <c r="AB198" s="229">
        <v>2.7000000000000001E-3</v>
      </c>
      <c r="AC198" s="228">
        <v>1.6</v>
      </c>
      <c r="AD198" s="228">
        <v>1.3</v>
      </c>
      <c r="AE198" s="228">
        <v>0.3</v>
      </c>
      <c r="AF198" s="229">
        <v>2.7000000000000001E-3</v>
      </c>
      <c r="AG198" s="228">
        <v>0</v>
      </c>
      <c r="AH198" s="228">
        <v>0</v>
      </c>
      <c r="AI198" s="228">
        <v>0</v>
      </c>
      <c r="AJ198" s="229">
        <v>0</v>
      </c>
      <c r="AK198" s="228">
        <v>0</v>
      </c>
      <c r="AL198" s="228">
        <v>0</v>
      </c>
      <c r="AM198" s="228">
        <v>0</v>
      </c>
      <c r="AN198" s="229">
        <v>0</v>
      </c>
      <c r="AO198" s="228">
        <v>590.92999999999995</v>
      </c>
      <c r="AP198" s="228">
        <v>0</v>
      </c>
      <c r="AQ198" s="228">
        <v>0</v>
      </c>
      <c r="AR198" s="230">
        <v>502400</v>
      </c>
      <c r="AS198" s="230">
        <v>1116000</v>
      </c>
      <c r="AT198" s="230">
        <v>-613600</v>
      </c>
      <c r="AU198" s="229">
        <v>-0.54979999999999996</v>
      </c>
      <c r="AV198" s="230">
        <v>502400</v>
      </c>
      <c r="AW198" s="230">
        <v>1116000</v>
      </c>
      <c r="AX198" s="230">
        <v>-613600</v>
      </c>
      <c r="AY198" s="229">
        <v>-0.54979999999999996</v>
      </c>
      <c r="AZ198" s="228">
        <v>0</v>
      </c>
      <c r="BA198" s="228">
        <v>0</v>
      </c>
      <c r="BB198" s="228">
        <v>0</v>
      </c>
      <c r="BC198" s="229">
        <v>0</v>
      </c>
      <c r="BD198" s="228">
        <v>0</v>
      </c>
      <c r="BE198" s="228">
        <v>0</v>
      </c>
      <c r="BF198" s="228">
        <v>0</v>
      </c>
      <c r="BG198" s="229">
        <v>0</v>
      </c>
      <c r="BH198" s="230">
        <v>1348000</v>
      </c>
      <c r="BI198" s="230">
        <v>4203200</v>
      </c>
      <c r="BJ198" s="230">
        <v>-2855200</v>
      </c>
      <c r="BK198" s="229">
        <v>-0.67930000000000001</v>
      </c>
      <c r="BL198" s="230">
        <v>424800</v>
      </c>
      <c r="BM198" s="230">
        <v>1188000</v>
      </c>
      <c r="BN198" s="230">
        <v>-763200</v>
      </c>
      <c r="BO198" s="229">
        <v>-0.64239999999999997</v>
      </c>
      <c r="BP198" s="230">
        <v>2275200</v>
      </c>
      <c r="BQ198" s="230">
        <v>6507200</v>
      </c>
      <c r="BR198" s="230">
        <v>-4232000</v>
      </c>
      <c r="BS198" s="229">
        <v>-0.65039999999999998</v>
      </c>
      <c r="BT198" s="230">
        <v>655163</v>
      </c>
      <c r="BU198" s="230">
        <v>969686</v>
      </c>
      <c r="BV198" s="230">
        <v>-314523</v>
      </c>
      <c r="BW198" s="229">
        <v>-0.32440000000000002</v>
      </c>
      <c r="BX198" s="230">
        <v>6109600</v>
      </c>
      <c r="BY198" s="230">
        <v>6193600</v>
      </c>
      <c r="BZ198" s="230">
        <v>-84000</v>
      </c>
      <c r="CA198" s="229">
        <v>-1.3599999999999999E-2</v>
      </c>
      <c r="CB198" s="230">
        <v>6109600</v>
      </c>
      <c r="CC198" s="230">
        <v>6193600</v>
      </c>
      <c r="CD198" s="230">
        <v>-84000</v>
      </c>
      <c r="CE198" s="229">
        <v>-1.3599999999999999E-2</v>
      </c>
      <c r="CF198" s="228">
        <v>0</v>
      </c>
      <c r="CG198" s="228">
        <v>0</v>
      </c>
      <c r="CH198" s="228">
        <v>0</v>
      </c>
      <c r="CI198" s="229">
        <v>0</v>
      </c>
      <c r="CJ198" s="228">
        <v>0</v>
      </c>
      <c r="CK198" s="228">
        <v>0</v>
      </c>
      <c r="CL198" s="228">
        <v>0</v>
      </c>
      <c r="CM198" s="229">
        <v>0</v>
      </c>
      <c r="CN198" s="230">
        <v>2736800</v>
      </c>
      <c r="CO198" s="230">
        <v>2680000</v>
      </c>
      <c r="CP198" s="230">
        <v>56800</v>
      </c>
      <c r="CQ198" s="229">
        <v>2.12E-2</v>
      </c>
      <c r="CR198" s="230">
        <v>1817600</v>
      </c>
      <c r="CS198" s="230">
        <v>1832800</v>
      </c>
      <c r="CT198" s="230">
        <v>-15200</v>
      </c>
      <c r="CU198" s="229">
        <v>-8.3000000000000001E-3</v>
      </c>
      <c r="CV198" s="230">
        <v>10664000</v>
      </c>
      <c r="CW198" s="230">
        <v>10706400</v>
      </c>
      <c r="CX198" s="230">
        <v>-42400</v>
      </c>
      <c r="CY198" s="229">
        <v>-4.0000000000000001E-3</v>
      </c>
      <c r="CZ198" s="228">
        <v>30.08</v>
      </c>
      <c r="DA198" s="228">
        <v>31.8</v>
      </c>
      <c r="DB198" s="228">
        <v>-1.72</v>
      </c>
      <c r="DC198" s="228">
        <v>-1.72</v>
      </c>
      <c r="DD198" s="228">
        <v>33.64</v>
      </c>
      <c r="DE198" s="228">
        <v>33.72</v>
      </c>
      <c r="DF198" s="228">
        <v>-3.56</v>
      </c>
      <c r="DG198" s="228">
        <v>-0.08</v>
      </c>
      <c r="DH198" s="228">
        <v>28.25</v>
      </c>
      <c r="DI198" s="228">
        <v>30.39</v>
      </c>
      <c r="DJ198" s="228">
        <v>-2.14</v>
      </c>
      <c r="DK198" s="228">
        <v>-2.14</v>
      </c>
      <c r="DL198" s="228">
        <v>35.880000000000003</v>
      </c>
      <c r="DM198" s="228">
        <v>36.78</v>
      </c>
      <c r="DN198" s="228">
        <v>-0.9</v>
      </c>
      <c r="DO198" s="228">
        <v>-0.9</v>
      </c>
      <c r="DP198" s="228">
        <v>0.66</v>
      </c>
      <c r="DQ198" s="228">
        <v>0.68</v>
      </c>
      <c r="DR198" s="228">
        <v>-0.02</v>
      </c>
      <c r="DS198" s="229">
        <v>-2.9399999999999999E-2</v>
      </c>
      <c r="DT198" s="228">
        <v>620</v>
      </c>
      <c r="DU198" s="228">
        <v>550</v>
      </c>
      <c r="DV198" s="228">
        <v>0.32</v>
      </c>
      <c r="DW198" s="228">
        <v>0.28000000000000003</v>
      </c>
      <c r="DX198" s="228">
        <v>0.04</v>
      </c>
      <c r="DY198" s="229">
        <v>0.1429</v>
      </c>
      <c r="DZ198" s="229">
        <v>0</v>
      </c>
      <c r="EA198" s="228">
        <v>0</v>
      </c>
      <c r="EB198" s="229">
        <v>0</v>
      </c>
      <c r="EC198" s="229">
        <v>0</v>
      </c>
      <c r="ED198" s="228">
        <v>0</v>
      </c>
      <c r="EE198" s="229">
        <v>0</v>
      </c>
      <c r="EF198" s="230">
        <v>246733</v>
      </c>
      <c r="EG198" s="230">
        <v>318265</v>
      </c>
      <c r="EH198" s="229">
        <v>-0.2248</v>
      </c>
      <c r="EI198" s="229">
        <v>0.37659999999999999</v>
      </c>
      <c r="EJ198" s="231">
        <v>8250.85</v>
      </c>
      <c r="EK198" s="231">
        <v>2406.39</v>
      </c>
      <c r="EL198" s="231">
        <v>2968.84</v>
      </c>
      <c r="EM198" s="231">
        <v>1151</v>
      </c>
      <c r="EN198" s="231">
        <v>13626.08</v>
      </c>
      <c r="EO198" s="231">
        <v>38945.97</v>
      </c>
      <c r="EP198" s="231">
        <v>-25319.89</v>
      </c>
      <c r="EQ198" s="229">
        <v>-0.65010000000000001</v>
      </c>
      <c r="ER198" s="231">
        <v>16187</v>
      </c>
      <c r="ES198" s="231">
        <v>10066</v>
      </c>
      <c r="ET198" s="231">
        <v>36102</v>
      </c>
      <c r="EU198" s="231">
        <v>27144562</v>
      </c>
      <c r="EV198" s="231">
        <v>62355</v>
      </c>
      <c r="EW198" s="231">
        <v>62385</v>
      </c>
      <c r="EX198" s="228">
        <v>-30</v>
      </c>
      <c r="EY198" s="229">
        <v>-5.0000000000000001E-4</v>
      </c>
      <c r="EZ198" s="229">
        <v>0.39290000000000003</v>
      </c>
      <c r="FA198" s="227" t="s">
        <v>693</v>
      </c>
      <c r="FB198" s="161">
        <f t="shared" si="5"/>
        <v>0</v>
      </c>
    </row>
    <row r="199" spans="1:158" ht="17.25" thickBot="1" x14ac:dyDescent="0.3">
      <c r="A199" s="226">
        <v>46129</v>
      </c>
      <c r="B199" s="227" t="s">
        <v>221</v>
      </c>
      <c r="C199" s="227" t="s">
        <v>295</v>
      </c>
      <c r="D199" s="228">
        <v>175</v>
      </c>
      <c r="E199" s="231">
        <v>2561.1999999999998</v>
      </c>
      <c r="F199" s="231">
        <v>2555.6</v>
      </c>
      <c r="G199" s="228">
        <v>5.6</v>
      </c>
      <c r="H199" s="229">
        <v>2.2000000000000001E-3</v>
      </c>
      <c r="I199" s="231">
        <v>2581.5</v>
      </c>
      <c r="J199" s="231">
        <v>2576.9</v>
      </c>
      <c r="K199" s="228">
        <v>4.5999999999999996</v>
      </c>
      <c r="L199" s="229">
        <v>1.8E-3</v>
      </c>
      <c r="M199" s="231">
        <v>2561.1999999999998</v>
      </c>
      <c r="N199" s="231">
        <v>2555.6</v>
      </c>
      <c r="O199" s="228">
        <v>5.6</v>
      </c>
      <c r="P199" s="229">
        <v>2.2000000000000001E-3</v>
      </c>
      <c r="Q199" s="231">
        <v>2553.3000000000002</v>
      </c>
      <c r="R199" s="231">
        <v>2546.4</v>
      </c>
      <c r="S199" s="228">
        <v>6.9</v>
      </c>
      <c r="T199" s="229">
        <v>2.7000000000000001E-3</v>
      </c>
      <c r="U199" s="231">
        <v>2553.6</v>
      </c>
      <c r="V199" s="231">
        <v>2547.8000000000002</v>
      </c>
      <c r="W199" s="228">
        <v>5.8</v>
      </c>
      <c r="X199" s="229">
        <v>2.3E-3</v>
      </c>
      <c r="Y199" s="228">
        <v>-20.3</v>
      </c>
      <c r="Z199" s="228">
        <v>-21.3</v>
      </c>
      <c r="AA199" s="228">
        <v>1</v>
      </c>
      <c r="AB199" s="229">
        <v>-7.9000000000000008E-3</v>
      </c>
      <c r="AC199" s="228">
        <v>-20.3</v>
      </c>
      <c r="AD199" s="228">
        <v>-21.3</v>
      </c>
      <c r="AE199" s="228">
        <v>1</v>
      </c>
      <c r="AF199" s="229">
        <v>-7.9000000000000008E-3</v>
      </c>
      <c r="AG199" s="228">
        <v>-28.2</v>
      </c>
      <c r="AH199" s="228">
        <v>-30.5</v>
      </c>
      <c r="AI199" s="228">
        <v>2.2999999999999998</v>
      </c>
      <c r="AJ199" s="229">
        <v>-1.09E-2</v>
      </c>
      <c r="AK199" s="228">
        <v>-27.9</v>
      </c>
      <c r="AL199" s="228">
        <v>-29.1</v>
      </c>
      <c r="AM199" s="228">
        <v>1.2</v>
      </c>
      <c r="AN199" s="229">
        <v>-1.0800000000000001E-2</v>
      </c>
      <c r="AO199" s="231">
        <v>2561.27</v>
      </c>
      <c r="AP199" s="231">
        <v>2551.73</v>
      </c>
      <c r="AQ199" s="228">
        <v>0</v>
      </c>
      <c r="AR199" s="230">
        <v>2889075</v>
      </c>
      <c r="AS199" s="230">
        <v>4617375</v>
      </c>
      <c r="AT199" s="230">
        <v>-1728300</v>
      </c>
      <c r="AU199" s="229">
        <v>-0.37430000000000002</v>
      </c>
      <c r="AV199" s="230">
        <v>2305450</v>
      </c>
      <c r="AW199" s="230">
        <v>3757950</v>
      </c>
      <c r="AX199" s="230">
        <v>-1452500</v>
      </c>
      <c r="AY199" s="229">
        <v>-0.38650000000000001</v>
      </c>
      <c r="AZ199" s="230">
        <v>449575</v>
      </c>
      <c r="BA199" s="230">
        <v>618625</v>
      </c>
      <c r="BB199" s="230">
        <v>-169050</v>
      </c>
      <c r="BC199" s="229">
        <v>-0.27329999999999999</v>
      </c>
      <c r="BD199" s="230">
        <v>134050</v>
      </c>
      <c r="BE199" s="230">
        <v>240800</v>
      </c>
      <c r="BF199" s="230">
        <v>-106750</v>
      </c>
      <c r="BG199" s="229">
        <v>-0.44330000000000003</v>
      </c>
      <c r="BH199" s="230">
        <v>16866500</v>
      </c>
      <c r="BI199" s="230">
        <v>24906700</v>
      </c>
      <c r="BJ199" s="230">
        <v>-8040200</v>
      </c>
      <c r="BK199" s="229">
        <v>-0.32279999999999998</v>
      </c>
      <c r="BL199" s="230">
        <v>9833250</v>
      </c>
      <c r="BM199" s="230">
        <v>13707750</v>
      </c>
      <c r="BN199" s="230">
        <v>-3874500</v>
      </c>
      <c r="BO199" s="229">
        <v>-0.28270000000000001</v>
      </c>
      <c r="BP199" s="230">
        <v>29588825</v>
      </c>
      <c r="BQ199" s="230">
        <v>43231825</v>
      </c>
      <c r="BR199" s="230">
        <v>-13643000</v>
      </c>
      <c r="BS199" s="229">
        <v>-0.31559999999999999</v>
      </c>
      <c r="BT199" s="230">
        <v>2872327</v>
      </c>
      <c r="BU199" s="230">
        <v>4405804</v>
      </c>
      <c r="BV199" s="230">
        <v>-1533477</v>
      </c>
      <c r="BW199" s="229">
        <v>-0.34810000000000002</v>
      </c>
      <c r="BX199" s="230">
        <v>35561225</v>
      </c>
      <c r="BY199" s="230">
        <v>35465850</v>
      </c>
      <c r="BZ199" s="230">
        <v>95375</v>
      </c>
      <c r="CA199" s="229">
        <v>2.7000000000000001E-3</v>
      </c>
      <c r="CB199" s="230">
        <v>32095700</v>
      </c>
      <c r="CC199" s="230">
        <v>32124050</v>
      </c>
      <c r="CD199" s="230">
        <v>-28350</v>
      </c>
      <c r="CE199" s="229">
        <v>-8.9999999999999998E-4</v>
      </c>
      <c r="CF199" s="230">
        <v>2845500</v>
      </c>
      <c r="CG199" s="230">
        <v>2760275</v>
      </c>
      <c r="CH199" s="230">
        <v>85225</v>
      </c>
      <c r="CI199" s="229">
        <v>3.09E-2</v>
      </c>
      <c r="CJ199" s="230">
        <v>620025</v>
      </c>
      <c r="CK199" s="230">
        <v>581525</v>
      </c>
      <c r="CL199" s="230">
        <v>38500</v>
      </c>
      <c r="CM199" s="229">
        <v>6.6199999999999995E-2</v>
      </c>
      <c r="CN199" s="230">
        <v>18088175</v>
      </c>
      <c r="CO199" s="230">
        <v>18980850</v>
      </c>
      <c r="CP199" s="230">
        <v>-892675</v>
      </c>
      <c r="CQ199" s="229">
        <v>-4.7E-2</v>
      </c>
      <c r="CR199" s="230">
        <v>11833675</v>
      </c>
      <c r="CS199" s="230">
        <v>11572750</v>
      </c>
      <c r="CT199" s="230">
        <v>260925</v>
      </c>
      <c r="CU199" s="229">
        <v>2.2499999999999999E-2</v>
      </c>
      <c r="CV199" s="230">
        <v>65483075</v>
      </c>
      <c r="CW199" s="230">
        <v>66019450</v>
      </c>
      <c r="CX199" s="230">
        <v>-536375</v>
      </c>
      <c r="CY199" s="229">
        <v>-8.0999999999999996E-3</v>
      </c>
      <c r="CZ199" s="228">
        <v>25.09</v>
      </c>
      <c r="DA199" s="228">
        <v>25.67</v>
      </c>
      <c r="DB199" s="228">
        <v>-0.57999999999999996</v>
      </c>
      <c r="DC199" s="228">
        <v>-0.57999999999999996</v>
      </c>
      <c r="DD199" s="228">
        <v>27.32</v>
      </c>
      <c r="DE199" s="228">
        <v>27.38</v>
      </c>
      <c r="DF199" s="228">
        <v>-2.23</v>
      </c>
      <c r="DG199" s="228">
        <v>-0.06</v>
      </c>
      <c r="DH199" s="228">
        <v>24.62</v>
      </c>
      <c r="DI199" s="228">
        <v>25.15</v>
      </c>
      <c r="DJ199" s="228">
        <v>-0.53</v>
      </c>
      <c r="DK199" s="228">
        <v>-0.53</v>
      </c>
      <c r="DL199" s="228">
        <v>25.89</v>
      </c>
      <c r="DM199" s="228">
        <v>26.62</v>
      </c>
      <c r="DN199" s="228">
        <v>-0.73</v>
      </c>
      <c r="DO199" s="228">
        <v>-0.73</v>
      </c>
      <c r="DP199" s="228">
        <v>0.65</v>
      </c>
      <c r="DQ199" s="228">
        <v>0.61</v>
      </c>
      <c r="DR199" s="228">
        <v>0.04</v>
      </c>
      <c r="DS199" s="229">
        <v>6.5600000000000006E-2</v>
      </c>
      <c r="DT199" s="231">
        <v>2600</v>
      </c>
      <c r="DU199" s="231">
        <v>2400</v>
      </c>
      <c r="DV199" s="228">
        <v>0.57999999999999996</v>
      </c>
      <c r="DW199" s="228">
        <v>0.55000000000000004</v>
      </c>
      <c r="DX199" s="228">
        <v>0.03</v>
      </c>
      <c r="DY199" s="229">
        <v>5.45E-2</v>
      </c>
      <c r="DZ199" s="229">
        <v>9.7500000000000003E-2</v>
      </c>
      <c r="EA199" s="230">
        <v>3341800</v>
      </c>
      <c r="EB199" s="229">
        <v>-3.0999999999999999E-3</v>
      </c>
      <c r="EC199" s="229">
        <v>9.7500000000000003E-2</v>
      </c>
      <c r="ED199" s="228">
        <v>-9.5399999999999991</v>
      </c>
      <c r="EE199" s="229">
        <v>-3.7000000000000002E-3</v>
      </c>
      <c r="EF199" s="230">
        <v>1761926</v>
      </c>
      <c r="EG199" s="230">
        <v>1646165</v>
      </c>
      <c r="EH199" s="229">
        <v>7.0300000000000001E-2</v>
      </c>
      <c r="EI199" s="229">
        <v>0.61339999999999995</v>
      </c>
      <c r="EJ199" s="231">
        <v>450470.46</v>
      </c>
      <c r="EK199" s="231">
        <v>247433.38</v>
      </c>
      <c r="EL199" s="231">
        <v>73942.320000000007</v>
      </c>
      <c r="EM199" s="231">
        <v>36897</v>
      </c>
      <c r="EN199" s="231">
        <v>771846.16</v>
      </c>
      <c r="EO199" s="231">
        <v>1124570.9099999999</v>
      </c>
      <c r="EP199" s="231">
        <v>-352724.75</v>
      </c>
      <c r="EQ199" s="229">
        <v>-0.31369999999999998</v>
      </c>
      <c r="ER199" s="231">
        <v>480197</v>
      </c>
      <c r="ES199" s="231">
        <v>297050</v>
      </c>
      <c r="ET199" s="231">
        <v>910522</v>
      </c>
      <c r="EU199" s="231">
        <v>153229333</v>
      </c>
      <c r="EV199" s="231">
        <v>1687769</v>
      </c>
      <c r="EW199" s="231">
        <v>1700555</v>
      </c>
      <c r="EX199" s="231">
        <v>-12786</v>
      </c>
      <c r="EY199" s="229">
        <v>-7.4999999999999997E-3</v>
      </c>
      <c r="EZ199" s="229">
        <v>0.4274</v>
      </c>
      <c r="FA199" s="227" t="s">
        <v>555</v>
      </c>
      <c r="FB199" s="161">
        <f t="shared" si="5"/>
        <v>0</v>
      </c>
    </row>
    <row r="200" spans="1:158" ht="17.25" thickBot="1" x14ac:dyDescent="0.3">
      <c r="A200" s="226">
        <v>46129</v>
      </c>
      <c r="B200" s="227" t="s">
        <v>221</v>
      </c>
      <c r="C200" s="227" t="s">
        <v>296</v>
      </c>
      <c r="D200" s="228">
        <v>600</v>
      </c>
      <c r="E200" s="231">
        <v>1503.1</v>
      </c>
      <c r="F200" s="231">
        <v>1485.2</v>
      </c>
      <c r="G200" s="228">
        <v>17.899999999999999</v>
      </c>
      <c r="H200" s="229">
        <v>1.21E-2</v>
      </c>
      <c r="I200" s="231">
        <v>1511.4</v>
      </c>
      <c r="J200" s="231">
        <v>1491</v>
      </c>
      <c r="K200" s="228">
        <v>20.399999999999999</v>
      </c>
      <c r="L200" s="229">
        <v>1.37E-2</v>
      </c>
      <c r="M200" s="231">
        <v>1503.1</v>
      </c>
      <c r="N200" s="231">
        <v>1485.2</v>
      </c>
      <c r="O200" s="228">
        <v>17.899999999999999</v>
      </c>
      <c r="P200" s="229">
        <v>1.21E-2</v>
      </c>
      <c r="Q200" s="231">
        <v>1497</v>
      </c>
      <c r="R200" s="231">
        <v>1479.3</v>
      </c>
      <c r="S200" s="228">
        <v>17.7</v>
      </c>
      <c r="T200" s="229">
        <v>1.2E-2</v>
      </c>
      <c r="U200" s="231">
        <v>1498.6</v>
      </c>
      <c r="V200" s="231">
        <v>1482.1</v>
      </c>
      <c r="W200" s="228">
        <v>16.5</v>
      </c>
      <c r="X200" s="229">
        <v>1.11E-2</v>
      </c>
      <c r="Y200" s="228">
        <v>-8.3000000000000007</v>
      </c>
      <c r="Z200" s="228">
        <v>-5.8</v>
      </c>
      <c r="AA200" s="228">
        <v>-2.5</v>
      </c>
      <c r="AB200" s="229">
        <v>-5.4999999999999997E-3</v>
      </c>
      <c r="AC200" s="228">
        <v>-8.3000000000000007</v>
      </c>
      <c r="AD200" s="228">
        <v>-5.8</v>
      </c>
      <c r="AE200" s="228">
        <v>-2.5</v>
      </c>
      <c r="AF200" s="229">
        <v>-5.4999999999999997E-3</v>
      </c>
      <c r="AG200" s="228">
        <v>-14.4</v>
      </c>
      <c r="AH200" s="228">
        <v>-11.7</v>
      </c>
      <c r="AI200" s="228">
        <v>-2.7</v>
      </c>
      <c r="AJ200" s="229">
        <v>-9.4999999999999998E-3</v>
      </c>
      <c r="AK200" s="228">
        <v>-12.8</v>
      </c>
      <c r="AL200" s="228">
        <v>-8.9</v>
      </c>
      <c r="AM200" s="228">
        <v>-3.9</v>
      </c>
      <c r="AN200" s="229">
        <v>-8.5000000000000006E-3</v>
      </c>
      <c r="AO200" s="231">
        <v>1501.69</v>
      </c>
      <c r="AP200" s="231">
        <v>1495.65</v>
      </c>
      <c r="AQ200" s="228">
        <v>0</v>
      </c>
      <c r="AR200" s="230">
        <v>2550000</v>
      </c>
      <c r="AS200" s="230">
        <v>2329800</v>
      </c>
      <c r="AT200" s="230">
        <v>220200</v>
      </c>
      <c r="AU200" s="229">
        <v>9.4500000000000001E-2</v>
      </c>
      <c r="AV200" s="230">
        <v>2167800</v>
      </c>
      <c r="AW200" s="230">
        <v>1978800</v>
      </c>
      <c r="AX200" s="230">
        <v>189000</v>
      </c>
      <c r="AY200" s="229">
        <v>9.5500000000000002E-2</v>
      </c>
      <c r="AZ200" s="230">
        <v>358800</v>
      </c>
      <c r="BA200" s="230">
        <v>307200</v>
      </c>
      <c r="BB200" s="230">
        <v>51600</v>
      </c>
      <c r="BC200" s="229">
        <v>0.16800000000000001</v>
      </c>
      <c r="BD200" s="230">
        <v>23400</v>
      </c>
      <c r="BE200" s="230">
        <v>43800</v>
      </c>
      <c r="BF200" s="230">
        <v>-20400</v>
      </c>
      <c r="BG200" s="229">
        <v>-0.46579999999999999</v>
      </c>
      <c r="BH200" s="230">
        <v>11515200</v>
      </c>
      <c r="BI200" s="230">
        <v>6520800</v>
      </c>
      <c r="BJ200" s="230">
        <v>4994400</v>
      </c>
      <c r="BK200" s="229">
        <v>0.76590000000000003</v>
      </c>
      <c r="BL200" s="230">
        <v>5315400</v>
      </c>
      <c r="BM200" s="230">
        <v>3648000</v>
      </c>
      <c r="BN200" s="230">
        <v>1667400</v>
      </c>
      <c r="BO200" s="229">
        <v>0.45710000000000001</v>
      </c>
      <c r="BP200" s="230">
        <v>19380600</v>
      </c>
      <c r="BQ200" s="230">
        <v>12498600</v>
      </c>
      <c r="BR200" s="230">
        <v>6882000</v>
      </c>
      <c r="BS200" s="229">
        <v>0.55059999999999998</v>
      </c>
      <c r="BT200" s="230">
        <v>1891487</v>
      </c>
      <c r="BU200" s="230">
        <v>1838542</v>
      </c>
      <c r="BV200" s="230">
        <v>52945</v>
      </c>
      <c r="BW200" s="229">
        <v>2.8799999999999999E-2</v>
      </c>
      <c r="BX200" s="230">
        <v>18625200</v>
      </c>
      <c r="BY200" s="230">
        <v>18565800</v>
      </c>
      <c r="BZ200" s="230">
        <v>59400</v>
      </c>
      <c r="CA200" s="229">
        <v>3.2000000000000002E-3</v>
      </c>
      <c r="CB200" s="230">
        <v>17795400</v>
      </c>
      <c r="CC200" s="230">
        <v>17858400</v>
      </c>
      <c r="CD200" s="230">
        <v>-63000</v>
      </c>
      <c r="CE200" s="229">
        <v>-3.5000000000000001E-3</v>
      </c>
      <c r="CF200" s="230">
        <v>733200</v>
      </c>
      <c r="CG200" s="230">
        <v>600600</v>
      </c>
      <c r="CH200" s="230">
        <v>132600</v>
      </c>
      <c r="CI200" s="229">
        <v>0.2208</v>
      </c>
      <c r="CJ200" s="230">
        <v>96600</v>
      </c>
      <c r="CK200" s="230">
        <v>106800</v>
      </c>
      <c r="CL200" s="230">
        <v>-10200</v>
      </c>
      <c r="CM200" s="229">
        <v>-9.5500000000000002E-2</v>
      </c>
      <c r="CN200" s="230">
        <v>4977000</v>
      </c>
      <c r="CO200" s="230">
        <v>4716600</v>
      </c>
      <c r="CP200" s="230">
        <v>260400</v>
      </c>
      <c r="CQ200" s="229">
        <v>5.5199999999999999E-2</v>
      </c>
      <c r="CR200" s="230">
        <v>4185600</v>
      </c>
      <c r="CS200" s="230">
        <v>4346400</v>
      </c>
      <c r="CT200" s="230">
        <v>-160800</v>
      </c>
      <c r="CU200" s="229">
        <v>-3.6999999999999998E-2</v>
      </c>
      <c r="CV200" s="230">
        <v>27787800</v>
      </c>
      <c r="CW200" s="230">
        <v>27628800</v>
      </c>
      <c r="CX200" s="230">
        <v>159000</v>
      </c>
      <c r="CY200" s="229">
        <v>5.7999999999999996E-3</v>
      </c>
      <c r="CZ200" s="228">
        <v>34.130000000000003</v>
      </c>
      <c r="DA200" s="228">
        <v>34</v>
      </c>
      <c r="DB200" s="228">
        <v>0.13</v>
      </c>
      <c r="DC200" s="228">
        <v>0.13</v>
      </c>
      <c r="DD200" s="228">
        <v>31.3</v>
      </c>
      <c r="DE200" s="228">
        <v>31.32</v>
      </c>
      <c r="DF200" s="228">
        <v>2.83</v>
      </c>
      <c r="DG200" s="228">
        <v>-0.02</v>
      </c>
      <c r="DH200" s="228">
        <v>33.24</v>
      </c>
      <c r="DI200" s="228">
        <v>33.36</v>
      </c>
      <c r="DJ200" s="228">
        <v>-0.12</v>
      </c>
      <c r="DK200" s="228">
        <v>-0.12</v>
      </c>
      <c r="DL200" s="228">
        <v>36.06</v>
      </c>
      <c r="DM200" s="228">
        <v>35.159999999999997</v>
      </c>
      <c r="DN200" s="228">
        <v>0.9</v>
      </c>
      <c r="DO200" s="228">
        <v>0.9</v>
      </c>
      <c r="DP200" s="228">
        <v>0.84</v>
      </c>
      <c r="DQ200" s="228">
        <v>0.92</v>
      </c>
      <c r="DR200" s="228">
        <v>-0.08</v>
      </c>
      <c r="DS200" s="229">
        <v>-8.6999999999999994E-2</v>
      </c>
      <c r="DT200" s="231">
        <v>1500</v>
      </c>
      <c r="DU200" s="231">
        <v>1320</v>
      </c>
      <c r="DV200" s="228">
        <v>0.46</v>
      </c>
      <c r="DW200" s="228">
        <v>0.56000000000000005</v>
      </c>
      <c r="DX200" s="228">
        <v>-0.1</v>
      </c>
      <c r="DY200" s="229">
        <v>-0.17860000000000001</v>
      </c>
      <c r="DZ200" s="229">
        <v>4.4600000000000001E-2</v>
      </c>
      <c r="EA200" s="230">
        <v>707400</v>
      </c>
      <c r="EB200" s="229">
        <v>-4.1000000000000003E-3</v>
      </c>
      <c r="EC200" s="229">
        <v>4.4600000000000001E-2</v>
      </c>
      <c r="ED200" s="228">
        <v>-6.04</v>
      </c>
      <c r="EE200" s="229">
        <v>-4.0000000000000001E-3</v>
      </c>
      <c r="EF200" s="230">
        <v>959857</v>
      </c>
      <c r="EG200" s="230">
        <v>860183</v>
      </c>
      <c r="EH200" s="229">
        <v>0.1159</v>
      </c>
      <c r="EI200" s="229">
        <v>0.50749999999999995</v>
      </c>
      <c r="EJ200" s="231">
        <v>179821.5</v>
      </c>
      <c r="EK200" s="231">
        <v>78355.759999999995</v>
      </c>
      <c r="EL200" s="231">
        <v>38270.28</v>
      </c>
      <c r="EM200" s="231">
        <v>3626</v>
      </c>
      <c r="EN200" s="231">
        <v>296447.53999999998</v>
      </c>
      <c r="EO200" s="231">
        <v>189642.1</v>
      </c>
      <c r="EP200" s="231">
        <v>106805.44</v>
      </c>
      <c r="EQ200" s="229">
        <v>0.56320000000000003</v>
      </c>
      <c r="ER200" s="231">
        <v>74977</v>
      </c>
      <c r="ES200" s="231">
        <v>58902</v>
      </c>
      <c r="ET200" s="231">
        <v>279906</v>
      </c>
      <c r="EU200" s="231">
        <v>95553300</v>
      </c>
      <c r="EV200" s="231">
        <v>413785</v>
      </c>
      <c r="EW200" s="231">
        <v>406999</v>
      </c>
      <c r="EX200" s="231">
        <v>6786</v>
      </c>
      <c r="EY200" s="229">
        <v>1.67E-2</v>
      </c>
      <c r="EZ200" s="229">
        <v>0.2908</v>
      </c>
      <c r="FA200" s="227" t="s">
        <v>555</v>
      </c>
      <c r="FB200" s="161">
        <f t="shared" si="5"/>
        <v>0</v>
      </c>
    </row>
    <row r="201" spans="1:158" ht="17.25" thickBot="1" x14ac:dyDescent="0.3">
      <c r="A201" s="226">
        <v>46129</v>
      </c>
      <c r="B201" s="227" t="s">
        <v>184</v>
      </c>
      <c r="C201" s="227" t="s">
        <v>594</v>
      </c>
      <c r="D201" s="228">
        <v>200</v>
      </c>
      <c r="E201" s="231">
        <v>2798.1</v>
      </c>
      <c r="F201" s="231">
        <v>2763.7</v>
      </c>
      <c r="G201" s="228">
        <v>34.4</v>
      </c>
      <c r="H201" s="229">
        <v>1.24E-2</v>
      </c>
      <c r="I201" s="231">
        <v>2790.2</v>
      </c>
      <c r="J201" s="231">
        <v>2752.9</v>
      </c>
      <c r="K201" s="228">
        <v>37.299999999999997</v>
      </c>
      <c r="L201" s="229">
        <v>1.35E-2</v>
      </c>
      <c r="M201" s="231">
        <v>2798.1</v>
      </c>
      <c r="N201" s="231">
        <v>2763.7</v>
      </c>
      <c r="O201" s="228">
        <v>34.4</v>
      </c>
      <c r="P201" s="229">
        <v>1.24E-2</v>
      </c>
      <c r="Q201" s="231">
        <v>2812.1</v>
      </c>
      <c r="R201" s="231">
        <v>2773.1</v>
      </c>
      <c r="S201" s="228">
        <v>39</v>
      </c>
      <c r="T201" s="229">
        <v>1.41E-2</v>
      </c>
      <c r="U201" s="231">
        <v>2820</v>
      </c>
      <c r="V201" s="231">
        <v>2806.6</v>
      </c>
      <c r="W201" s="228">
        <v>13.4</v>
      </c>
      <c r="X201" s="229">
        <v>4.7999999999999996E-3</v>
      </c>
      <c r="Y201" s="228">
        <v>7.9</v>
      </c>
      <c r="Z201" s="228">
        <v>10.8</v>
      </c>
      <c r="AA201" s="228">
        <v>-2.9</v>
      </c>
      <c r="AB201" s="229">
        <v>2.8E-3</v>
      </c>
      <c r="AC201" s="228">
        <v>7.9</v>
      </c>
      <c r="AD201" s="228">
        <v>10.8</v>
      </c>
      <c r="AE201" s="228">
        <v>-2.9</v>
      </c>
      <c r="AF201" s="229">
        <v>2.8E-3</v>
      </c>
      <c r="AG201" s="228">
        <v>21.9</v>
      </c>
      <c r="AH201" s="228">
        <v>20.2</v>
      </c>
      <c r="AI201" s="228">
        <v>1.7</v>
      </c>
      <c r="AJ201" s="229">
        <v>7.7999999999999996E-3</v>
      </c>
      <c r="AK201" s="228">
        <v>29.8</v>
      </c>
      <c r="AL201" s="228">
        <v>53.7</v>
      </c>
      <c r="AM201" s="228">
        <v>-23.9</v>
      </c>
      <c r="AN201" s="229">
        <v>1.0699999999999999E-2</v>
      </c>
      <c r="AO201" s="231">
        <v>2787.51</v>
      </c>
      <c r="AP201" s="231">
        <v>2800.78</v>
      </c>
      <c r="AQ201" s="228">
        <v>0</v>
      </c>
      <c r="AR201" s="230">
        <v>283600</v>
      </c>
      <c r="AS201" s="230">
        <v>318400</v>
      </c>
      <c r="AT201" s="230">
        <v>-34800</v>
      </c>
      <c r="AU201" s="229">
        <v>-0.10929999999999999</v>
      </c>
      <c r="AV201" s="230">
        <v>265800</v>
      </c>
      <c r="AW201" s="230">
        <v>300600</v>
      </c>
      <c r="AX201" s="230">
        <v>-34800</v>
      </c>
      <c r="AY201" s="229">
        <v>-0.1158</v>
      </c>
      <c r="AZ201" s="230">
        <v>16600</v>
      </c>
      <c r="BA201" s="230">
        <v>17600</v>
      </c>
      <c r="BB201" s="230">
        <v>-1000</v>
      </c>
      <c r="BC201" s="229">
        <v>-5.6800000000000003E-2</v>
      </c>
      <c r="BD201" s="230">
        <v>1200</v>
      </c>
      <c r="BE201" s="228">
        <v>200</v>
      </c>
      <c r="BF201" s="230">
        <v>1000</v>
      </c>
      <c r="BG201" s="229">
        <v>5</v>
      </c>
      <c r="BH201" s="230">
        <v>993800</v>
      </c>
      <c r="BI201" s="230">
        <v>555000</v>
      </c>
      <c r="BJ201" s="230">
        <v>438800</v>
      </c>
      <c r="BK201" s="229">
        <v>0.79059999999999997</v>
      </c>
      <c r="BL201" s="230">
        <v>137600</v>
      </c>
      <c r="BM201" s="230">
        <v>120600</v>
      </c>
      <c r="BN201" s="230">
        <v>17000</v>
      </c>
      <c r="BO201" s="229">
        <v>0.14099999999999999</v>
      </c>
      <c r="BP201" s="230">
        <v>1415000</v>
      </c>
      <c r="BQ201" s="230">
        <v>994000</v>
      </c>
      <c r="BR201" s="230">
        <v>421000</v>
      </c>
      <c r="BS201" s="229">
        <v>0.42349999999999999</v>
      </c>
      <c r="BT201" s="230">
        <v>280557</v>
      </c>
      <c r="BU201" s="230">
        <v>327326</v>
      </c>
      <c r="BV201" s="230">
        <v>-46769</v>
      </c>
      <c r="BW201" s="229">
        <v>-0.1429</v>
      </c>
      <c r="BX201" s="230">
        <v>2653600</v>
      </c>
      <c r="BY201" s="230">
        <v>2604200</v>
      </c>
      <c r="BZ201" s="230">
        <v>49400</v>
      </c>
      <c r="CA201" s="229">
        <v>1.9E-2</v>
      </c>
      <c r="CB201" s="230">
        <v>2614000</v>
      </c>
      <c r="CC201" s="230">
        <v>2569000</v>
      </c>
      <c r="CD201" s="230">
        <v>45000</v>
      </c>
      <c r="CE201" s="229">
        <v>1.7500000000000002E-2</v>
      </c>
      <c r="CF201" s="230">
        <v>34800</v>
      </c>
      <c r="CG201" s="230">
        <v>31000</v>
      </c>
      <c r="CH201" s="230">
        <v>3800</v>
      </c>
      <c r="CI201" s="229">
        <v>0.1226</v>
      </c>
      <c r="CJ201" s="230">
        <v>4800</v>
      </c>
      <c r="CK201" s="230">
        <v>4200</v>
      </c>
      <c r="CL201" s="228">
        <v>600</v>
      </c>
      <c r="CM201" s="229">
        <v>0.1429</v>
      </c>
      <c r="CN201" s="230">
        <v>552600</v>
      </c>
      <c r="CO201" s="230">
        <v>475200</v>
      </c>
      <c r="CP201" s="230">
        <v>77400</v>
      </c>
      <c r="CQ201" s="229">
        <v>0.16289999999999999</v>
      </c>
      <c r="CR201" s="230">
        <v>240600</v>
      </c>
      <c r="CS201" s="230">
        <v>242800</v>
      </c>
      <c r="CT201" s="230">
        <v>-2200</v>
      </c>
      <c r="CU201" s="229">
        <v>-9.1000000000000004E-3</v>
      </c>
      <c r="CV201" s="230">
        <v>3446800</v>
      </c>
      <c r="CW201" s="230">
        <v>3322200</v>
      </c>
      <c r="CX201" s="230">
        <v>124600</v>
      </c>
      <c r="CY201" s="229">
        <v>3.7499999999999999E-2</v>
      </c>
      <c r="CZ201" s="228">
        <v>33.369999999999997</v>
      </c>
      <c r="DA201" s="228">
        <v>34.14</v>
      </c>
      <c r="DB201" s="228">
        <v>-0.77</v>
      </c>
      <c r="DC201" s="228">
        <v>-0.77</v>
      </c>
      <c r="DD201" s="228">
        <v>44.09</v>
      </c>
      <c r="DE201" s="228">
        <v>44.16</v>
      </c>
      <c r="DF201" s="228">
        <v>-10.72</v>
      </c>
      <c r="DG201" s="228">
        <v>-7.0000000000000007E-2</v>
      </c>
      <c r="DH201" s="228">
        <v>32.65</v>
      </c>
      <c r="DI201" s="228">
        <v>32.880000000000003</v>
      </c>
      <c r="DJ201" s="228">
        <v>-0.23</v>
      </c>
      <c r="DK201" s="228">
        <v>-0.23</v>
      </c>
      <c r="DL201" s="228">
        <v>38.6</v>
      </c>
      <c r="DM201" s="228">
        <v>39.96</v>
      </c>
      <c r="DN201" s="228">
        <v>-1.36</v>
      </c>
      <c r="DO201" s="228">
        <v>-1.36</v>
      </c>
      <c r="DP201" s="228">
        <v>0.44</v>
      </c>
      <c r="DQ201" s="228">
        <v>0.51</v>
      </c>
      <c r="DR201" s="228">
        <v>-7.0000000000000007E-2</v>
      </c>
      <c r="DS201" s="229">
        <v>-0.13730000000000001</v>
      </c>
      <c r="DT201" s="231">
        <v>3000</v>
      </c>
      <c r="DU201" s="231">
        <v>2500</v>
      </c>
      <c r="DV201" s="228">
        <v>0.14000000000000001</v>
      </c>
      <c r="DW201" s="228">
        <v>0.22</v>
      </c>
      <c r="DX201" s="228">
        <v>-0.08</v>
      </c>
      <c r="DY201" s="229">
        <v>-0.36359999999999998</v>
      </c>
      <c r="DZ201" s="229">
        <v>1.49E-2</v>
      </c>
      <c r="EA201" s="230">
        <v>35200</v>
      </c>
      <c r="EB201" s="229">
        <v>5.0000000000000001E-3</v>
      </c>
      <c r="EC201" s="229">
        <v>1.49E-2</v>
      </c>
      <c r="ED201" s="228">
        <v>13.27</v>
      </c>
      <c r="EE201" s="229">
        <v>4.7999999999999996E-3</v>
      </c>
      <c r="EF201" s="230">
        <v>150360</v>
      </c>
      <c r="EG201" s="230">
        <v>156309</v>
      </c>
      <c r="EH201" s="229">
        <v>-3.8100000000000002E-2</v>
      </c>
      <c r="EI201" s="229">
        <v>0.53590000000000004</v>
      </c>
      <c r="EJ201" s="231">
        <v>28971.53</v>
      </c>
      <c r="EK201" s="231">
        <v>3745.35</v>
      </c>
      <c r="EL201" s="231">
        <v>7907.86</v>
      </c>
      <c r="EM201" s="231">
        <v>1230</v>
      </c>
      <c r="EN201" s="231">
        <v>40624.74</v>
      </c>
      <c r="EO201" s="231">
        <v>28312.86</v>
      </c>
      <c r="EP201" s="231">
        <v>12311.88</v>
      </c>
      <c r="EQ201" s="229">
        <v>0.43490000000000001</v>
      </c>
      <c r="ER201" s="231">
        <v>15656</v>
      </c>
      <c r="ES201" s="231">
        <v>6221</v>
      </c>
      <c r="ET201" s="231">
        <v>74256</v>
      </c>
      <c r="EU201" s="231">
        <v>16239060</v>
      </c>
      <c r="EV201" s="231">
        <v>96134</v>
      </c>
      <c r="EW201" s="231">
        <v>91676</v>
      </c>
      <c r="EX201" s="231">
        <v>4458</v>
      </c>
      <c r="EY201" s="229">
        <v>4.8599999999999997E-2</v>
      </c>
      <c r="EZ201" s="229">
        <v>0.21229999999999999</v>
      </c>
      <c r="FA201" s="227" t="s">
        <v>555</v>
      </c>
      <c r="FB201" s="161">
        <f t="shared" si="5"/>
        <v>0</v>
      </c>
    </row>
    <row r="202" spans="1:158" ht="17.25" thickBot="1" x14ac:dyDescent="0.3">
      <c r="A202" s="226">
        <v>46129</v>
      </c>
      <c r="B202" s="227" t="s">
        <v>168</v>
      </c>
      <c r="C202" s="227" t="s">
        <v>297</v>
      </c>
      <c r="D202" s="228">
        <v>175</v>
      </c>
      <c r="E202" s="231">
        <v>4525</v>
      </c>
      <c r="F202" s="231">
        <v>4475.8</v>
      </c>
      <c r="G202" s="228">
        <v>49.2</v>
      </c>
      <c r="H202" s="229">
        <v>1.0999999999999999E-2</v>
      </c>
      <c r="I202" s="231">
        <v>4525.8999999999996</v>
      </c>
      <c r="J202" s="231">
        <v>4461.3999999999996</v>
      </c>
      <c r="K202" s="228">
        <v>64.5</v>
      </c>
      <c r="L202" s="229">
        <v>1.4500000000000001E-2</v>
      </c>
      <c r="M202" s="231">
        <v>4525</v>
      </c>
      <c r="N202" s="231">
        <v>4475.8</v>
      </c>
      <c r="O202" s="228">
        <v>49.2</v>
      </c>
      <c r="P202" s="229">
        <v>1.0999999999999999E-2</v>
      </c>
      <c r="Q202" s="231">
        <v>4548.3999999999996</v>
      </c>
      <c r="R202" s="231">
        <v>4499.6000000000004</v>
      </c>
      <c r="S202" s="228">
        <v>48.8</v>
      </c>
      <c r="T202" s="229">
        <v>1.0800000000000001E-2</v>
      </c>
      <c r="U202" s="231">
        <v>4572.3</v>
      </c>
      <c r="V202" s="231">
        <v>4527.3</v>
      </c>
      <c r="W202" s="228">
        <v>45</v>
      </c>
      <c r="X202" s="229">
        <v>9.9000000000000008E-3</v>
      </c>
      <c r="Y202" s="228">
        <v>-0.9</v>
      </c>
      <c r="Z202" s="228">
        <v>14.4</v>
      </c>
      <c r="AA202" s="228">
        <v>-15.3</v>
      </c>
      <c r="AB202" s="229">
        <v>-2.0000000000000001E-4</v>
      </c>
      <c r="AC202" s="228">
        <v>-0.9</v>
      </c>
      <c r="AD202" s="228">
        <v>14.4</v>
      </c>
      <c r="AE202" s="228">
        <v>-15.3</v>
      </c>
      <c r="AF202" s="229">
        <v>-2.0000000000000001E-4</v>
      </c>
      <c r="AG202" s="228">
        <v>22.5</v>
      </c>
      <c r="AH202" s="228">
        <v>38.200000000000003</v>
      </c>
      <c r="AI202" s="228">
        <v>-15.7</v>
      </c>
      <c r="AJ202" s="229">
        <v>5.0000000000000001E-3</v>
      </c>
      <c r="AK202" s="228">
        <v>46.4</v>
      </c>
      <c r="AL202" s="228">
        <v>65.900000000000006</v>
      </c>
      <c r="AM202" s="228">
        <v>-19.5</v>
      </c>
      <c r="AN202" s="229">
        <v>1.03E-2</v>
      </c>
      <c r="AO202" s="231">
        <v>4452.79</v>
      </c>
      <c r="AP202" s="231">
        <v>4483.03</v>
      </c>
      <c r="AQ202" s="228">
        <v>0</v>
      </c>
      <c r="AR202" s="230">
        <v>3196375</v>
      </c>
      <c r="AS202" s="230">
        <v>1708350</v>
      </c>
      <c r="AT202" s="230">
        <v>1488025</v>
      </c>
      <c r="AU202" s="229">
        <v>0.871</v>
      </c>
      <c r="AV202" s="230">
        <v>2883475</v>
      </c>
      <c r="AW202" s="230">
        <v>1234800</v>
      </c>
      <c r="AX202" s="230">
        <v>1648675</v>
      </c>
      <c r="AY202" s="229">
        <v>1.3351999999999999</v>
      </c>
      <c r="AZ202" s="230">
        <v>283500</v>
      </c>
      <c r="BA202" s="230">
        <v>228025</v>
      </c>
      <c r="BB202" s="230">
        <v>55475</v>
      </c>
      <c r="BC202" s="229">
        <v>0.24329999999999999</v>
      </c>
      <c r="BD202" s="230">
        <v>29400</v>
      </c>
      <c r="BE202" s="230">
        <v>245525</v>
      </c>
      <c r="BF202" s="230">
        <v>-216125</v>
      </c>
      <c r="BG202" s="229">
        <v>-0.88029999999999997</v>
      </c>
      <c r="BH202" s="230">
        <v>13395375</v>
      </c>
      <c r="BI202" s="230">
        <v>3953600</v>
      </c>
      <c r="BJ202" s="230">
        <v>9441775</v>
      </c>
      <c r="BK202" s="229">
        <v>2.3881000000000001</v>
      </c>
      <c r="BL202" s="230">
        <v>12422725</v>
      </c>
      <c r="BM202" s="230">
        <v>2854950</v>
      </c>
      <c r="BN202" s="230">
        <v>9567775</v>
      </c>
      <c r="BO202" s="229">
        <v>3.3513000000000002</v>
      </c>
      <c r="BP202" s="230">
        <v>29014475</v>
      </c>
      <c r="BQ202" s="230">
        <v>8516900</v>
      </c>
      <c r="BR202" s="230">
        <v>20497575</v>
      </c>
      <c r="BS202" s="229">
        <v>2.4066999999999998</v>
      </c>
      <c r="BT202" s="230">
        <v>2179897</v>
      </c>
      <c r="BU202" s="230">
        <v>1362192</v>
      </c>
      <c r="BV202" s="230">
        <v>817705</v>
      </c>
      <c r="BW202" s="229">
        <v>0.60029999999999994</v>
      </c>
      <c r="BX202" s="230">
        <v>8976275</v>
      </c>
      <c r="BY202" s="230">
        <v>9278500</v>
      </c>
      <c r="BZ202" s="230">
        <v>-302225</v>
      </c>
      <c r="CA202" s="229">
        <v>-3.2599999999999997E-2</v>
      </c>
      <c r="CB202" s="230">
        <v>8044225</v>
      </c>
      <c r="CC202" s="230">
        <v>8434475</v>
      </c>
      <c r="CD202" s="230">
        <v>-390250</v>
      </c>
      <c r="CE202" s="229">
        <v>-4.6300000000000001E-2</v>
      </c>
      <c r="CF202" s="230">
        <v>647675</v>
      </c>
      <c r="CG202" s="230">
        <v>560700</v>
      </c>
      <c r="CH202" s="230">
        <v>86975</v>
      </c>
      <c r="CI202" s="229">
        <v>0.15509999999999999</v>
      </c>
      <c r="CJ202" s="230">
        <v>284375</v>
      </c>
      <c r="CK202" s="230">
        <v>283325</v>
      </c>
      <c r="CL202" s="230">
        <v>1050</v>
      </c>
      <c r="CM202" s="229">
        <v>3.7000000000000002E-3</v>
      </c>
      <c r="CN202" s="230">
        <v>3935925</v>
      </c>
      <c r="CO202" s="230">
        <v>4001900</v>
      </c>
      <c r="CP202" s="230">
        <v>-65975</v>
      </c>
      <c r="CQ202" s="229">
        <v>-1.6500000000000001E-2</v>
      </c>
      <c r="CR202" s="230">
        <v>3203025</v>
      </c>
      <c r="CS202" s="230">
        <v>2821000</v>
      </c>
      <c r="CT202" s="230">
        <v>382025</v>
      </c>
      <c r="CU202" s="229">
        <v>0.13539999999999999</v>
      </c>
      <c r="CV202" s="230">
        <v>16115225</v>
      </c>
      <c r="CW202" s="230">
        <v>16101400</v>
      </c>
      <c r="CX202" s="230">
        <v>13825</v>
      </c>
      <c r="CY202" s="229">
        <v>8.9999999999999998E-4</v>
      </c>
      <c r="CZ202" s="228">
        <v>26.91</v>
      </c>
      <c r="DA202" s="228">
        <v>26.28</v>
      </c>
      <c r="DB202" s="228">
        <v>0.63</v>
      </c>
      <c r="DC202" s="228">
        <v>0.63</v>
      </c>
      <c r="DD202" s="228">
        <v>27.97</v>
      </c>
      <c r="DE202" s="228">
        <v>27.97</v>
      </c>
      <c r="DF202" s="228">
        <v>-1.06</v>
      </c>
      <c r="DG202" s="228">
        <v>0</v>
      </c>
      <c r="DH202" s="228">
        <v>25.28</v>
      </c>
      <c r="DI202" s="228">
        <v>25.78</v>
      </c>
      <c r="DJ202" s="228">
        <v>-0.5</v>
      </c>
      <c r="DK202" s="228">
        <v>-0.5</v>
      </c>
      <c r="DL202" s="228">
        <v>28.65</v>
      </c>
      <c r="DM202" s="228">
        <v>26.97</v>
      </c>
      <c r="DN202" s="228">
        <v>1.68</v>
      </c>
      <c r="DO202" s="228">
        <v>1.68</v>
      </c>
      <c r="DP202" s="228">
        <v>0.81</v>
      </c>
      <c r="DQ202" s="228">
        <v>0.7</v>
      </c>
      <c r="DR202" s="228">
        <v>0.11</v>
      </c>
      <c r="DS202" s="229">
        <v>0.15709999999999999</v>
      </c>
      <c r="DT202" s="231">
        <v>4500</v>
      </c>
      <c r="DU202" s="231">
        <v>4200</v>
      </c>
      <c r="DV202" s="228">
        <v>0.93</v>
      </c>
      <c r="DW202" s="228">
        <v>0.72</v>
      </c>
      <c r="DX202" s="228">
        <v>0.21</v>
      </c>
      <c r="DY202" s="229">
        <v>0.29170000000000001</v>
      </c>
      <c r="DZ202" s="229">
        <v>0.1038</v>
      </c>
      <c r="EA202" s="230">
        <v>844025</v>
      </c>
      <c r="EB202" s="229">
        <v>5.1999999999999998E-3</v>
      </c>
      <c r="EC202" s="229">
        <v>0.1038</v>
      </c>
      <c r="ED202" s="228">
        <v>30.24</v>
      </c>
      <c r="EE202" s="229">
        <v>6.7999999999999996E-3</v>
      </c>
      <c r="EF202" s="230">
        <v>1016476</v>
      </c>
      <c r="EG202" s="230">
        <v>712686</v>
      </c>
      <c r="EH202" s="229">
        <v>0.42630000000000001</v>
      </c>
      <c r="EI202" s="229">
        <v>0.46629999999999999</v>
      </c>
      <c r="EJ202" s="231">
        <v>615068</v>
      </c>
      <c r="EK202" s="231">
        <v>543291.43999999994</v>
      </c>
      <c r="EL202" s="231">
        <v>142431.53</v>
      </c>
      <c r="EM202" s="231">
        <v>6359</v>
      </c>
      <c r="EN202" s="231">
        <v>1300790.97</v>
      </c>
      <c r="EO202" s="231">
        <v>387376.95</v>
      </c>
      <c r="EP202" s="231">
        <v>913414.02</v>
      </c>
      <c r="EQ202" s="229">
        <v>2.3578999999999999</v>
      </c>
      <c r="ER202" s="231">
        <v>174416</v>
      </c>
      <c r="ES202" s="231">
        <v>133817</v>
      </c>
      <c r="ET202" s="231">
        <v>406463</v>
      </c>
      <c r="EU202" s="231">
        <v>41744334</v>
      </c>
      <c r="EV202" s="231">
        <v>714695</v>
      </c>
      <c r="EW202" s="231">
        <v>710065</v>
      </c>
      <c r="EX202" s="231">
        <v>4630</v>
      </c>
      <c r="EY202" s="229">
        <v>6.4999999999999997E-3</v>
      </c>
      <c r="EZ202" s="229">
        <v>0.38600000000000001</v>
      </c>
      <c r="FA202" s="227" t="s">
        <v>693</v>
      </c>
      <c r="FB202" s="161">
        <f t="shared" si="5"/>
        <v>0</v>
      </c>
    </row>
    <row r="203" spans="1:158" ht="17.25" thickBot="1" x14ac:dyDescent="0.3">
      <c r="A203" s="226">
        <v>46129</v>
      </c>
      <c r="B203" s="227" t="s">
        <v>162</v>
      </c>
      <c r="C203" s="227" t="s">
        <v>687</v>
      </c>
      <c r="D203" s="228">
        <v>800</v>
      </c>
      <c r="E203" s="228">
        <v>360.25</v>
      </c>
      <c r="F203" s="228">
        <v>356.8</v>
      </c>
      <c r="G203" s="228">
        <v>3.45</v>
      </c>
      <c r="H203" s="229">
        <v>9.7000000000000003E-3</v>
      </c>
      <c r="I203" s="228">
        <v>360.1</v>
      </c>
      <c r="J203" s="228">
        <v>356.3</v>
      </c>
      <c r="K203" s="228">
        <v>3.8</v>
      </c>
      <c r="L203" s="229">
        <v>1.0699999999999999E-2</v>
      </c>
      <c r="M203" s="228">
        <v>360.25</v>
      </c>
      <c r="N203" s="228">
        <v>356.8</v>
      </c>
      <c r="O203" s="228">
        <v>3.45</v>
      </c>
      <c r="P203" s="229">
        <v>9.7000000000000003E-3</v>
      </c>
      <c r="Q203" s="228">
        <v>362.25</v>
      </c>
      <c r="R203" s="228">
        <v>358.8</v>
      </c>
      <c r="S203" s="228">
        <v>3.45</v>
      </c>
      <c r="T203" s="229">
        <v>9.5999999999999992E-3</v>
      </c>
      <c r="U203" s="228">
        <v>362.3</v>
      </c>
      <c r="V203" s="228">
        <v>359.1</v>
      </c>
      <c r="W203" s="228">
        <v>3.2</v>
      </c>
      <c r="X203" s="229">
        <v>8.8999999999999999E-3</v>
      </c>
      <c r="Y203" s="228">
        <v>0.15</v>
      </c>
      <c r="Z203" s="228">
        <v>0.5</v>
      </c>
      <c r="AA203" s="228">
        <v>-0.35</v>
      </c>
      <c r="AB203" s="229">
        <v>4.0000000000000002E-4</v>
      </c>
      <c r="AC203" s="228">
        <v>0.15</v>
      </c>
      <c r="AD203" s="228">
        <v>0.5</v>
      </c>
      <c r="AE203" s="228">
        <v>-0.35</v>
      </c>
      <c r="AF203" s="229">
        <v>4.0000000000000002E-4</v>
      </c>
      <c r="AG203" s="228">
        <v>2.15</v>
      </c>
      <c r="AH203" s="228">
        <v>2.5</v>
      </c>
      <c r="AI203" s="228">
        <v>-0.35</v>
      </c>
      <c r="AJ203" s="229">
        <v>6.0000000000000001E-3</v>
      </c>
      <c r="AK203" s="228">
        <v>2.2000000000000002</v>
      </c>
      <c r="AL203" s="228">
        <v>2.8</v>
      </c>
      <c r="AM203" s="228">
        <v>-0.6</v>
      </c>
      <c r="AN203" s="229">
        <v>6.1000000000000004E-3</v>
      </c>
      <c r="AO203" s="228">
        <v>359.68</v>
      </c>
      <c r="AP203" s="228">
        <v>361.62</v>
      </c>
      <c r="AQ203" s="228">
        <v>0</v>
      </c>
      <c r="AR203" s="230">
        <v>9039200</v>
      </c>
      <c r="AS203" s="230">
        <v>9655200</v>
      </c>
      <c r="AT203" s="230">
        <v>-616000</v>
      </c>
      <c r="AU203" s="229">
        <v>-6.3799999999999996E-2</v>
      </c>
      <c r="AV203" s="230">
        <v>6779200</v>
      </c>
      <c r="AW203" s="230">
        <v>8005600</v>
      </c>
      <c r="AX203" s="230">
        <v>-1226400</v>
      </c>
      <c r="AY203" s="229">
        <v>-0.1532</v>
      </c>
      <c r="AZ203" s="230">
        <v>1875200</v>
      </c>
      <c r="BA203" s="230">
        <v>1290400</v>
      </c>
      <c r="BB203" s="230">
        <v>584800</v>
      </c>
      <c r="BC203" s="229">
        <v>0.45319999999999999</v>
      </c>
      <c r="BD203" s="230">
        <v>384800</v>
      </c>
      <c r="BE203" s="230">
        <v>359200</v>
      </c>
      <c r="BF203" s="230">
        <v>25600</v>
      </c>
      <c r="BG203" s="229">
        <v>7.1300000000000002E-2</v>
      </c>
      <c r="BH203" s="230">
        <v>34878400</v>
      </c>
      <c r="BI203" s="230">
        <v>39248000</v>
      </c>
      <c r="BJ203" s="230">
        <v>-4369600</v>
      </c>
      <c r="BK203" s="229">
        <v>-0.1113</v>
      </c>
      <c r="BL203" s="230">
        <v>24172800</v>
      </c>
      <c r="BM203" s="230">
        <v>23380800</v>
      </c>
      <c r="BN203" s="230">
        <v>792000</v>
      </c>
      <c r="BO203" s="229">
        <v>3.39E-2</v>
      </c>
      <c r="BP203" s="230">
        <v>68090400</v>
      </c>
      <c r="BQ203" s="230">
        <v>72284000</v>
      </c>
      <c r="BR203" s="230">
        <v>-4193600</v>
      </c>
      <c r="BS203" s="229">
        <v>-5.8000000000000003E-2</v>
      </c>
      <c r="BT203" s="230">
        <v>7314044</v>
      </c>
      <c r="BU203" s="230">
        <v>6871023</v>
      </c>
      <c r="BV203" s="230">
        <v>443021</v>
      </c>
      <c r="BW203" s="229">
        <v>6.4500000000000002E-2</v>
      </c>
      <c r="BX203" s="230">
        <v>58587200</v>
      </c>
      <c r="BY203" s="230">
        <v>58409600</v>
      </c>
      <c r="BZ203" s="230">
        <v>177600</v>
      </c>
      <c r="CA203" s="229">
        <v>3.0000000000000001E-3</v>
      </c>
      <c r="CB203" s="230">
        <v>51525600</v>
      </c>
      <c r="CC203" s="230">
        <v>52176800</v>
      </c>
      <c r="CD203" s="230">
        <v>-651200</v>
      </c>
      <c r="CE203" s="229">
        <v>-1.2500000000000001E-2</v>
      </c>
      <c r="CF203" s="230">
        <v>5952800</v>
      </c>
      <c r="CG203" s="230">
        <v>5172000</v>
      </c>
      <c r="CH203" s="230">
        <v>780800</v>
      </c>
      <c r="CI203" s="229">
        <v>0.151</v>
      </c>
      <c r="CJ203" s="230">
        <v>1108800</v>
      </c>
      <c r="CK203" s="230">
        <v>1060800</v>
      </c>
      <c r="CL203" s="230">
        <v>48000</v>
      </c>
      <c r="CM203" s="229">
        <v>4.5199999999999997E-2</v>
      </c>
      <c r="CN203" s="230">
        <v>35904000</v>
      </c>
      <c r="CO203" s="230">
        <v>36346400</v>
      </c>
      <c r="CP203" s="230">
        <v>-442400</v>
      </c>
      <c r="CQ203" s="229">
        <v>-1.2200000000000001E-2</v>
      </c>
      <c r="CR203" s="230">
        <v>28884800</v>
      </c>
      <c r="CS203" s="230">
        <v>27885600</v>
      </c>
      <c r="CT203" s="230">
        <v>999200</v>
      </c>
      <c r="CU203" s="229">
        <v>3.5799999999999998E-2</v>
      </c>
      <c r="CV203" s="230">
        <v>123376000</v>
      </c>
      <c r="CW203" s="230">
        <v>122641600</v>
      </c>
      <c r="CX203" s="230">
        <v>734400</v>
      </c>
      <c r="CY203" s="229">
        <v>6.0000000000000001E-3</v>
      </c>
      <c r="CZ203" s="228">
        <v>32.04</v>
      </c>
      <c r="DA203" s="228">
        <v>32.43</v>
      </c>
      <c r="DB203" s="228">
        <v>-0.39</v>
      </c>
      <c r="DC203" s="228">
        <v>-0.39</v>
      </c>
      <c r="DD203" s="228">
        <v>38.28</v>
      </c>
      <c r="DE203" s="228">
        <v>38.35</v>
      </c>
      <c r="DF203" s="228">
        <v>-6.24</v>
      </c>
      <c r="DG203" s="228">
        <v>-7.0000000000000007E-2</v>
      </c>
      <c r="DH203" s="228">
        <v>29.73</v>
      </c>
      <c r="DI203" s="228">
        <v>30.32</v>
      </c>
      <c r="DJ203" s="228">
        <v>-0.59</v>
      </c>
      <c r="DK203" s="228">
        <v>-0.59</v>
      </c>
      <c r="DL203" s="228">
        <v>35.380000000000003</v>
      </c>
      <c r="DM203" s="228">
        <v>35.96</v>
      </c>
      <c r="DN203" s="228">
        <v>-0.57999999999999996</v>
      </c>
      <c r="DO203" s="228">
        <v>-0.57999999999999996</v>
      </c>
      <c r="DP203" s="228">
        <v>0.8</v>
      </c>
      <c r="DQ203" s="228">
        <v>0.77</v>
      </c>
      <c r="DR203" s="228">
        <v>0.03</v>
      </c>
      <c r="DS203" s="229">
        <v>3.9E-2</v>
      </c>
      <c r="DT203" s="228">
        <v>360</v>
      </c>
      <c r="DU203" s="228">
        <v>300</v>
      </c>
      <c r="DV203" s="228">
        <v>0.69</v>
      </c>
      <c r="DW203" s="228">
        <v>0.6</v>
      </c>
      <c r="DX203" s="228">
        <v>0.09</v>
      </c>
      <c r="DY203" s="229">
        <v>0.15</v>
      </c>
      <c r="DZ203" s="229">
        <v>0.1205</v>
      </c>
      <c r="EA203" s="230">
        <v>6232800</v>
      </c>
      <c r="EB203" s="229">
        <v>5.5999999999999999E-3</v>
      </c>
      <c r="EC203" s="229">
        <v>0.1205</v>
      </c>
      <c r="ED203" s="228">
        <v>1.94</v>
      </c>
      <c r="EE203" s="229">
        <v>5.4000000000000003E-3</v>
      </c>
      <c r="EF203" s="230">
        <v>3384834</v>
      </c>
      <c r="EG203" s="230">
        <v>2559818</v>
      </c>
      <c r="EH203" s="229">
        <v>0.32229999999999998</v>
      </c>
      <c r="EI203" s="229">
        <v>0.46279999999999999</v>
      </c>
      <c r="EJ203" s="231">
        <v>130650.39</v>
      </c>
      <c r="EK203" s="231">
        <v>84831.6</v>
      </c>
      <c r="EL203" s="231">
        <v>32555.74</v>
      </c>
      <c r="EM203" s="231">
        <v>15065</v>
      </c>
      <c r="EN203" s="231">
        <v>248037.73</v>
      </c>
      <c r="EO203" s="231">
        <v>262113.58</v>
      </c>
      <c r="EP203" s="231">
        <v>-14075.85</v>
      </c>
      <c r="EQ203" s="229">
        <v>-5.3699999999999998E-2</v>
      </c>
      <c r="ER203" s="231">
        <v>128154</v>
      </c>
      <c r="ES203" s="231">
        <v>95571</v>
      </c>
      <c r="ET203" s="231">
        <v>211202</v>
      </c>
      <c r="EU203" s="231">
        <v>317244234</v>
      </c>
      <c r="EV203" s="231">
        <v>434927</v>
      </c>
      <c r="EW203" s="231">
        <v>429920</v>
      </c>
      <c r="EX203" s="231">
        <v>5007</v>
      </c>
      <c r="EY203" s="229">
        <v>1.1599999999999999E-2</v>
      </c>
      <c r="EZ203" s="229">
        <v>0.38890000000000002</v>
      </c>
      <c r="FA203" s="227" t="s">
        <v>555</v>
      </c>
      <c r="FB203" s="161">
        <f t="shared" si="5"/>
        <v>0</v>
      </c>
    </row>
    <row r="204" spans="1:158" ht="17.25" thickBot="1" x14ac:dyDescent="0.3">
      <c r="A204" s="226">
        <v>46129</v>
      </c>
      <c r="B204" s="227" t="s">
        <v>170</v>
      </c>
      <c r="C204" s="227" t="s">
        <v>298</v>
      </c>
      <c r="D204" s="228">
        <v>250</v>
      </c>
      <c r="E204" s="231">
        <v>4174.8</v>
      </c>
      <c r="F204" s="231">
        <v>4142.1000000000004</v>
      </c>
      <c r="G204" s="228">
        <v>32.700000000000003</v>
      </c>
      <c r="H204" s="229">
        <v>7.9000000000000008E-3</v>
      </c>
      <c r="I204" s="231">
        <v>4179.5</v>
      </c>
      <c r="J204" s="231">
        <v>4155.8999999999996</v>
      </c>
      <c r="K204" s="228">
        <v>23.6</v>
      </c>
      <c r="L204" s="229">
        <v>5.7000000000000002E-3</v>
      </c>
      <c r="M204" s="231">
        <v>4174.8</v>
      </c>
      <c r="N204" s="231">
        <v>4142.1000000000004</v>
      </c>
      <c r="O204" s="228">
        <v>32.700000000000003</v>
      </c>
      <c r="P204" s="229">
        <v>7.9000000000000008E-3</v>
      </c>
      <c r="Q204" s="231">
        <v>4172.2</v>
      </c>
      <c r="R204" s="231">
        <v>4136.7</v>
      </c>
      <c r="S204" s="228">
        <v>35.5</v>
      </c>
      <c r="T204" s="229">
        <v>8.6E-3</v>
      </c>
      <c r="U204" s="231">
        <v>4158.2</v>
      </c>
      <c r="V204" s="231">
        <v>4158.2</v>
      </c>
      <c r="W204" s="228">
        <v>0</v>
      </c>
      <c r="X204" s="229">
        <v>0</v>
      </c>
      <c r="Y204" s="228">
        <v>-4.7</v>
      </c>
      <c r="Z204" s="228">
        <v>-13.8</v>
      </c>
      <c r="AA204" s="228">
        <v>9.1</v>
      </c>
      <c r="AB204" s="229">
        <v>-1.1000000000000001E-3</v>
      </c>
      <c r="AC204" s="228">
        <v>-4.7</v>
      </c>
      <c r="AD204" s="228">
        <v>-13.8</v>
      </c>
      <c r="AE204" s="228">
        <v>9.1</v>
      </c>
      <c r="AF204" s="229">
        <v>-1.1000000000000001E-3</v>
      </c>
      <c r="AG204" s="228">
        <v>-7.3</v>
      </c>
      <c r="AH204" s="228">
        <v>-19.2</v>
      </c>
      <c r="AI204" s="228">
        <v>11.9</v>
      </c>
      <c r="AJ204" s="229">
        <v>-1.6999999999999999E-3</v>
      </c>
      <c r="AK204" s="228">
        <v>-21.3</v>
      </c>
      <c r="AL204" s="228">
        <v>2.2999999999999998</v>
      </c>
      <c r="AM204" s="228">
        <v>-23.6</v>
      </c>
      <c r="AN204" s="229">
        <v>-5.1000000000000004E-3</v>
      </c>
      <c r="AO204" s="231">
        <v>4160.05</v>
      </c>
      <c r="AP204" s="231">
        <v>4157.8500000000004</v>
      </c>
      <c r="AQ204" s="228">
        <v>0</v>
      </c>
      <c r="AR204" s="230">
        <v>252000</v>
      </c>
      <c r="AS204" s="230">
        <v>326500</v>
      </c>
      <c r="AT204" s="230">
        <v>-74500</v>
      </c>
      <c r="AU204" s="229">
        <v>-0.22819999999999999</v>
      </c>
      <c r="AV204" s="230">
        <v>241750</v>
      </c>
      <c r="AW204" s="230">
        <v>300500</v>
      </c>
      <c r="AX204" s="230">
        <v>-58750</v>
      </c>
      <c r="AY204" s="229">
        <v>-0.19550000000000001</v>
      </c>
      <c r="AZ204" s="230">
        <v>10250</v>
      </c>
      <c r="BA204" s="230">
        <v>26000</v>
      </c>
      <c r="BB204" s="230">
        <v>-15750</v>
      </c>
      <c r="BC204" s="229">
        <v>-0.60580000000000001</v>
      </c>
      <c r="BD204" s="228">
        <v>0</v>
      </c>
      <c r="BE204" s="228">
        <v>0</v>
      </c>
      <c r="BF204" s="228">
        <v>0</v>
      </c>
      <c r="BG204" s="229">
        <v>0</v>
      </c>
      <c r="BH204" s="230">
        <v>701000</v>
      </c>
      <c r="BI204" s="230">
        <v>588500</v>
      </c>
      <c r="BJ204" s="230">
        <v>112500</v>
      </c>
      <c r="BK204" s="229">
        <v>0.19120000000000001</v>
      </c>
      <c r="BL204" s="230">
        <v>327250</v>
      </c>
      <c r="BM204" s="230">
        <v>514000</v>
      </c>
      <c r="BN204" s="230">
        <v>-186750</v>
      </c>
      <c r="BO204" s="229">
        <v>-0.36330000000000001</v>
      </c>
      <c r="BP204" s="230">
        <v>1280250</v>
      </c>
      <c r="BQ204" s="230">
        <v>1429000</v>
      </c>
      <c r="BR204" s="230">
        <v>-148750</v>
      </c>
      <c r="BS204" s="229">
        <v>-0.1041</v>
      </c>
      <c r="BT204" s="230">
        <v>320703</v>
      </c>
      <c r="BU204" s="230">
        <v>340481</v>
      </c>
      <c r="BV204" s="230">
        <v>-19778</v>
      </c>
      <c r="BW204" s="229">
        <v>-5.8099999999999999E-2</v>
      </c>
      <c r="BX204" s="230">
        <v>3181500</v>
      </c>
      <c r="BY204" s="230">
        <v>3216500</v>
      </c>
      <c r="BZ204" s="230">
        <v>-35000</v>
      </c>
      <c r="CA204" s="229">
        <v>-1.09E-2</v>
      </c>
      <c r="CB204" s="230">
        <v>3129750</v>
      </c>
      <c r="CC204" s="230">
        <v>3165250</v>
      </c>
      <c r="CD204" s="230">
        <v>-35500</v>
      </c>
      <c r="CE204" s="229">
        <v>-1.12E-2</v>
      </c>
      <c r="CF204" s="230">
        <v>47750</v>
      </c>
      <c r="CG204" s="230">
        <v>47250</v>
      </c>
      <c r="CH204" s="228">
        <v>500</v>
      </c>
      <c r="CI204" s="229">
        <v>1.06E-2</v>
      </c>
      <c r="CJ204" s="230">
        <v>4000</v>
      </c>
      <c r="CK204" s="230">
        <v>4000</v>
      </c>
      <c r="CL204" s="228">
        <v>0</v>
      </c>
      <c r="CM204" s="229">
        <v>0</v>
      </c>
      <c r="CN204" s="230">
        <v>668750</v>
      </c>
      <c r="CO204" s="230">
        <v>702500</v>
      </c>
      <c r="CP204" s="230">
        <v>-33750</v>
      </c>
      <c r="CQ204" s="229">
        <v>-4.8000000000000001E-2</v>
      </c>
      <c r="CR204" s="230">
        <v>469750</v>
      </c>
      <c r="CS204" s="230">
        <v>471250</v>
      </c>
      <c r="CT204" s="230">
        <v>-1500</v>
      </c>
      <c r="CU204" s="229">
        <v>-3.2000000000000002E-3</v>
      </c>
      <c r="CV204" s="230">
        <v>4320000</v>
      </c>
      <c r="CW204" s="230">
        <v>4390250</v>
      </c>
      <c r="CX204" s="230">
        <v>-70250</v>
      </c>
      <c r="CY204" s="229">
        <v>-1.6E-2</v>
      </c>
      <c r="CZ204" s="228">
        <v>26.24</v>
      </c>
      <c r="DA204" s="228">
        <v>27.49</v>
      </c>
      <c r="DB204" s="228">
        <v>-1.25</v>
      </c>
      <c r="DC204" s="228">
        <v>-1.25</v>
      </c>
      <c r="DD204" s="228">
        <v>25.43</v>
      </c>
      <c r="DE204" s="228">
        <v>25.48</v>
      </c>
      <c r="DF204" s="228">
        <v>0.81</v>
      </c>
      <c r="DG204" s="228">
        <v>-0.05</v>
      </c>
      <c r="DH204" s="228">
        <v>23.88</v>
      </c>
      <c r="DI204" s="228">
        <v>24.74</v>
      </c>
      <c r="DJ204" s="228">
        <v>-0.86</v>
      </c>
      <c r="DK204" s="228">
        <v>-0.86</v>
      </c>
      <c r="DL204" s="228">
        <v>31.28</v>
      </c>
      <c r="DM204" s="228">
        <v>30.65</v>
      </c>
      <c r="DN204" s="228">
        <v>0.63</v>
      </c>
      <c r="DO204" s="228">
        <v>0.63</v>
      </c>
      <c r="DP204" s="228">
        <v>0.7</v>
      </c>
      <c r="DQ204" s="228">
        <v>0.67</v>
      </c>
      <c r="DR204" s="228">
        <v>0.03</v>
      </c>
      <c r="DS204" s="229">
        <v>4.48E-2</v>
      </c>
      <c r="DT204" s="231">
        <v>4200</v>
      </c>
      <c r="DU204" s="231">
        <v>4100</v>
      </c>
      <c r="DV204" s="228">
        <v>0.47</v>
      </c>
      <c r="DW204" s="228">
        <v>0.87</v>
      </c>
      <c r="DX204" s="228">
        <v>-0.4</v>
      </c>
      <c r="DY204" s="229">
        <v>-0.45979999999999999</v>
      </c>
      <c r="DZ204" s="229">
        <v>1.6299999999999999E-2</v>
      </c>
      <c r="EA204" s="230">
        <v>51250</v>
      </c>
      <c r="EB204" s="229">
        <v>-5.9999999999999995E-4</v>
      </c>
      <c r="EC204" s="229">
        <v>1.6299999999999999E-2</v>
      </c>
      <c r="ED204" s="228">
        <v>-2.2000000000000002</v>
      </c>
      <c r="EE204" s="229">
        <v>-5.0000000000000001E-4</v>
      </c>
      <c r="EF204" s="230">
        <v>180252</v>
      </c>
      <c r="EG204" s="230">
        <v>171688</v>
      </c>
      <c r="EH204" s="229">
        <v>4.99E-2</v>
      </c>
      <c r="EI204" s="229">
        <v>0.56210000000000004</v>
      </c>
      <c r="EJ204" s="231">
        <v>30402.44</v>
      </c>
      <c r="EK204" s="231">
        <v>12666.72</v>
      </c>
      <c r="EL204" s="231">
        <v>10483.1</v>
      </c>
      <c r="EM204" s="231">
        <v>2092</v>
      </c>
      <c r="EN204" s="231">
        <v>53552.26</v>
      </c>
      <c r="EO204" s="231">
        <v>58696.800000000003</v>
      </c>
      <c r="EP204" s="231">
        <v>-5144.54</v>
      </c>
      <c r="EQ204" s="229">
        <v>-8.7599999999999997E-2</v>
      </c>
      <c r="ER204" s="231">
        <v>28665</v>
      </c>
      <c r="ES204" s="231">
        <v>18929</v>
      </c>
      <c r="ET204" s="231">
        <v>132819</v>
      </c>
      <c r="EU204" s="231">
        <v>10726004</v>
      </c>
      <c r="EV204" s="231">
        <v>180413</v>
      </c>
      <c r="EW204" s="231">
        <v>182247</v>
      </c>
      <c r="EX204" s="231">
        <v>-1834</v>
      </c>
      <c r="EY204" s="229">
        <v>-1.01E-2</v>
      </c>
      <c r="EZ204" s="229">
        <v>0.40279999999999999</v>
      </c>
      <c r="FA204" s="227" t="s">
        <v>693</v>
      </c>
      <c r="FB204" s="161">
        <f t="shared" si="5"/>
        <v>0</v>
      </c>
    </row>
    <row r="205" spans="1:158" ht="17.25" thickBot="1" x14ac:dyDescent="0.3">
      <c r="A205" s="226">
        <v>46129</v>
      </c>
      <c r="B205" s="227" t="s">
        <v>161</v>
      </c>
      <c r="C205" s="227" t="s">
        <v>299</v>
      </c>
      <c r="D205" s="228">
        <v>425</v>
      </c>
      <c r="E205" s="231">
        <v>1564.8</v>
      </c>
      <c r="F205" s="231">
        <v>1528.4</v>
      </c>
      <c r="G205" s="228">
        <v>36.4</v>
      </c>
      <c r="H205" s="229">
        <v>2.3800000000000002E-2</v>
      </c>
      <c r="I205" s="231">
        <v>1565</v>
      </c>
      <c r="J205" s="231">
        <v>1521.6</v>
      </c>
      <c r="K205" s="228">
        <v>43.4</v>
      </c>
      <c r="L205" s="229">
        <v>2.8500000000000001E-2</v>
      </c>
      <c r="M205" s="231">
        <v>1564.8</v>
      </c>
      <c r="N205" s="231">
        <v>1528.4</v>
      </c>
      <c r="O205" s="228">
        <v>36.4</v>
      </c>
      <c r="P205" s="229">
        <v>2.3800000000000002E-2</v>
      </c>
      <c r="Q205" s="228">
        <v>0</v>
      </c>
      <c r="R205" s="228">
        <v>0</v>
      </c>
      <c r="S205" s="228">
        <v>0</v>
      </c>
      <c r="T205" s="229">
        <v>0</v>
      </c>
      <c r="U205" s="228">
        <v>0</v>
      </c>
      <c r="V205" s="228">
        <v>0</v>
      </c>
      <c r="W205" s="228">
        <v>0</v>
      </c>
      <c r="X205" s="229">
        <v>0</v>
      </c>
      <c r="Y205" s="228">
        <v>-0.2</v>
      </c>
      <c r="Z205" s="228">
        <v>6.8</v>
      </c>
      <c r="AA205" s="228">
        <v>-7</v>
      </c>
      <c r="AB205" s="229">
        <v>-1E-4</v>
      </c>
      <c r="AC205" s="228">
        <v>-0.2</v>
      </c>
      <c r="AD205" s="228">
        <v>6.8</v>
      </c>
      <c r="AE205" s="228">
        <v>-7</v>
      </c>
      <c r="AF205" s="229">
        <v>-1E-4</v>
      </c>
      <c r="AG205" s="228">
        <v>0</v>
      </c>
      <c r="AH205" s="228">
        <v>0</v>
      </c>
      <c r="AI205" s="228">
        <v>0</v>
      </c>
      <c r="AJ205" s="229">
        <v>0</v>
      </c>
      <c r="AK205" s="228">
        <v>0</v>
      </c>
      <c r="AL205" s="228">
        <v>0</v>
      </c>
      <c r="AM205" s="228">
        <v>0</v>
      </c>
      <c r="AN205" s="229">
        <v>0</v>
      </c>
      <c r="AO205" s="231">
        <v>1555.71</v>
      </c>
      <c r="AP205" s="228">
        <v>0</v>
      </c>
      <c r="AQ205" s="228">
        <v>0</v>
      </c>
      <c r="AR205" s="230">
        <v>565250</v>
      </c>
      <c r="AS205" s="230">
        <v>399500</v>
      </c>
      <c r="AT205" s="230">
        <v>165750</v>
      </c>
      <c r="AU205" s="229">
        <v>0.41489999999999999</v>
      </c>
      <c r="AV205" s="230">
        <v>565250</v>
      </c>
      <c r="AW205" s="230">
        <v>399500</v>
      </c>
      <c r="AX205" s="230">
        <v>165750</v>
      </c>
      <c r="AY205" s="229">
        <v>0.41489999999999999</v>
      </c>
      <c r="AZ205" s="228">
        <v>0</v>
      </c>
      <c r="BA205" s="228">
        <v>0</v>
      </c>
      <c r="BB205" s="228">
        <v>0</v>
      </c>
      <c r="BC205" s="229">
        <v>0</v>
      </c>
      <c r="BD205" s="228">
        <v>0</v>
      </c>
      <c r="BE205" s="228">
        <v>0</v>
      </c>
      <c r="BF205" s="228">
        <v>0</v>
      </c>
      <c r="BG205" s="229">
        <v>0</v>
      </c>
      <c r="BH205" s="230">
        <v>1843225</v>
      </c>
      <c r="BI205" s="230">
        <v>1184900</v>
      </c>
      <c r="BJ205" s="230">
        <v>658325</v>
      </c>
      <c r="BK205" s="229">
        <v>0.55559999999999998</v>
      </c>
      <c r="BL205" s="230">
        <v>515950</v>
      </c>
      <c r="BM205" s="230">
        <v>289000</v>
      </c>
      <c r="BN205" s="230">
        <v>226950</v>
      </c>
      <c r="BO205" s="229">
        <v>0.7853</v>
      </c>
      <c r="BP205" s="230">
        <v>2924425</v>
      </c>
      <c r="BQ205" s="230">
        <v>1873400</v>
      </c>
      <c r="BR205" s="230">
        <v>1051025</v>
      </c>
      <c r="BS205" s="229">
        <v>0.56100000000000005</v>
      </c>
      <c r="BT205" s="230">
        <v>1005164</v>
      </c>
      <c r="BU205" s="230">
        <v>427925</v>
      </c>
      <c r="BV205" s="230">
        <v>577239</v>
      </c>
      <c r="BW205" s="229">
        <v>1.3489</v>
      </c>
      <c r="BX205" s="230">
        <v>3147975</v>
      </c>
      <c r="BY205" s="230">
        <v>3214700</v>
      </c>
      <c r="BZ205" s="230">
        <v>-66725</v>
      </c>
      <c r="CA205" s="229">
        <v>-2.0799999999999999E-2</v>
      </c>
      <c r="CB205" s="230">
        <v>3147975</v>
      </c>
      <c r="CC205" s="230">
        <v>3214700</v>
      </c>
      <c r="CD205" s="230">
        <v>-66725</v>
      </c>
      <c r="CE205" s="229">
        <v>-2.0799999999999999E-2</v>
      </c>
      <c r="CF205" s="228">
        <v>0</v>
      </c>
      <c r="CG205" s="228">
        <v>0</v>
      </c>
      <c r="CH205" s="228">
        <v>0</v>
      </c>
      <c r="CI205" s="229">
        <v>0</v>
      </c>
      <c r="CJ205" s="228">
        <v>0</v>
      </c>
      <c r="CK205" s="228">
        <v>0</v>
      </c>
      <c r="CL205" s="228">
        <v>0</v>
      </c>
      <c r="CM205" s="229">
        <v>0</v>
      </c>
      <c r="CN205" s="230">
        <v>1126675</v>
      </c>
      <c r="CO205" s="230">
        <v>969425</v>
      </c>
      <c r="CP205" s="230">
        <v>157250</v>
      </c>
      <c r="CQ205" s="229">
        <v>0.16220000000000001</v>
      </c>
      <c r="CR205" s="230">
        <v>819400</v>
      </c>
      <c r="CS205" s="230">
        <v>752675</v>
      </c>
      <c r="CT205" s="230">
        <v>66725</v>
      </c>
      <c r="CU205" s="229">
        <v>8.8700000000000001E-2</v>
      </c>
      <c r="CV205" s="230">
        <v>5094050</v>
      </c>
      <c r="CW205" s="230">
        <v>4936800</v>
      </c>
      <c r="CX205" s="230">
        <v>157250</v>
      </c>
      <c r="CY205" s="229">
        <v>3.1899999999999998E-2</v>
      </c>
      <c r="CZ205" s="228">
        <v>28.71</v>
      </c>
      <c r="DA205" s="228">
        <v>31.19</v>
      </c>
      <c r="DB205" s="228">
        <v>-2.48</v>
      </c>
      <c r="DC205" s="228">
        <v>-2.48</v>
      </c>
      <c r="DD205" s="228">
        <v>41.7</v>
      </c>
      <c r="DE205" s="228">
        <v>41.68</v>
      </c>
      <c r="DF205" s="228">
        <v>-12.99</v>
      </c>
      <c r="DG205" s="228">
        <v>0.02</v>
      </c>
      <c r="DH205" s="228">
        <v>27.2</v>
      </c>
      <c r="DI205" s="228">
        <v>30.07</v>
      </c>
      <c r="DJ205" s="228">
        <v>-2.87</v>
      </c>
      <c r="DK205" s="228">
        <v>-2.87</v>
      </c>
      <c r="DL205" s="228">
        <v>34.1</v>
      </c>
      <c r="DM205" s="228">
        <v>35.799999999999997</v>
      </c>
      <c r="DN205" s="228">
        <v>-1.7</v>
      </c>
      <c r="DO205" s="228">
        <v>-1.7</v>
      </c>
      <c r="DP205" s="228">
        <v>0.73</v>
      </c>
      <c r="DQ205" s="228">
        <v>0.78</v>
      </c>
      <c r="DR205" s="228">
        <v>-0.05</v>
      </c>
      <c r="DS205" s="229">
        <v>-6.4100000000000004E-2</v>
      </c>
      <c r="DT205" s="231">
        <v>1630</v>
      </c>
      <c r="DU205" s="231">
        <v>1400</v>
      </c>
      <c r="DV205" s="228">
        <v>0.28000000000000003</v>
      </c>
      <c r="DW205" s="228">
        <v>0.24</v>
      </c>
      <c r="DX205" s="228">
        <v>0.04</v>
      </c>
      <c r="DY205" s="229">
        <v>0.16669999999999999</v>
      </c>
      <c r="DZ205" s="229">
        <v>0</v>
      </c>
      <c r="EA205" s="228">
        <v>0</v>
      </c>
      <c r="EB205" s="229">
        <v>0</v>
      </c>
      <c r="EC205" s="229">
        <v>0</v>
      </c>
      <c r="ED205" s="228">
        <v>0</v>
      </c>
      <c r="EE205" s="229">
        <v>0</v>
      </c>
      <c r="EF205" s="230">
        <v>637263</v>
      </c>
      <c r="EG205" s="230">
        <v>201201</v>
      </c>
      <c r="EH205" s="229">
        <v>2.1673</v>
      </c>
      <c r="EI205" s="229">
        <v>0.63400000000000001</v>
      </c>
      <c r="EJ205" s="231">
        <v>29550.51</v>
      </c>
      <c r="EK205" s="231">
        <v>7642.96</v>
      </c>
      <c r="EL205" s="231">
        <v>8793.6299999999992</v>
      </c>
      <c r="EM205" s="231">
        <v>1146</v>
      </c>
      <c r="EN205" s="231">
        <v>45987.1</v>
      </c>
      <c r="EO205" s="231">
        <v>28997.18</v>
      </c>
      <c r="EP205" s="231">
        <v>16989.919999999998</v>
      </c>
      <c r="EQ205" s="229">
        <v>0.58589999999999998</v>
      </c>
      <c r="ER205" s="231">
        <v>17249</v>
      </c>
      <c r="ES205" s="231">
        <v>11319</v>
      </c>
      <c r="ET205" s="231">
        <v>49260</v>
      </c>
      <c r="EU205" s="231">
        <v>24646022</v>
      </c>
      <c r="EV205" s="231">
        <v>77827</v>
      </c>
      <c r="EW205" s="231">
        <v>74037</v>
      </c>
      <c r="EX205" s="231">
        <v>3790</v>
      </c>
      <c r="EY205" s="229">
        <v>5.1200000000000002E-2</v>
      </c>
      <c r="EZ205" s="229">
        <v>0.20669999999999999</v>
      </c>
      <c r="FA205" s="227" t="s">
        <v>693</v>
      </c>
      <c r="FB205" s="161">
        <f t="shared" si="5"/>
        <v>0</v>
      </c>
    </row>
    <row r="206" spans="1:158" ht="17.25" thickBot="1" x14ac:dyDescent="0.3">
      <c r="A206" s="226">
        <v>46129</v>
      </c>
      <c r="B206" s="227" t="s">
        <v>197</v>
      </c>
      <c r="C206" s="227" t="s">
        <v>482</v>
      </c>
      <c r="D206" s="228">
        <v>100</v>
      </c>
      <c r="E206" s="231">
        <v>4108.3999999999996</v>
      </c>
      <c r="F206" s="231">
        <v>4096.7</v>
      </c>
      <c r="G206" s="228">
        <v>11.7</v>
      </c>
      <c r="H206" s="229">
        <v>2.8999999999999998E-3</v>
      </c>
      <c r="I206" s="231">
        <v>4107.7</v>
      </c>
      <c r="J206" s="231">
        <v>4083.3</v>
      </c>
      <c r="K206" s="228">
        <v>24.4</v>
      </c>
      <c r="L206" s="229">
        <v>6.0000000000000001E-3</v>
      </c>
      <c r="M206" s="231">
        <v>4108.3999999999996</v>
      </c>
      <c r="N206" s="231">
        <v>4096.7</v>
      </c>
      <c r="O206" s="228">
        <v>11.7</v>
      </c>
      <c r="P206" s="229">
        <v>2.8999999999999998E-3</v>
      </c>
      <c r="Q206" s="231">
        <v>4114.6000000000004</v>
      </c>
      <c r="R206" s="231">
        <v>4095.5</v>
      </c>
      <c r="S206" s="228">
        <v>19.100000000000001</v>
      </c>
      <c r="T206" s="229">
        <v>4.7000000000000002E-3</v>
      </c>
      <c r="U206" s="231">
        <v>4129</v>
      </c>
      <c r="V206" s="231">
        <v>4100.6000000000004</v>
      </c>
      <c r="W206" s="228">
        <v>28.4</v>
      </c>
      <c r="X206" s="229">
        <v>6.8999999999999999E-3</v>
      </c>
      <c r="Y206" s="228">
        <v>0.7</v>
      </c>
      <c r="Z206" s="228">
        <v>13.4</v>
      </c>
      <c r="AA206" s="228">
        <v>-12.7</v>
      </c>
      <c r="AB206" s="229">
        <v>2.0000000000000001E-4</v>
      </c>
      <c r="AC206" s="228">
        <v>0.7</v>
      </c>
      <c r="AD206" s="228">
        <v>13.4</v>
      </c>
      <c r="AE206" s="228">
        <v>-12.7</v>
      </c>
      <c r="AF206" s="229">
        <v>2.0000000000000001E-4</v>
      </c>
      <c r="AG206" s="228">
        <v>6.9</v>
      </c>
      <c r="AH206" s="228">
        <v>12.2</v>
      </c>
      <c r="AI206" s="228">
        <v>-5.3</v>
      </c>
      <c r="AJ206" s="229">
        <v>1.6999999999999999E-3</v>
      </c>
      <c r="AK206" s="228">
        <v>21.3</v>
      </c>
      <c r="AL206" s="228">
        <v>17.3</v>
      </c>
      <c r="AM206" s="228">
        <v>4</v>
      </c>
      <c r="AN206" s="229">
        <v>5.1999999999999998E-3</v>
      </c>
      <c r="AO206" s="231">
        <v>4126.5</v>
      </c>
      <c r="AP206" s="231">
        <v>4128.84</v>
      </c>
      <c r="AQ206" s="228">
        <v>0</v>
      </c>
      <c r="AR206" s="230">
        <v>1114100</v>
      </c>
      <c r="AS206" s="230">
        <v>1567800</v>
      </c>
      <c r="AT206" s="230">
        <v>-453700</v>
      </c>
      <c r="AU206" s="229">
        <v>-0.28939999999999999</v>
      </c>
      <c r="AV206" s="230">
        <v>924900</v>
      </c>
      <c r="AW206" s="230">
        <v>1288400</v>
      </c>
      <c r="AX206" s="230">
        <v>-363500</v>
      </c>
      <c r="AY206" s="229">
        <v>-0.28210000000000002</v>
      </c>
      <c r="AZ206" s="230">
        <v>171200</v>
      </c>
      <c r="BA206" s="230">
        <v>259800</v>
      </c>
      <c r="BB206" s="230">
        <v>-88600</v>
      </c>
      <c r="BC206" s="229">
        <v>-0.34100000000000003</v>
      </c>
      <c r="BD206" s="230">
        <v>18000</v>
      </c>
      <c r="BE206" s="230">
        <v>19600</v>
      </c>
      <c r="BF206" s="230">
        <v>-1600</v>
      </c>
      <c r="BG206" s="229">
        <v>-8.1600000000000006E-2</v>
      </c>
      <c r="BH206" s="230">
        <v>6474400</v>
      </c>
      <c r="BI206" s="230">
        <v>9502700</v>
      </c>
      <c r="BJ206" s="230">
        <v>-3028300</v>
      </c>
      <c r="BK206" s="229">
        <v>-0.31869999999999998</v>
      </c>
      <c r="BL206" s="230">
        <v>3097800</v>
      </c>
      <c r="BM206" s="230">
        <v>4490400</v>
      </c>
      <c r="BN206" s="230">
        <v>-1392600</v>
      </c>
      <c r="BO206" s="229">
        <v>-0.31009999999999999</v>
      </c>
      <c r="BP206" s="230">
        <v>10686300</v>
      </c>
      <c r="BQ206" s="230">
        <v>15560900</v>
      </c>
      <c r="BR206" s="230">
        <v>-4874600</v>
      </c>
      <c r="BS206" s="229">
        <v>-0.31330000000000002</v>
      </c>
      <c r="BT206" s="230">
        <v>1305505</v>
      </c>
      <c r="BU206" s="230">
        <v>1439671</v>
      </c>
      <c r="BV206" s="230">
        <v>-134166</v>
      </c>
      <c r="BW206" s="229">
        <v>-9.3200000000000005E-2</v>
      </c>
      <c r="BX206" s="230">
        <v>8166200</v>
      </c>
      <c r="BY206" s="230">
        <v>8108700</v>
      </c>
      <c r="BZ206" s="230">
        <v>57500</v>
      </c>
      <c r="CA206" s="229">
        <v>7.1000000000000004E-3</v>
      </c>
      <c r="CB206" s="230">
        <v>7003100</v>
      </c>
      <c r="CC206" s="230">
        <v>7008300</v>
      </c>
      <c r="CD206" s="230">
        <v>-5200</v>
      </c>
      <c r="CE206" s="229">
        <v>-6.9999999999999999E-4</v>
      </c>
      <c r="CF206" s="230">
        <v>1103800</v>
      </c>
      <c r="CG206" s="230">
        <v>1046400</v>
      </c>
      <c r="CH206" s="230">
        <v>57400</v>
      </c>
      <c r="CI206" s="229">
        <v>5.4899999999999997E-2</v>
      </c>
      <c r="CJ206" s="230">
        <v>59300</v>
      </c>
      <c r="CK206" s="230">
        <v>54000</v>
      </c>
      <c r="CL206" s="230">
        <v>5300</v>
      </c>
      <c r="CM206" s="229">
        <v>9.8100000000000007E-2</v>
      </c>
      <c r="CN206" s="230">
        <v>2923600</v>
      </c>
      <c r="CO206" s="230">
        <v>2749700</v>
      </c>
      <c r="CP206" s="230">
        <v>173900</v>
      </c>
      <c r="CQ206" s="229">
        <v>6.3200000000000006E-2</v>
      </c>
      <c r="CR206" s="230">
        <v>2511000</v>
      </c>
      <c r="CS206" s="230">
        <v>2462200</v>
      </c>
      <c r="CT206" s="230">
        <v>48800</v>
      </c>
      <c r="CU206" s="229">
        <v>1.9800000000000002E-2</v>
      </c>
      <c r="CV206" s="230">
        <v>13600800</v>
      </c>
      <c r="CW206" s="230">
        <v>13320600</v>
      </c>
      <c r="CX206" s="230">
        <v>280200</v>
      </c>
      <c r="CY206" s="229">
        <v>2.1000000000000001E-2</v>
      </c>
      <c r="CZ206" s="228">
        <v>36.22</v>
      </c>
      <c r="DA206" s="228">
        <v>37.94</v>
      </c>
      <c r="DB206" s="228">
        <v>-1.72</v>
      </c>
      <c r="DC206" s="228">
        <v>-1.72</v>
      </c>
      <c r="DD206" s="228">
        <v>44.13</v>
      </c>
      <c r="DE206" s="228">
        <v>44.23</v>
      </c>
      <c r="DF206" s="228">
        <v>-7.91</v>
      </c>
      <c r="DG206" s="228">
        <v>-0.1</v>
      </c>
      <c r="DH206" s="228">
        <v>34.97</v>
      </c>
      <c r="DI206" s="228">
        <v>36.299999999999997</v>
      </c>
      <c r="DJ206" s="228">
        <v>-1.33</v>
      </c>
      <c r="DK206" s="228">
        <v>-1.33</v>
      </c>
      <c r="DL206" s="228">
        <v>38.83</v>
      </c>
      <c r="DM206" s="228">
        <v>41.41</v>
      </c>
      <c r="DN206" s="228">
        <v>-2.58</v>
      </c>
      <c r="DO206" s="228">
        <v>-2.58</v>
      </c>
      <c r="DP206" s="228">
        <v>0.86</v>
      </c>
      <c r="DQ206" s="228">
        <v>0.9</v>
      </c>
      <c r="DR206" s="228">
        <v>-0.04</v>
      </c>
      <c r="DS206" s="229">
        <v>-4.4400000000000002E-2</v>
      </c>
      <c r="DT206" s="231">
        <v>4200</v>
      </c>
      <c r="DU206" s="231">
        <v>3800</v>
      </c>
      <c r="DV206" s="228">
        <v>0.48</v>
      </c>
      <c r="DW206" s="228">
        <v>0.47</v>
      </c>
      <c r="DX206" s="228">
        <v>0.01</v>
      </c>
      <c r="DY206" s="229">
        <v>2.1299999999999999E-2</v>
      </c>
      <c r="DZ206" s="229">
        <v>0.1424</v>
      </c>
      <c r="EA206" s="230">
        <v>1100400</v>
      </c>
      <c r="EB206" s="229">
        <v>1.5E-3</v>
      </c>
      <c r="EC206" s="229">
        <v>0.1424</v>
      </c>
      <c r="ED206" s="228">
        <v>2.34</v>
      </c>
      <c r="EE206" s="229">
        <v>5.9999999999999995E-4</v>
      </c>
      <c r="EF206" s="230">
        <v>460417</v>
      </c>
      <c r="EG206" s="230">
        <v>494660</v>
      </c>
      <c r="EH206" s="229">
        <v>-6.9199999999999998E-2</v>
      </c>
      <c r="EI206" s="229">
        <v>0.35270000000000001</v>
      </c>
      <c r="EJ206" s="231">
        <v>278224.01</v>
      </c>
      <c r="EK206" s="231">
        <v>124280.94</v>
      </c>
      <c r="EL206" s="231">
        <v>45979.64</v>
      </c>
      <c r="EM206" s="231">
        <v>10105</v>
      </c>
      <c r="EN206" s="231">
        <v>448484.59</v>
      </c>
      <c r="EO206" s="231">
        <v>642369.19999999995</v>
      </c>
      <c r="EP206" s="231">
        <v>-193884.61</v>
      </c>
      <c r="EQ206" s="229">
        <v>-0.30180000000000001</v>
      </c>
      <c r="ER206" s="231">
        <v>117520</v>
      </c>
      <c r="ES206" s="231">
        <v>93791</v>
      </c>
      <c r="ET206" s="231">
        <v>335581</v>
      </c>
      <c r="EU206" s="231">
        <v>33590487</v>
      </c>
      <c r="EV206" s="231">
        <v>546892</v>
      </c>
      <c r="EW206" s="231">
        <v>533213</v>
      </c>
      <c r="EX206" s="231">
        <v>13679</v>
      </c>
      <c r="EY206" s="229">
        <v>2.5700000000000001E-2</v>
      </c>
      <c r="EZ206" s="229">
        <v>0.40489999999999998</v>
      </c>
      <c r="FA206" s="227" t="s">
        <v>555</v>
      </c>
      <c r="FB206" s="161">
        <f t="shared" si="5"/>
        <v>0</v>
      </c>
    </row>
    <row r="207" spans="1:158" ht="17.25" thickBot="1" x14ac:dyDescent="0.3">
      <c r="A207" s="226">
        <v>46129</v>
      </c>
      <c r="B207" s="227" t="s">
        <v>162</v>
      </c>
      <c r="C207" s="227" t="s">
        <v>300</v>
      </c>
      <c r="D207" s="228">
        <v>175</v>
      </c>
      <c r="E207" s="231">
        <v>3747.3</v>
      </c>
      <c r="F207" s="231">
        <v>3766.9</v>
      </c>
      <c r="G207" s="228">
        <v>-19.600000000000001</v>
      </c>
      <c r="H207" s="229">
        <v>-5.1999999999999998E-3</v>
      </c>
      <c r="I207" s="231">
        <v>3735.8</v>
      </c>
      <c r="J207" s="231">
        <v>3757.2</v>
      </c>
      <c r="K207" s="228">
        <v>-21.4</v>
      </c>
      <c r="L207" s="229">
        <v>-5.7000000000000002E-3</v>
      </c>
      <c r="M207" s="231">
        <v>3747.3</v>
      </c>
      <c r="N207" s="231">
        <v>3766.9</v>
      </c>
      <c r="O207" s="228">
        <v>-19.600000000000001</v>
      </c>
      <c r="P207" s="229">
        <v>-5.1999999999999998E-3</v>
      </c>
      <c r="Q207" s="231">
        <v>3766.6</v>
      </c>
      <c r="R207" s="231">
        <v>3784.6</v>
      </c>
      <c r="S207" s="228">
        <v>-18</v>
      </c>
      <c r="T207" s="229">
        <v>-4.7999999999999996E-3</v>
      </c>
      <c r="U207" s="231">
        <v>3785.9</v>
      </c>
      <c r="V207" s="231">
        <v>3799.2</v>
      </c>
      <c r="W207" s="228">
        <v>-13.3</v>
      </c>
      <c r="X207" s="229">
        <v>-3.5000000000000001E-3</v>
      </c>
      <c r="Y207" s="228">
        <v>11.5</v>
      </c>
      <c r="Z207" s="228">
        <v>9.6999999999999993</v>
      </c>
      <c r="AA207" s="228">
        <v>1.8</v>
      </c>
      <c r="AB207" s="229">
        <v>3.0999999999999999E-3</v>
      </c>
      <c r="AC207" s="228">
        <v>11.5</v>
      </c>
      <c r="AD207" s="228">
        <v>9.6999999999999993</v>
      </c>
      <c r="AE207" s="228">
        <v>1.8</v>
      </c>
      <c r="AF207" s="229">
        <v>3.0999999999999999E-3</v>
      </c>
      <c r="AG207" s="228">
        <v>30.8</v>
      </c>
      <c r="AH207" s="228">
        <v>27.4</v>
      </c>
      <c r="AI207" s="228">
        <v>3.4</v>
      </c>
      <c r="AJ207" s="229">
        <v>8.2000000000000007E-3</v>
      </c>
      <c r="AK207" s="228">
        <v>50.1</v>
      </c>
      <c r="AL207" s="228">
        <v>42</v>
      </c>
      <c r="AM207" s="228">
        <v>8.1</v>
      </c>
      <c r="AN207" s="229">
        <v>1.34E-2</v>
      </c>
      <c r="AO207" s="231">
        <v>3757.81</v>
      </c>
      <c r="AP207" s="231">
        <v>3773.01</v>
      </c>
      <c r="AQ207" s="228">
        <v>0</v>
      </c>
      <c r="AR207" s="230">
        <v>1233050</v>
      </c>
      <c r="AS207" s="230">
        <v>553000</v>
      </c>
      <c r="AT207" s="230">
        <v>680050</v>
      </c>
      <c r="AU207" s="229">
        <v>1.2297</v>
      </c>
      <c r="AV207" s="230">
        <v>804650</v>
      </c>
      <c r="AW207" s="230">
        <v>461650</v>
      </c>
      <c r="AX207" s="230">
        <v>343000</v>
      </c>
      <c r="AY207" s="229">
        <v>0.74299999999999999</v>
      </c>
      <c r="AZ207" s="230">
        <v>108500</v>
      </c>
      <c r="BA207" s="230">
        <v>86450</v>
      </c>
      <c r="BB207" s="230">
        <v>22050</v>
      </c>
      <c r="BC207" s="229">
        <v>0.25509999999999999</v>
      </c>
      <c r="BD207" s="230">
        <v>319900</v>
      </c>
      <c r="BE207" s="230">
        <v>4900</v>
      </c>
      <c r="BF207" s="230">
        <v>315000</v>
      </c>
      <c r="BG207" s="229">
        <v>64.285700000000006</v>
      </c>
      <c r="BH207" s="230">
        <v>1125250</v>
      </c>
      <c r="BI207" s="230">
        <v>1515675</v>
      </c>
      <c r="BJ207" s="230">
        <v>-390425</v>
      </c>
      <c r="BK207" s="229">
        <v>-0.2576</v>
      </c>
      <c r="BL207" s="230">
        <v>700525</v>
      </c>
      <c r="BM207" s="230">
        <v>824075</v>
      </c>
      <c r="BN207" s="230">
        <v>-123550</v>
      </c>
      <c r="BO207" s="229">
        <v>-0.14990000000000001</v>
      </c>
      <c r="BP207" s="230">
        <v>3058825</v>
      </c>
      <c r="BQ207" s="230">
        <v>2892750</v>
      </c>
      <c r="BR207" s="230">
        <v>166075</v>
      </c>
      <c r="BS207" s="229">
        <v>5.74E-2</v>
      </c>
      <c r="BT207" s="230">
        <v>592659</v>
      </c>
      <c r="BU207" s="230">
        <v>844515</v>
      </c>
      <c r="BV207" s="230">
        <v>-251856</v>
      </c>
      <c r="BW207" s="229">
        <v>-0.29820000000000002</v>
      </c>
      <c r="BX207" s="230">
        <v>8250025</v>
      </c>
      <c r="BY207" s="230">
        <v>8247575</v>
      </c>
      <c r="BZ207" s="230">
        <v>2450</v>
      </c>
      <c r="CA207" s="229">
        <v>2.9999999999999997E-4</v>
      </c>
      <c r="CB207" s="230">
        <v>7656950</v>
      </c>
      <c r="CC207" s="230">
        <v>8014300</v>
      </c>
      <c r="CD207" s="230">
        <v>-357350</v>
      </c>
      <c r="CE207" s="229">
        <v>-4.4600000000000001E-2</v>
      </c>
      <c r="CF207" s="230">
        <v>266525</v>
      </c>
      <c r="CG207" s="230">
        <v>220850</v>
      </c>
      <c r="CH207" s="230">
        <v>45675</v>
      </c>
      <c r="CI207" s="229">
        <v>0.20680000000000001</v>
      </c>
      <c r="CJ207" s="230">
        <v>326550</v>
      </c>
      <c r="CK207" s="230">
        <v>12425</v>
      </c>
      <c r="CL207" s="230">
        <v>314125</v>
      </c>
      <c r="CM207" s="229">
        <v>25.281700000000001</v>
      </c>
      <c r="CN207" s="230">
        <v>1636600</v>
      </c>
      <c r="CO207" s="230">
        <v>1577625</v>
      </c>
      <c r="CP207" s="230">
        <v>58975</v>
      </c>
      <c r="CQ207" s="229">
        <v>3.7400000000000003E-2</v>
      </c>
      <c r="CR207" s="230">
        <v>1146950</v>
      </c>
      <c r="CS207" s="230">
        <v>1123675</v>
      </c>
      <c r="CT207" s="230">
        <v>23275</v>
      </c>
      <c r="CU207" s="229">
        <v>2.07E-2</v>
      </c>
      <c r="CV207" s="230">
        <v>11033575</v>
      </c>
      <c r="CW207" s="230">
        <v>10948875</v>
      </c>
      <c r="CX207" s="230">
        <v>84700</v>
      </c>
      <c r="CY207" s="229">
        <v>7.7000000000000002E-3</v>
      </c>
      <c r="CZ207" s="228">
        <v>32.880000000000003</v>
      </c>
      <c r="DA207" s="228">
        <v>33.479999999999997</v>
      </c>
      <c r="DB207" s="228">
        <v>-0.6</v>
      </c>
      <c r="DC207" s="228">
        <v>-0.6</v>
      </c>
      <c r="DD207" s="228">
        <v>33.549999999999997</v>
      </c>
      <c r="DE207" s="228">
        <v>33.619999999999997</v>
      </c>
      <c r="DF207" s="228">
        <v>-0.67</v>
      </c>
      <c r="DG207" s="228">
        <v>-7.0000000000000007E-2</v>
      </c>
      <c r="DH207" s="228">
        <v>32.090000000000003</v>
      </c>
      <c r="DI207" s="228">
        <v>32.32</v>
      </c>
      <c r="DJ207" s="228">
        <v>-0.23</v>
      </c>
      <c r="DK207" s="228">
        <v>-0.23</v>
      </c>
      <c r="DL207" s="228">
        <v>34.130000000000003</v>
      </c>
      <c r="DM207" s="228">
        <v>35.61</v>
      </c>
      <c r="DN207" s="228">
        <v>-1.48</v>
      </c>
      <c r="DO207" s="228">
        <v>-1.48</v>
      </c>
      <c r="DP207" s="228">
        <v>0.7</v>
      </c>
      <c r="DQ207" s="228">
        <v>0.71</v>
      </c>
      <c r="DR207" s="228">
        <v>-0.01</v>
      </c>
      <c r="DS207" s="229">
        <v>-1.41E-2</v>
      </c>
      <c r="DT207" s="231">
        <v>4000</v>
      </c>
      <c r="DU207" s="231">
        <v>3400</v>
      </c>
      <c r="DV207" s="228">
        <v>0.62</v>
      </c>
      <c r="DW207" s="228">
        <v>0.54</v>
      </c>
      <c r="DX207" s="228">
        <v>0.08</v>
      </c>
      <c r="DY207" s="229">
        <v>0.14810000000000001</v>
      </c>
      <c r="DZ207" s="229">
        <v>7.1900000000000006E-2</v>
      </c>
      <c r="EA207" s="230">
        <v>233275</v>
      </c>
      <c r="EB207" s="229">
        <v>5.1999999999999998E-3</v>
      </c>
      <c r="EC207" s="229">
        <v>7.1900000000000006E-2</v>
      </c>
      <c r="ED207" s="228">
        <v>15.2</v>
      </c>
      <c r="EE207" s="229">
        <v>4.0000000000000001E-3</v>
      </c>
      <c r="EF207" s="230">
        <v>341670</v>
      </c>
      <c r="EG207" s="230">
        <v>513357</v>
      </c>
      <c r="EH207" s="229">
        <v>-0.33439999999999998</v>
      </c>
      <c r="EI207" s="229">
        <v>0.57650000000000001</v>
      </c>
      <c r="EJ207" s="231">
        <v>43969.83</v>
      </c>
      <c r="EK207" s="231">
        <v>26309.55</v>
      </c>
      <c r="EL207" s="231">
        <v>46494.5</v>
      </c>
      <c r="EM207" s="231">
        <v>4573</v>
      </c>
      <c r="EN207" s="231">
        <v>116773.88</v>
      </c>
      <c r="EO207" s="231">
        <v>111826.33</v>
      </c>
      <c r="EP207" s="231">
        <v>4947.55</v>
      </c>
      <c r="EQ207" s="229">
        <v>4.4200000000000003E-2</v>
      </c>
      <c r="ER207" s="231">
        <v>62003</v>
      </c>
      <c r="ES207" s="231">
        <v>40309</v>
      </c>
      <c r="ET207" s="231">
        <v>309331</v>
      </c>
      <c r="EU207" s="231">
        <v>32253708</v>
      </c>
      <c r="EV207" s="231">
        <v>411643</v>
      </c>
      <c r="EW207" s="231">
        <v>409885</v>
      </c>
      <c r="EX207" s="231">
        <v>1758</v>
      </c>
      <c r="EY207" s="229">
        <v>4.3E-3</v>
      </c>
      <c r="EZ207" s="229">
        <v>0.34210000000000002</v>
      </c>
      <c r="FA207" s="227" t="s">
        <v>566</v>
      </c>
      <c r="FB207" s="161">
        <f t="shared" si="5"/>
        <v>0</v>
      </c>
    </row>
    <row r="208" spans="1:158" ht="17.25" thickBot="1" x14ac:dyDescent="0.3">
      <c r="A208" s="226">
        <v>46129</v>
      </c>
      <c r="B208" s="227" t="s">
        <v>157</v>
      </c>
      <c r="C208" s="227" t="s">
        <v>302</v>
      </c>
      <c r="D208" s="228">
        <v>50</v>
      </c>
      <c r="E208" s="231">
        <v>11884</v>
      </c>
      <c r="F208" s="231">
        <v>11823</v>
      </c>
      <c r="G208" s="228">
        <v>61</v>
      </c>
      <c r="H208" s="229">
        <v>5.1999999999999998E-3</v>
      </c>
      <c r="I208" s="231">
        <v>11886</v>
      </c>
      <c r="J208" s="231">
        <v>11826</v>
      </c>
      <c r="K208" s="228">
        <v>60</v>
      </c>
      <c r="L208" s="229">
        <v>5.1000000000000004E-3</v>
      </c>
      <c r="M208" s="231">
        <v>11884</v>
      </c>
      <c r="N208" s="231">
        <v>11823</v>
      </c>
      <c r="O208" s="228">
        <v>61</v>
      </c>
      <c r="P208" s="229">
        <v>5.1999999999999998E-3</v>
      </c>
      <c r="Q208" s="231">
        <v>11950</v>
      </c>
      <c r="R208" s="231">
        <v>11888</v>
      </c>
      <c r="S208" s="228">
        <v>62</v>
      </c>
      <c r="T208" s="229">
        <v>5.1999999999999998E-3</v>
      </c>
      <c r="U208" s="231">
        <v>12016</v>
      </c>
      <c r="V208" s="231">
        <v>11952</v>
      </c>
      <c r="W208" s="228">
        <v>64</v>
      </c>
      <c r="X208" s="229">
        <v>5.4000000000000003E-3</v>
      </c>
      <c r="Y208" s="228">
        <v>-2</v>
      </c>
      <c r="Z208" s="228">
        <v>-3</v>
      </c>
      <c r="AA208" s="228">
        <v>1</v>
      </c>
      <c r="AB208" s="229">
        <v>-2.0000000000000001E-4</v>
      </c>
      <c r="AC208" s="228">
        <v>-2</v>
      </c>
      <c r="AD208" s="228">
        <v>-3</v>
      </c>
      <c r="AE208" s="228">
        <v>1</v>
      </c>
      <c r="AF208" s="229">
        <v>-2.0000000000000001E-4</v>
      </c>
      <c r="AG208" s="228">
        <v>64</v>
      </c>
      <c r="AH208" s="228">
        <v>62</v>
      </c>
      <c r="AI208" s="228">
        <v>2</v>
      </c>
      <c r="AJ208" s="229">
        <v>5.4000000000000003E-3</v>
      </c>
      <c r="AK208" s="228">
        <v>130</v>
      </c>
      <c r="AL208" s="228">
        <v>126</v>
      </c>
      <c r="AM208" s="228">
        <v>4</v>
      </c>
      <c r="AN208" s="229">
        <v>1.09E-2</v>
      </c>
      <c r="AO208" s="231">
        <v>11879.14</v>
      </c>
      <c r="AP208" s="231">
        <v>11946.35</v>
      </c>
      <c r="AQ208" s="228">
        <v>0</v>
      </c>
      <c r="AR208" s="230">
        <v>406300</v>
      </c>
      <c r="AS208" s="230">
        <v>372100</v>
      </c>
      <c r="AT208" s="230">
        <v>34200</v>
      </c>
      <c r="AU208" s="229">
        <v>9.1899999999999996E-2</v>
      </c>
      <c r="AV208" s="230">
        <v>303050</v>
      </c>
      <c r="AW208" s="230">
        <v>294700</v>
      </c>
      <c r="AX208" s="230">
        <v>8350</v>
      </c>
      <c r="AY208" s="229">
        <v>2.8299999999999999E-2</v>
      </c>
      <c r="AZ208" s="230">
        <v>12450</v>
      </c>
      <c r="BA208" s="230">
        <v>11800</v>
      </c>
      <c r="BB208" s="228">
        <v>650</v>
      </c>
      <c r="BC208" s="229">
        <v>5.5100000000000003E-2</v>
      </c>
      <c r="BD208" s="230">
        <v>90800</v>
      </c>
      <c r="BE208" s="230">
        <v>65600</v>
      </c>
      <c r="BF208" s="230">
        <v>25200</v>
      </c>
      <c r="BG208" s="229">
        <v>0.3841</v>
      </c>
      <c r="BH208" s="230">
        <v>841700</v>
      </c>
      <c r="BI208" s="230">
        <v>662600</v>
      </c>
      <c r="BJ208" s="230">
        <v>179100</v>
      </c>
      <c r="BK208" s="229">
        <v>0.27029999999999998</v>
      </c>
      <c r="BL208" s="230">
        <v>394100</v>
      </c>
      <c r="BM208" s="230">
        <v>334450</v>
      </c>
      <c r="BN208" s="230">
        <v>59650</v>
      </c>
      <c r="BO208" s="229">
        <v>0.1784</v>
      </c>
      <c r="BP208" s="230">
        <v>1642100</v>
      </c>
      <c r="BQ208" s="230">
        <v>1369150</v>
      </c>
      <c r="BR208" s="230">
        <v>272950</v>
      </c>
      <c r="BS208" s="229">
        <v>0.19939999999999999</v>
      </c>
      <c r="BT208" s="230">
        <v>170793</v>
      </c>
      <c r="BU208" s="230">
        <v>327301</v>
      </c>
      <c r="BV208" s="230">
        <v>-156508</v>
      </c>
      <c r="BW208" s="229">
        <v>-0.47820000000000001</v>
      </c>
      <c r="BX208" s="230">
        <v>2408850</v>
      </c>
      <c r="BY208" s="230">
        <v>2361350</v>
      </c>
      <c r="BZ208" s="230">
        <v>47500</v>
      </c>
      <c r="CA208" s="229">
        <v>2.01E-2</v>
      </c>
      <c r="CB208" s="230">
        <v>1961450</v>
      </c>
      <c r="CC208" s="230">
        <v>2008200</v>
      </c>
      <c r="CD208" s="230">
        <v>-46750</v>
      </c>
      <c r="CE208" s="229">
        <v>-2.3300000000000001E-2</v>
      </c>
      <c r="CF208" s="230">
        <v>206750</v>
      </c>
      <c r="CG208" s="230">
        <v>202650</v>
      </c>
      <c r="CH208" s="230">
        <v>4100</v>
      </c>
      <c r="CI208" s="229">
        <v>2.0199999999999999E-2</v>
      </c>
      <c r="CJ208" s="230">
        <v>240650</v>
      </c>
      <c r="CK208" s="230">
        <v>150500</v>
      </c>
      <c r="CL208" s="230">
        <v>90150</v>
      </c>
      <c r="CM208" s="229">
        <v>0.59899999999999998</v>
      </c>
      <c r="CN208" s="230">
        <v>696500</v>
      </c>
      <c r="CO208" s="230">
        <v>641550</v>
      </c>
      <c r="CP208" s="230">
        <v>54950</v>
      </c>
      <c r="CQ208" s="229">
        <v>8.5699999999999998E-2</v>
      </c>
      <c r="CR208" s="230">
        <v>429300</v>
      </c>
      <c r="CS208" s="230">
        <v>403600</v>
      </c>
      <c r="CT208" s="230">
        <v>25700</v>
      </c>
      <c r="CU208" s="229">
        <v>6.3700000000000007E-2</v>
      </c>
      <c r="CV208" s="230">
        <v>3534650</v>
      </c>
      <c r="CW208" s="230">
        <v>3406500</v>
      </c>
      <c r="CX208" s="230">
        <v>128150</v>
      </c>
      <c r="CY208" s="229">
        <v>3.7600000000000001E-2</v>
      </c>
      <c r="CZ208" s="228">
        <v>29.23</v>
      </c>
      <c r="DA208" s="228">
        <v>29.85</v>
      </c>
      <c r="DB208" s="228">
        <v>-0.62</v>
      </c>
      <c r="DC208" s="228">
        <v>-0.62</v>
      </c>
      <c r="DD208" s="228">
        <v>30.14</v>
      </c>
      <c r="DE208" s="228">
        <v>30.21</v>
      </c>
      <c r="DF208" s="228">
        <v>-0.91</v>
      </c>
      <c r="DG208" s="228">
        <v>-7.0000000000000007E-2</v>
      </c>
      <c r="DH208" s="228">
        <v>28.29</v>
      </c>
      <c r="DI208" s="228">
        <v>28.73</v>
      </c>
      <c r="DJ208" s="228">
        <v>-0.44</v>
      </c>
      <c r="DK208" s="228">
        <v>-0.44</v>
      </c>
      <c r="DL208" s="228">
        <v>31.22</v>
      </c>
      <c r="DM208" s="228">
        <v>32.07</v>
      </c>
      <c r="DN208" s="228">
        <v>-0.85</v>
      </c>
      <c r="DO208" s="228">
        <v>-0.85</v>
      </c>
      <c r="DP208" s="228">
        <v>0.62</v>
      </c>
      <c r="DQ208" s="228">
        <v>0.63</v>
      </c>
      <c r="DR208" s="228">
        <v>-0.01</v>
      </c>
      <c r="DS208" s="229">
        <v>-1.5900000000000001E-2</v>
      </c>
      <c r="DT208" s="231">
        <v>11800</v>
      </c>
      <c r="DU208" s="231">
        <v>11500</v>
      </c>
      <c r="DV208" s="228">
        <v>0.47</v>
      </c>
      <c r="DW208" s="228">
        <v>0.5</v>
      </c>
      <c r="DX208" s="228">
        <v>-0.03</v>
      </c>
      <c r="DY208" s="229">
        <v>-0.06</v>
      </c>
      <c r="DZ208" s="229">
        <v>0.1857</v>
      </c>
      <c r="EA208" s="230">
        <v>353150</v>
      </c>
      <c r="EB208" s="229">
        <v>5.5999999999999999E-3</v>
      </c>
      <c r="EC208" s="229">
        <v>0.1857</v>
      </c>
      <c r="ED208" s="228">
        <v>67.209999999999994</v>
      </c>
      <c r="EE208" s="229">
        <v>5.7000000000000002E-3</v>
      </c>
      <c r="EF208" s="230">
        <v>93359</v>
      </c>
      <c r="EG208" s="230">
        <v>188772</v>
      </c>
      <c r="EH208" s="229">
        <v>-0.50539999999999996</v>
      </c>
      <c r="EI208" s="229">
        <v>0.54659999999999997</v>
      </c>
      <c r="EJ208" s="231">
        <v>103425.19</v>
      </c>
      <c r="EK208" s="231">
        <v>43654.71</v>
      </c>
      <c r="EL208" s="231">
        <v>48406.13</v>
      </c>
      <c r="EM208" s="231">
        <v>4856</v>
      </c>
      <c r="EN208" s="231">
        <v>195486.03</v>
      </c>
      <c r="EO208" s="231">
        <v>163010.96</v>
      </c>
      <c r="EP208" s="231">
        <v>32475.07</v>
      </c>
      <c r="EQ208" s="229">
        <v>0.19919999999999999</v>
      </c>
      <c r="ER208" s="231">
        <v>83151</v>
      </c>
      <c r="ES208" s="231">
        <v>46623</v>
      </c>
      <c r="ET208" s="231">
        <v>286722</v>
      </c>
      <c r="EU208" s="231">
        <v>12994504</v>
      </c>
      <c r="EV208" s="231">
        <v>416496</v>
      </c>
      <c r="EW208" s="231">
        <v>399459</v>
      </c>
      <c r="EX208" s="231">
        <v>17037</v>
      </c>
      <c r="EY208" s="229">
        <v>4.2700000000000002E-2</v>
      </c>
      <c r="EZ208" s="229">
        <v>0.27200000000000002</v>
      </c>
      <c r="FA208" s="227" t="s">
        <v>555</v>
      </c>
      <c r="FB208" s="161">
        <f t="shared" si="5"/>
        <v>0</v>
      </c>
    </row>
    <row r="209" spans="1:158" ht="17.25" thickBot="1" x14ac:dyDescent="0.3">
      <c r="A209" s="226">
        <v>46129</v>
      </c>
      <c r="B209" s="227" t="s">
        <v>172</v>
      </c>
      <c r="C209" s="227" t="s">
        <v>592</v>
      </c>
      <c r="D209" s="228">
        <v>4425</v>
      </c>
      <c r="E209" s="228">
        <v>188.51</v>
      </c>
      <c r="F209" s="228">
        <v>188.18</v>
      </c>
      <c r="G209" s="228">
        <v>0.33</v>
      </c>
      <c r="H209" s="229">
        <v>1.8E-3</v>
      </c>
      <c r="I209" s="228">
        <v>188.91</v>
      </c>
      <c r="J209" s="228">
        <v>188.49</v>
      </c>
      <c r="K209" s="228">
        <v>0.42</v>
      </c>
      <c r="L209" s="229">
        <v>2.2000000000000001E-3</v>
      </c>
      <c r="M209" s="228">
        <v>188.51</v>
      </c>
      <c r="N209" s="228">
        <v>188.18</v>
      </c>
      <c r="O209" s="228">
        <v>0.33</v>
      </c>
      <c r="P209" s="229">
        <v>1.8E-3</v>
      </c>
      <c r="Q209" s="228">
        <v>187.05</v>
      </c>
      <c r="R209" s="228">
        <v>186.86</v>
      </c>
      <c r="S209" s="228">
        <v>0.19</v>
      </c>
      <c r="T209" s="229">
        <v>1E-3</v>
      </c>
      <c r="U209" s="228">
        <v>185.81</v>
      </c>
      <c r="V209" s="228">
        <v>186.5</v>
      </c>
      <c r="W209" s="228">
        <v>-0.69</v>
      </c>
      <c r="X209" s="229">
        <v>-3.7000000000000002E-3</v>
      </c>
      <c r="Y209" s="228">
        <v>-0.4</v>
      </c>
      <c r="Z209" s="228">
        <v>-0.31</v>
      </c>
      <c r="AA209" s="228">
        <v>-0.09</v>
      </c>
      <c r="AB209" s="229">
        <v>-2.0999999999999999E-3</v>
      </c>
      <c r="AC209" s="228">
        <v>-0.4</v>
      </c>
      <c r="AD209" s="228">
        <v>-0.31</v>
      </c>
      <c r="AE209" s="228">
        <v>-0.09</v>
      </c>
      <c r="AF209" s="229">
        <v>-2.0999999999999999E-3</v>
      </c>
      <c r="AG209" s="228">
        <v>-1.86</v>
      </c>
      <c r="AH209" s="228">
        <v>-1.63</v>
      </c>
      <c r="AI209" s="228">
        <v>-0.23</v>
      </c>
      <c r="AJ209" s="229">
        <v>-9.7999999999999997E-3</v>
      </c>
      <c r="AK209" s="228">
        <v>-3.1</v>
      </c>
      <c r="AL209" s="228">
        <v>-1.99</v>
      </c>
      <c r="AM209" s="228">
        <v>-1.1100000000000001</v>
      </c>
      <c r="AN209" s="229">
        <v>-1.6400000000000001E-2</v>
      </c>
      <c r="AO209" s="228">
        <v>187.72</v>
      </c>
      <c r="AP209" s="228">
        <v>186.16</v>
      </c>
      <c r="AQ209" s="228">
        <v>0</v>
      </c>
      <c r="AR209" s="230">
        <v>17452200</v>
      </c>
      <c r="AS209" s="230">
        <v>22018800</v>
      </c>
      <c r="AT209" s="230">
        <v>-4566600</v>
      </c>
      <c r="AU209" s="229">
        <v>-0.2074</v>
      </c>
      <c r="AV209" s="230">
        <v>14288325</v>
      </c>
      <c r="AW209" s="230">
        <v>16341525</v>
      </c>
      <c r="AX209" s="230">
        <v>-2053200</v>
      </c>
      <c r="AY209" s="229">
        <v>-0.12559999999999999</v>
      </c>
      <c r="AZ209" s="230">
        <v>3084225</v>
      </c>
      <c r="BA209" s="230">
        <v>5500275</v>
      </c>
      <c r="BB209" s="230">
        <v>-2416050</v>
      </c>
      <c r="BC209" s="229">
        <v>-0.43930000000000002</v>
      </c>
      <c r="BD209" s="230">
        <v>79650</v>
      </c>
      <c r="BE209" s="230">
        <v>177000</v>
      </c>
      <c r="BF209" s="230">
        <v>-97350</v>
      </c>
      <c r="BG209" s="229">
        <v>-0.55000000000000004</v>
      </c>
      <c r="BH209" s="230">
        <v>24917175</v>
      </c>
      <c r="BI209" s="230">
        <v>28390800</v>
      </c>
      <c r="BJ209" s="230">
        <v>-3473625</v>
      </c>
      <c r="BK209" s="229">
        <v>-0.12239999999999999</v>
      </c>
      <c r="BL209" s="230">
        <v>14027250</v>
      </c>
      <c r="BM209" s="230">
        <v>18067275</v>
      </c>
      <c r="BN209" s="230">
        <v>-4040025</v>
      </c>
      <c r="BO209" s="229">
        <v>-0.22359999999999999</v>
      </c>
      <c r="BP209" s="230">
        <v>56396625</v>
      </c>
      <c r="BQ209" s="230">
        <v>68476875</v>
      </c>
      <c r="BR209" s="230">
        <v>-12080250</v>
      </c>
      <c r="BS209" s="229">
        <v>-0.1764</v>
      </c>
      <c r="BT209" s="230">
        <v>9177554</v>
      </c>
      <c r="BU209" s="230">
        <v>12264499</v>
      </c>
      <c r="BV209" s="230">
        <v>-3086945</v>
      </c>
      <c r="BW209" s="229">
        <v>-0.25169999999999998</v>
      </c>
      <c r="BX209" s="230">
        <v>114660600</v>
      </c>
      <c r="BY209" s="230">
        <v>113341950</v>
      </c>
      <c r="BZ209" s="230">
        <v>1318650</v>
      </c>
      <c r="CA209" s="229">
        <v>1.1599999999999999E-2</v>
      </c>
      <c r="CB209" s="230">
        <v>97013700</v>
      </c>
      <c r="CC209" s="230">
        <v>97137600</v>
      </c>
      <c r="CD209" s="230">
        <v>-123900</v>
      </c>
      <c r="CE209" s="229">
        <v>-1.2999999999999999E-3</v>
      </c>
      <c r="CF209" s="230">
        <v>16770750</v>
      </c>
      <c r="CG209" s="230">
        <v>15332625</v>
      </c>
      <c r="CH209" s="230">
        <v>1438125</v>
      </c>
      <c r="CI209" s="229">
        <v>9.3799999999999994E-2</v>
      </c>
      <c r="CJ209" s="230">
        <v>876150</v>
      </c>
      <c r="CK209" s="230">
        <v>871725</v>
      </c>
      <c r="CL209" s="230">
        <v>4425</v>
      </c>
      <c r="CM209" s="229">
        <v>5.1000000000000004E-3</v>
      </c>
      <c r="CN209" s="230">
        <v>36028350</v>
      </c>
      <c r="CO209" s="230">
        <v>34430925</v>
      </c>
      <c r="CP209" s="230">
        <v>1597425</v>
      </c>
      <c r="CQ209" s="229">
        <v>4.6399999999999997E-2</v>
      </c>
      <c r="CR209" s="230">
        <v>28426200</v>
      </c>
      <c r="CS209" s="230">
        <v>27673950</v>
      </c>
      <c r="CT209" s="230">
        <v>752250</v>
      </c>
      <c r="CU209" s="229">
        <v>2.7199999999999998E-2</v>
      </c>
      <c r="CV209" s="230">
        <v>179115150</v>
      </c>
      <c r="CW209" s="230">
        <v>175446825</v>
      </c>
      <c r="CX209" s="230">
        <v>3668325</v>
      </c>
      <c r="CY209" s="229">
        <v>2.0899999999999998E-2</v>
      </c>
      <c r="CZ209" s="228">
        <v>38.69</v>
      </c>
      <c r="DA209" s="228">
        <v>39.47</v>
      </c>
      <c r="DB209" s="228">
        <v>-0.78</v>
      </c>
      <c r="DC209" s="228">
        <v>-0.78</v>
      </c>
      <c r="DD209" s="228">
        <v>44.1</v>
      </c>
      <c r="DE209" s="228">
        <v>44.21</v>
      </c>
      <c r="DF209" s="228">
        <v>-5.41</v>
      </c>
      <c r="DG209" s="228">
        <v>-0.11</v>
      </c>
      <c r="DH209" s="228">
        <v>37.85</v>
      </c>
      <c r="DI209" s="228">
        <v>38.880000000000003</v>
      </c>
      <c r="DJ209" s="228">
        <v>-1.03</v>
      </c>
      <c r="DK209" s="228">
        <v>-1.03</v>
      </c>
      <c r="DL209" s="228">
        <v>40.19</v>
      </c>
      <c r="DM209" s="228">
        <v>40.39</v>
      </c>
      <c r="DN209" s="228">
        <v>-0.2</v>
      </c>
      <c r="DO209" s="228">
        <v>-0.2</v>
      </c>
      <c r="DP209" s="228">
        <v>0.79</v>
      </c>
      <c r="DQ209" s="228">
        <v>0.8</v>
      </c>
      <c r="DR209" s="228">
        <v>-0.01</v>
      </c>
      <c r="DS209" s="229">
        <v>-1.2500000000000001E-2</v>
      </c>
      <c r="DT209" s="228">
        <v>190</v>
      </c>
      <c r="DU209" s="228">
        <v>180</v>
      </c>
      <c r="DV209" s="228">
        <v>0.56000000000000005</v>
      </c>
      <c r="DW209" s="228">
        <v>0.64</v>
      </c>
      <c r="DX209" s="228">
        <v>-0.08</v>
      </c>
      <c r="DY209" s="229">
        <v>-0.125</v>
      </c>
      <c r="DZ209" s="229">
        <v>0.15390000000000001</v>
      </c>
      <c r="EA209" s="230">
        <v>16204350</v>
      </c>
      <c r="EB209" s="229">
        <v>-7.7000000000000002E-3</v>
      </c>
      <c r="EC209" s="229">
        <v>0.15390000000000001</v>
      </c>
      <c r="ED209" s="228">
        <v>-1.56</v>
      </c>
      <c r="EE209" s="229">
        <v>-8.3000000000000001E-3</v>
      </c>
      <c r="EF209" s="230">
        <v>3034548</v>
      </c>
      <c r="EG209" s="230">
        <v>4689906</v>
      </c>
      <c r="EH209" s="229">
        <v>-0.35299999999999998</v>
      </c>
      <c r="EI209" s="229">
        <v>0.3306</v>
      </c>
      <c r="EJ209" s="231">
        <v>48893.24</v>
      </c>
      <c r="EK209" s="231">
        <v>25866.799999999999</v>
      </c>
      <c r="EL209" s="231">
        <v>32711.63</v>
      </c>
      <c r="EM209" s="231">
        <v>5570</v>
      </c>
      <c r="EN209" s="231">
        <v>107471.67</v>
      </c>
      <c r="EO209" s="231">
        <v>130994.77</v>
      </c>
      <c r="EP209" s="231">
        <v>-23523.1</v>
      </c>
      <c r="EQ209" s="229">
        <v>-0.17960000000000001</v>
      </c>
      <c r="ER209" s="231">
        <v>68982</v>
      </c>
      <c r="ES209" s="231">
        <v>49750</v>
      </c>
      <c r="ET209" s="231">
        <v>215878</v>
      </c>
      <c r="EU209" s="231">
        <v>289041713</v>
      </c>
      <c r="EV209" s="231">
        <v>334610</v>
      </c>
      <c r="EW209" s="231">
        <v>327204</v>
      </c>
      <c r="EX209" s="231">
        <v>7406</v>
      </c>
      <c r="EY209" s="229">
        <v>2.2599999999999999E-2</v>
      </c>
      <c r="EZ209" s="229">
        <v>0.61970000000000003</v>
      </c>
      <c r="FA209" s="227" t="s">
        <v>555</v>
      </c>
      <c r="FB209" s="161">
        <f t="shared" si="5"/>
        <v>0</v>
      </c>
    </row>
    <row r="210" spans="1:158" ht="17.25" thickBot="1" x14ac:dyDescent="0.3">
      <c r="A210" s="226">
        <v>46129</v>
      </c>
      <c r="B210" s="227" t="s">
        <v>168</v>
      </c>
      <c r="C210" s="227" t="s">
        <v>568</v>
      </c>
      <c r="D210" s="228">
        <v>400</v>
      </c>
      <c r="E210" s="231">
        <v>1305.7</v>
      </c>
      <c r="F210" s="231">
        <v>1257.7</v>
      </c>
      <c r="G210" s="228">
        <v>48</v>
      </c>
      <c r="H210" s="229">
        <v>3.8199999999999998E-2</v>
      </c>
      <c r="I210" s="231">
        <v>1302.9000000000001</v>
      </c>
      <c r="J210" s="231">
        <v>1254.5</v>
      </c>
      <c r="K210" s="228">
        <v>48.4</v>
      </c>
      <c r="L210" s="229">
        <v>3.8600000000000002E-2</v>
      </c>
      <c r="M210" s="231">
        <v>1305.7</v>
      </c>
      <c r="N210" s="231">
        <v>1257.7</v>
      </c>
      <c r="O210" s="228">
        <v>48</v>
      </c>
      <c r="P210" s="229">
        <v>3.8199999999999998E-2</v>
      </c>
      <c r="Q210" s="231">
        <v>1313.2</v>
      </c>
      <c r="R210" s="231">
        <v>1264.4000000000001</v>
      </c>
      <c r="S210" s="228">
        <v>48.8</v>
      </c>
      <c r="T210" s="229">
        <v>3.8600000000000002E-2</v>
      </c>
      <c r="U210" s="231">
        <v>1320.9</v>
      </c>
      <c r="V210" s="231">
        <v>1270.8</v>
      </c>
      <c r="W210" s="228">
        <v>50.1</v>
      </c>
      <c r="X210" s="229">
        <v>3.9399999999999998E-2</v>
      </c>
      <c r="Y210" s="228">
        <v>2.8</v>
      </c>
      <c r="Z210" s="228">
        <v>3.2</v>
      </c>
      <c r="AA210" s="228">
        <v>-0.4</v>
      </c>
      <c r="AB210" s="229">
        <v>2.0999999999999999E-3</v>
      </c>
      <c r="AC210" s="228">
        <v>2.8</v>
      </c>
      <c r="AD210" s="228">
        <v>3.2</v>
      </c>
      <c r="AE210" s="228">
        <v>-0.4</v>
      </c>
      <c r="AF210" s="229">
        <v>2.0999999999999999E-3</v>
      </c>
      <c r="AG210" s="228">
        <v>10.3</v>
      </c>
      <c r="AH210" s="228">
        <v>9.9</v>
      </c>
      <c r="AI210" s="228">
        <v>0.4</v>
      </c>
      <c r="AJ210" s="229">
        <v>7.9000000000000008E-3</v>
      </c>
      <c r="AK210" s="228">
        <v>18</v>
      </c>
      <c r="AL210" s="228">
        <v>16.3</v>
      </c>
      <c r="AM210" s="228">
        <v>1.7</v>
      </c>
      <c r="AN210" s="229">
        <v>1.38E-2</v>
      </c>
      <c r="AO210" s="231">
        <v>1293.01</v>
      </c>
      <c r="AP210" s="231">
        <v>1299.6500000000001</v>
      </c>
      <c r="AQ210" s="228">
        <v>0</v>
      </c>
      <c r="AR210" s="230">
        <v>3193600</v>
      </c>
      <c r="AS210" s="230">
        <v>1684000</v>
      </c>
      <c r="AT210" s="230">
        <v>1509600</v>
      </c>
      <c r="AU210" s="229">
        <v>0.89639999999999997</v>
      </c>
      <c r="AV210" s="230">
        <v>2729200</v>
      </c>
      <c r="AW210" s="230">
        <v>1523600</v>
      </c>
      <c r="AX210" s="230">
        <v>1205600</v>
      </c>
      <c r="AY210" s="229">
        <v>0.7913</v>
      </c>
      <c r="AZ210" s="230">
        <v>436400</v>
      </c>
      <c r="BA210" s="230">
        <v>149200</v>
      </c>
      <c r="BB210" s="230">
        <v>287200</v>
      </c>
      <c r="BC210" s="229">
        <v>1.9249000000000001</v>
      </c>
      <c r="BD210" s="230">
        <v>28000</v>
      </c>
      <c r="BE210" s="230">
        <v>11200</v>
      </c>
      <c r="BF210" s="230">
        <v>16800</v>
      </c>
      <c r="BG210" s="229">
        <v>1.5</v>
      </c>
      <c r="BH210" s="230">
        <v>15045600</v>
      </c>
      <c r="BI210" s="230">
        <v>4093200</v>
      </c>
      <c r="BJ210" s="230">
        <v>10952400</v>
      </c>
      <c r="BK210" s="229">
        <v>2.6758000000000002</v>
      </c>
      <c r="BL210" s="230">
        <v>4109200</v>
      </c>
      <c r="BM210" s="230">
        <v>986000</v>
      </c>
      <c r="BN210" s="230">
        <v>3123200</v>
      </c>
      <c r="BO210" s="229">
        <v>3.1675</v>
      </c>
      <c r="BP210" s="230">
        <v>22348400</v>
      </c>
      <c r="BQ210" s="230">
        <v>6763200</v>
      </c>
      <c r="BR210" s="230">
        <v>15585200</v>
      </c>
      <c r="BS210" s="229">
        <v>2.3043999999999998</v>
      </c>
      <c r="BT210" s="230">
        <v>2994254</v>
      </c>
      <c r="BU210" s="230">
        <v>1762641</v>
      </c>
      <c r="BV210" s="230">
        <v>1231613</v>
      </c>
      <c r="BW210" s="229">
        <v>0.69869999999999999</v>
      </c>
      <c r="BX210" s="230">
        <v>12946800</v>
      </c>
      <c r="BY210" s="230">
        <v>13281600</v>
      </c>
      <c r="BZ210" s="230">
        <v>-334800</v>
      </c>
      <c r="CA210" s="229">
        <v>-2.52E-2</v>
      </c>
      <c r="CB210" s="230">
        <v>12375200</v>
      </c>
      <c r="CC210" s="230">
        <v>12871200</v>
      </c>
      <c r="CD210" s="230">
        <v>-496000</v>
      </c>
      <c r="CE210" s="229">
        <v>-3.85E-2</v>
      </c>
      <c r="CF210" s="230">
        <v>540400</v>
      </c>
      <c r="CG210" s="230">
        <v>382800</v>
      </c>
      <c r="CH210" s="230">
        <v>157600</v>
      </c>
      <c r="CI210" s="229">
        <v>0.41170000000000001</v>
      </c>
      <c r="CJ210" s="230">
        <v>31200</v>
      </c>
      <c r="CK210" s="230">
        <v>27600</v>
      </c>
      <c r="CL210" s="230">
        <v>3600</v>
      </c>
      <c r="CM210" s="229">
        <v>0.13039999999999999</v>
      </c>
      <c r="CN210" s="230">
        <v>4622000</v>
      </c>
      <c r="CO210" s="230">
        <v>4682400</v>
      </c>
      <c r="CP210" s="230">
        <v>-60400</v>
      </c>
      <c r="CQ210" s="229">
        <v>-1.29E-2</v>
      </c>
      <c r="CR210" s="230">
        <v>3025600</v>
      </c>
      <c r="CS210" s="230">
        <v>2638000</v>
      </c>
      <c r="CT210" s="230">
        <v>387600</v>
      </c>
      <c r="CU210" s="229">
        <v>0.1469</v>
      </c>
      <c r="CV210" s="230">
        <v>20594400</v>
      </c>
      <c r="CW210" s="230">
        <v>20602000</v>
      </c>
      <c r="CX210" s="230">
        <v>-7600</v>
      </c>
      <c r="CY210" s="229">
        <v>-4.0000000000000002E-4</v>
      </c>
      <c r="CZ210" s="228">
        <v>28.43</v>
      </c>
      <c r="DA210" s="228">
        <v>30.47</v>
      </c>
      <c r="DB210" s="228">
        <v>-2.04</v>
      </c>
      <c r="DC210" s="228">
        <v>-2.04</v>
      </c>
      <c r="DD210" s="228">
        <v>30.07</v>
      </c>
      <c r="DE210" s="228">
        <v>29.71</v>
      </c>
      <c r="DF210" s="228">
        <v>-1.64</v>
      </c>
      <c r="DG210" s="228">
        <v>0.36</v>
      </c>
      <c r="DH210" s="228">
        <v>28.27</v>
      </c>
      <c r="DI210" s="228">
        <v>30.66</v>
      </c>
      <c r="DJ210" s="228">
        <v>-2.39</v>
      </c>
      <c r="DK210" s="228">
        <v>-2.39</v>
      </c>
      <c r="DL210" s="228">
        <v>29.03</v>
      </c>
      <c r="DM210" s="228">
        <v>29.68</v>
      </c>
      <c r="DN210" s="228">
        <v>-0.65</v>
      </c>
      <c r="DO210" s="228">
        <v>-0.65</v>
      </c>
      <c r="DP210" s="228">
        <v>0.65</v>
      </c>
      <c r="DQ210" s="228">
        <v>0.56000000000000005</v>
      </c>
      <c r="DR210" s="228">
        <v>0.09</v>
      </c>
      <c r="DS210" s="229">
        <v>0.16070000000000001</v>
      </c>
      <c r="DT210" s="231">
        <v>1500</v>
      </c>
      <c r="DU210" s="231">
        <v>1300</v>
      </c>
      <c r="DV210" s="228">
        <v>0.27</v>
      </c>
      <c r="DW210" s="228">
        <v>0.24</v>
      </c>
      <c r="DX210" s="228">
        <v>0.03</v>
      </c>
      <c r="DY210" s="229">
        <v>0.125</v>
      </c>
      <c r="DZ210" s="229">
        <v>4.41E-2</v>
      </c>
      <c r="EA210" s="230">
        <v>410400</v>
      </c>
      <c r="EB210" s="229">
        <v>5.7000000000000002E-3</v>
      </c>
      <c r="EC210" s="229">
        <v>4.41E-2</v>
      </c>
      <c r="ED210" s="228">
        <v>6.64</v>
      </c>
      <c r="EE210" s="229">
        <v>5.1000000000000004E-3</v>
      </c>
      <c r="EF210" s="230">
        <v>1641825</v>
      </c>
      <c r="EG210" s="230">
        <v>1028764</v>
      </c>
      <c r="EH210" s="229">
        <v>0.59589999999999999</v>
      </c>
      <c r="EI210" s="229">
        <v>0.54830000000000001</v>
      </c>
      <c r="EJ210" s="231">
        <v>201901.34</v>
      </c>
      <c r="EK210" s="231">
        <v>52564.15</v>
      </c>
      <c r="EL210" s="231">
        <v>41326.39</v>
      </c>
      <c r="EM210" s="231">
        <v>3371</v>
      </c>
      <c r="EN210" s="231">
        <v>295791.88</v>
      </c>
      <c r="EO210" s="231">
        <v>87751.66</v>
      </c>
      <c r="EP210" s="231">
        <v>208040.22</v>
      </c>
      <c r="EQ210" s="229">
        <v>2.3708</v>
      </c>
      <c r="ER210" s="231">
        <v>62119</v>
      </c>
      <c r="ES210" s="231">
        <v>38511</v>
      </c>
      <c r="ET210" s="231">
        <v>169092</v>
      </c>
      <c r="EU210" s="231">
        <v>38847259</v>
      </c>
      <c r="EV210" s="231">
        <v>269721</v>
      </c>
      <c r="EW210" s="231">
        <v>262992</v>
      </c>
      <c r="EX210" s="231">
        <v>6729</v>
      </c>
      <c r="EY210" s="229">
        <v>2.5600000000000001E-2</v>
      </c>
      <c r="EZ210" s="229">
        <v>0.53010000000000002</v>
      </c>
      <c r="FA210" s="227" t="s">
        <v>693</v>
      </c>
      <c r="FB210" s="161">
        <f t="shared" si="5"/>
        <v>0</v>
      </c>
    </row>
    <row r="211" spans="1:158" ht="17.25" thickBot="1" x14ac:dyDescent="0.3">
      <c r="A211" s="226">
        <v>46129</v>
      </c>
      <c r="B211" s="227" t="s">
        <v>162</v>
      </c>
      <c r="C211" s="227" t="s">
        <v>672</v>
      </c>
      <c r="D211" s="228">
        <v>550</v>
      </c>
      <c r="E211" s="231">
        <v>1098.0999999999999</v>
      </c>
      <c r="F211" s="231">
        <v>1109.0999999999999</v>
      </c>
      <c r="G211" s="228">
        <v>-11</v>
      </c>
      <c r="H211" s="229">
        <v>-9.9000000000000008E-3</v>
      </c>
      <c r="I211" s="231">
        <v>1097.8</v>
      </c>
      <c r="J211" s="231">
        <v>1109.4000000000001</v>
      </c>
      <c r="K211" s="228">
        <v>-11.6</v>
      </c>
      <c r="L211" s="229">
        <v>-1.0500000000000001E-2</v>
      </c>
      <c r="M211" s="231">
        <v>1098.0999999999999</v>
      </c>
      <c r="N211" s="231">
        <v>1109.0999999999999</v>
      </c>
      <c r="O211" s="228">
        <v>-11</v>
      </c>
      <c r="P211" s="229">
        <v>-9.9000000000000008E-3</v>
      </c>
      <c r="Q211" s="231">
        <v>1105</v>
      </c>
      <c r="R211" s="231">
        <v>1114.4000000000001</v>
      </c>
      <c r="S211" s="228">
        <v>-9.4</v>
      </c>
      <c r="T211" s="229">
        <v>-8.3999999999999995E-3</v>
      </c>
      <c r="U211" s="231">
        <v>1109</v>
      </c>
      <c r="V211" s="231">
        <v>1117.8</v>
      </c>
      <c r="W211" s="228">
        <v>-8.8000000000000007</v>
      </c>
      <c r="X211" s="229">
        <v>-7.9000000000000008E-3</v>
      </c>
      <c r="Y211" s="228">
        <v>0.3</v>
      </c>
      <c r="Z211" s="228">
        <v>-0.3</v>
      </c>
      <c r="AA211" s="228">
        <v>0.6</v>
      </c>
      <c r="AB211" s="229">
        <v>2.9999999999999997E-4</v>
      </c>
      <c r="AC211" s="228">
        <v>0.3</v>
      </c>
      <c r="AD211" s="228">
        <v>-0.3</v>
      </c>
      <c r="AE211" s="228">
        <v>0.6</v>
      </c>
      <c r="AF211" s="229">
        <v>2.9999999999999997E-4</v>
      </c>
      <c r="AG211" s="228">
        <v>7.2</v>
      </c>
      <c r="AH211" s="228">
        <v>5</v>
      </c>
      <c r="AI211" s="228">
        <v>2.2000000000000002</v>
      </c>
      <c r="AJ211" s="229">
        <v>6.6E-3</v>
      </c>
      <c r="AK211" s="228">
        <v>11.2</v>
      </c>
      <c r="AL211" s="228">
        <v>8.4</v>
      </c>
      <c r="AM211" s="228">
        <v>2.8</v>
      </c>
      <c r="AN211" s="229">
        <v>1.0200000000000001E-2</v>
      </c>
      <c r="AO211" s="231">
        <v>1098.0999999999999</v>
      </c>
      <c r="AP211" s="231">
        <v>1103.1300000000001</v>
      </c>
      <c r="AQ211" s="228">
        <v>0</v>
      </c>
      <c r="AR211" s="230">
        <v>465850</v>
      </c>
      <c r="AS211" s="230">
        <v>646800</v>
      </c>
      <c r="AT211" s="230">
        <v>-180950</v>
      </c>
      <c r="AU211" s="229">
        <v>-0.27979999999999999</v>
      </c>
      <c r="AV211" s="230">
        <v>399850</v>
      </c>
      <c r="AW211" s="230">
        <v>616000</v>
      </c>
      <c r="AX211" s="230">
        <v>-216150</v>
      </c>
      <c r="AY211" s="229">
        <v>-0.35089999999999999</v>
      </c>
      <c r="AZ211" s="230">
        <v>62700</v>
      </c>
      <c r="BA211" s="230">
        <v>27500</v>
      </c>
      <c r="BB211" s="230">
        <v>35200</v>
      </c>
      <c r="BC211" s="229">
        <v>1.28</v>
      </c>
      <c r="BD211" s="230">
        <v>3300</v>
      </c>
      <c r="BE211" s="230">
        <v>3300</v>
      </c>
      <c r="BF211" s="228">
        <v>0</v>
      </c>
      <c r="BG211" s="229">
        <v>0</v>
      </c>
      <c r="BH211" s="230">
        <v>1283150</v>
      </c>
      <c r="BI211" s="230">
        <v>849200</v>
      </c>
      <c r="BJ211" s="230">
        <v>433950</v>
      </c>
      <c r="BK211" s="229">
        <v>0.51100000000000001</v>
      </c>
      <c r="BL211" s="230">
        <v>286000</v>
      </c>
      <c r="BM211" s="230">
        <v>188100</v>
      </c>
      <c r="BN211" s="230">
        <v>97900</v>
      </c>
      <c r="BO211" s="229">
        <v>0.52049999999999996</v>
      </c>
      <c r="BP211" s="230">
        <v>2035000</v>
      </c>
      <c r="BQ211" s="230">
        <v>1684100</v>
      </c>
      <c r="BR211" s="230">
        <v>350900</v>
      </c>
      <c r="BS211" s="229">
        <v>0.2084</v>
      </c>
      <c r="BT211" s="230">
        <v>1036271</v>
      </c>
      <c r="BU211" s="230">
        <v>1257346</v>
      </c>
      <c r="BV211" s="230">
        <v>-221075</v>
      </c>
      <c r="BW211" s="229">
        <v>-0.17580000000000001</v>
      </c>
      <c r="BX211" s="230">
        <v>4633750</v>
      </c>
      <c r="BY211" s="230">
        <v>4589200</v>
      </c>
      <c r="BZ211" s="230">
        <v>44550</v>
      </c>
      <c r="CA211" s="229">
        <v>9.7000000000000003E-3</v>
      </c>
      <c r="CB211" s="230">
        <v>4539700</v>
      </c>
      <c r="CC211" s="230">
        <v>4522650</v>
      </c>
      <c r="CD211" s="230">
        <v>17050</v>
      </c>
      <c r="CE211" s="229">
        <v>3.8E-3</v>
      </c>
      <c r="CF211" s="230">
        <v>83600</v>
      </c>
      <c r="CG211" s="230">
        <v>57750</v>
      </c>
      <c r="CH211" s="230">
        <v>25850</v>
      </c>
      <c r="CI211" s="229">
        <v>0.4476</v>
      </c>
      <c r="CJ211" s="230">
        <v>10450</v>
      </c>
      <c r="CK211" s="230">
        <v>8800</v>
      </c>
      <c r="CL211" s="230">
        <v>1650</v>
      </c>
      <c r="CM211" s="229">
        <v>0.1875</v>
      </c>
      <c r="CN211" s="230">
        <v>1764950</v>
      </c>
      <c r="CO211" s="230">
        <v>1649450</v>
      </c>
      <c r="CP211" s="230">
        <v>115500</v>
      </c>
      <c r="CQ211" s="229">
        <v>7.0000000000000007E-2</v>
      </c>
      <c r="CR211" s="230">
        <v>716650</v>
      </c>
      <c r="CS211" s="230">
        <v>691900</v>
      </c>
      <c r="CT211" s="230">
        <v>24750</v>
      </c>
      <c r="CU211" s="229">
        <v>3.5799999999999998E-2</v>
      </c>
      <c r="CV211" s="230">
        <v>7115350</v>
      </c>
      <c r="CW211" s="230">
        <v>6930550</v>
      </c>
      <c r="CX211" s="230">
        <v>184800</v>
      </c>
      <c r="CY211" s="229">
        <v>2.6700000000000002E-2</v>
      </c>
      <c r="CZ211" s="228">
        <v>36.51</v>
      </c>
      <c r="DA211" s="228">
        <v>36.76</v>
      </c>
      <c r="DB211" s="228">
        <v>-0.25</v>
      </c>
      <c r="DC211" s="228">
        <v>-0.25</v>
      </c>
      <c r="DD211" s="228">
        <v>42.96</v>
      </c>
      <c r="DE211" s="228">
        <v>43.04</v>
      </c>
      <c r="DF211" s="228">
        <v>-6.45</v>
      </c>
      <c r="DG211" s="228">
        <v>-0.08</v>
      </c>
      <c r="DH211" s="228">
        <v>35.64</v>
      </c>
      <c r="DI211" s="228">
        <v>35.39</v>
      </c>
      <c r="DJ211" s="228">
        <v>0.25</v>
      </c>
      <c r="DK211" s="228">
        <v>0.25</v>
      </c>
      <c r="DL211" s="228">
        <v>40.42</v>
      </c>
      <c r="DM211" s="228">
        <v>42.98</v>
      </c>
      <c r="DN211" s="228">
        <v>-2.56</v>
      </c>
      <c r="DO211" s="228">
        <v>-2.56</v>
      </c>
      <c r="DP211" s="228">
        <v>0.41</v>
      </c>
      <c r="DQ211" s="228">
        <v>0.42</v>
      </c>
      <c r="DR211" s="228">
        <v>-0.01</v>
      </c>
      <c r="DS211" s="229">
        <v>-2.3800000000000002E-2</v>
      </c>
      <c r="DT211" s="231">
        <v>1200</v>
      </c>
      <c r="DU211" s="231">
        <v>1100</v>
      </c>
      <c r="DV211" s="228">
        <v>0.22</v>
      </c>
      <c r="DW211" s="228">
        <v>0.22</v>
      </c>
      <c r="DX211" s="228">
        <v>0</v>
      </c>
      <c r="DY211" s="229">
        <v>0</v>
      </c>
      <c r="DZ211" s="229">
        <v>2.0299999999999999E-2</v>
      </c>
      <c r="EA211" s="230">
        <v>66550</v>
      </c>
      <c r="EB211" s="229">
        <v>6.3E-3</v>
      </c>
      <c r="EC211" s="229">
        <v>2.0299999999999999E-2</v>
      </c>
      <c r="ED211" s="228">
        <v>5.03</v>
      </c>
      <c r="EE211" s="229">
        <v>4.5999999999999999E-3</v>
      </c>
      <c r="EF211" s="230">
        <v>506014</v>
      </c>
      <c r="EG211" s="230">
        <v>782821</v>
      </c>
      <c r="EH211" s="229">
        <v>-0.35360000000000003</v>
      </c>
      <c r="EI211" s="229">
        <v>0.48830000000000001</v>
      </c>
      <c r="EJ211" s="231">
        <v>14974.76</v>
      </c>
      <c r="EK211" s="231">
        <v>3040.39</v>
      </c>
      <c r="EL211" s="231">
        <v>5118.8999999999996</v>
      </c>
      <c r="EM211" s="231">
        <v>1543</v>
      </c>
      <c r="EN211" s="231">
        <v>23134.05</v>
      </c>
      <c r="EO211" s="231">
        <v>19110.46</v>
      </c>
      <c r="EP211" s="231">
        <v>4023.59</v>
      </c>
      <c r="EQ211" s="229">
        <v>0.21049999999999999</v>
      </c>
      <c r="ER211" s="231">
        <v>20600</v>
      </c>
      <c r="ES211" s="231">
        <v>7572</v>
      </c>
      <c r="ET211" s="231">
        <v>50890</v>
      </c>
      <c r="EU211" s="231">
        <v>27343613</v>
      </c>
      <c r="EV211" s="231">
        <v>79062</v>
      </c>
      <c r="EW211" s="231">
        <v>77551</v>
      </c>
      <c r="EX211" s="231">
        <v>1511</v>
      </c>
      <c r="EY211" s="229">
        <v>1.95E-2</v>
      </c>
      <c r="EZ211" s="229">
        <v>0.26019999999999999</v>
      </c>
      <c r="FA211" s="227" t="s">
        <v>566</v>
      </c>
      <c r="FB211" s="161">
        <f t="shared" si="5"/>
        <v>0</v>
      </c>
    </row>
    <row r="212" spans="1:158" ht="17.25" thickBot="1" x14ac:dyDescent="0.3">
      <c r="A212" s="226">
        <v>46129</v>
      </c>
      <c r="B212" s="227" t="s">
        <v>498</v>
      </c>
      <c r="C212" s="227" t="s">
        <v>303</v>
      </c>
      <c r="D212" s="228">
        <v>1355</v>
      </c>
      <c r="E212" s="228">
        <v>666.35</v>
      </c>
      <c r="F212" s="228">
        <v>662.3</v>
      </c>
      <c r="G212" s="228">
        <v>4.05</v>
      </c>
      <c r="H212" s="229">
        <v>6.1000000000000004E-3</v>
      </c>
      <c r="I212" s="228">
        <v>664.7</v>
      </c>
      <c r="J212" s="228">
        <v>659.95</v>
      </c>
      <c r="K212" s="228">
        <v>4.75</v>
      </c>
      <c r="L212" s="229">
        <v>7.1999999999999998E-3</v>
      </c>
      <c r="M212" s="228">
        <v>666.35</v>
      </c>
      <c r="N212" s="228">
        <v>662.3</v>
      </c>
      <c r="O212" s="228">
        <v>4.05</v>
      </c>
      <c r="P212" s="229">
        <v>6.1000000000000004E-3</v>
      </c>
      <c r="Q212" s="228">
        <v>670.3</v>
      </c>
      <c r="R212" s="228">
        <v>665.3</v>
      </c>
      <c r="S212" s="228">
        <v>5</v>
      </c>
      <c r="T212" s="229">
        <v>7.4999999999999997E-3</v>
      </c>
      <c r="U212" s="228">
        <v>673.5</v>
      </c>
      <c r="V212" s="228">
        <v>670.3</v>
      </c>
      <c r="W212" s="228">
        <v>3.2</v>
      </c>
      <c r="X212" s="229">
        <v>4.7999999999999996E-3</v>
      </c>
      <c r="Y212" s="228">
        <v>1.65</v>
      </c>
      <c r="Z212" s="228">
        <v>2.35</v>
      </c>
      <c r="AA212" s="228">
        <v>-0.7</v>
      </c>
      <c r="AB212" s="229">
        <v>2.5000000000000001E-3</v>
      </c>
      <c r="AC212" s="228">
        <v>1.65</v>
      </c>
      <c r="AD212" s="228">
        <v>2.35</v>
      </c>
      <c r="AE212" s="228">
        <v>-0.7</v>
      </c>
      <c r="AF212" s="229">
        <v>2.5000000000000001E-3</v>
      </c>
      <c r="AG212" s="228">
        <v>5.6</v>
      </c>
      <c r="AH212" s="228">
        <v>5.35</v>
      </c>
      <c r="AI212" s="228">
        <v>0.25</v>
      </c>
      <c r="AJ212" s="229">
        <v>8.3999999999999995E-3</v>
      </c>
      <c r="AK212" s="228">
        <v>8.8000000000000007</v>
      </c>
      <c r="AL212" s="228">
        <v>10.35</v>
      </c>
      <c r="AM212" s="228">
        <v>-1.55</v>
      </c>
      <c r="AN212" s="229">
        <v>1.32E-2</v>
      </c>
      <c r="AO212" s="228">
        <v>668.07</v>
      </c>
      <c r="AP212" s="228">
        <v>671.25</v>
      </c>
      <c r="AQ212" s="228">
        <v>0</v>
      </c>
      <c r="AR212" s="230">
        <v>2760135</v>
      </c>
      <c r="AS212" s="230">
        <v>4598870</v>
      </c>
      <c r="AT212" s="230">
        <v>-1838735</v>
      </c>
      <c r="AU212" s="229">
        <v>-0.39979999999999999</v>
      </c>
      <c r="AV212" s="230">
        <v>2483715</v>
      </c>
      <c r="AW212" s="230">
        <v>4136815</v>
      </c>
      <c r="AX212" s="230">
        <v>-1653100</v>
      </c>
      <c r="AY212" s="229">
        <v>-0.39960000000000001</v>
      </c>
      <c r="AZ212" s="230">
        <v>261515</v>
      </c>
      <c r="BA212" s="230">
        <v>440375</v>
      </c>
      <c r="BB212" s="230">
        <v>-178860</v>
      </c>
      <c r="BC212" s="229">
        <v>-0.40620000000000001</v>
      </c>
      <c r="BD212" s="230">
        <v>14905</v>
      </c>
      <c r="BE212" s="230">
        <v>21680</v>
      </c>
      <c r="BF212" s="230">
        <v>-6775</v>
      </c>
      <c r="BG212" s="229">
        <v>-0.3125</v>
      </c>
      <c r="BH212" s="230">
        <v>7010770</v>
      </c>
      <c r="BI212" s="230">
        <v>11777660</v>
      </c>
      <c r="BJ212" s="230">
        <v>-4766890</v>
      </c>
      <c r="BK212" s="229">
        <v>-0.4047</v>
      </c>
      <c r="BL212" s="230">
        <v>5073120</v>
      </c>
      <c r="BM212" s="230">
        <v>5909155</v>
      </c>
      <c r="BN212" s="230">
        <v>-836035</v>
      </c>
      <c r="BO212" s="229">
        <v>-0.14149999999999999</v>
      </c>
      <c r="BP212" s="230">
        <v>14844025</v>
      </c>
      <c r="BQ212" s="230">
        <v>22285685</v>
      </c>
      <c r="BR212" s="230">
        <v>-7441660</v>
      </c>
      <c r="BS212" s="229">
        <v>-0.33389999999999997</v>
      </c>
      <c r="BT212" s="230">
        <v>1048154</v>
      </c>
      <c r="BU212" s="230">
        <v>1702422</v>
      </c>
      <c r="BV212" s="230">
        <v>-654268</v>
      </c>
      <c r="BW212" s="229">
        <v>-0.38429999999999997</v>
      </c>
      <c r="BX212" s="230">
        <v>30086420</v>
      </c>
      <c r="BY212" s="230">
        <v>30498340</v>
      </c>
      <c r="BZ212" s="230">
        <v>-411920</v>
      </c>
      <c r="CA212" s="229">
        <v>-1.35E-2</v>
      </c>
      <c r="CB212" s="230">
        <v>29204315</v>
      </c>
      <c r="CC212" s="230">
        <v>29715150</v>
      </c>
      <c r="CD212" s="230">
        <v>-510835</v>
      </c>
      <c r="CE212" s="229">
        <v>-1.72E-2</v>
      </c>
      <c r="CF212" s="230">
        <v>833325</v>
      </c>
      <c r="CG212" s="230">
        <v>743895</v>
      </c>
      <c r="CH212" s="230">
        <v>89430</v>
      </c>
      <c r="CI212" s="229">
        <v>0.1202</v>
      </c>
      <c r="CJ212" s="230">
        <v>48780</v>
      </c>
      <c r="CK212" s="230">
        <v>39295</v>
      </c>
      <c r="CL212" s="230">
        <v>9485</v>
      </c>
      <c r="CM212" s="229">
        <v>0.2414</v>
      </c>
      <c r="CN212" s="230">
        <v>9867110</v>
      </c>
      <c r="CO212" s="230">
        <v>10136755</v>
      </c>
      <c r="CP212" s="230">
        <v>-269645</v>
      </c>
      <c r="CQ212" s="229">
        <v>-2.6599999999999999E-2</v>
      </c>
      <c r="CR212" s="230">
        <v>7365780</v>
      </c>
      <c r="CS212" s="230">
        <v>7033805</v>
      </c>
      <c r="CT212" s="230">
        <v>331975</v>
      </c>
      <c r="CU212" s="229">
        <v>4.7199999999999999E-2</v>
      </c>
      <c r="CV212" s="230">
        <v>47319310</v>
      </c>
      <c r="CW212" s="230">
        <v>47668900</v>
      </c>
      <c r="CX212" s="230">
        <v>-349590</v>
      </c>
      <c r="CY212" s="229">
        <v>-7.3000000000000001E-3</v>
      </c>
      <c r="CZ212" s="228">
        <v>31.9</v>
      </c>
      <c r="DA212" s="228">
        <v>31.92</v>
      </c>
      <c r="DB212" s="228">
        <v>-0.02</v>
      </c>
      <c r="DC212" s="228">
        <v>-0.02</v>
      </c>
      <c r="DD212" s="228">
        <v>41.96</v>
      </c>
      <c r="DE212" s="228">
        <v>42.05</v>
      </c>
      <c r="DF212" s="228">
        <v>-10.06</v>
      </c>
      <c r="DG212" s="228">
        <v>-0.09</v>
      </c>
      <c r="DH212" s="228">
        <v>30.36</v>
      </c>
      <c r="DI212" s="228">
        <v>30.78</v>
      </c>
      <c r="DJ212" s="228">
        <v>-0.42</v>
      </c>
      <c r="DK212" s="228">
        <v>-0.42</v>
      </c>
      <c r="DL212" s="228">
        <v>34.03</v>
      </c>
      <c r="DM212" s="228">
        <v>34.200000000000003</v>
      </c>
      <c r="DN212" s="228">
        <v>-0.17</v>
      </c>
      <c r="DO212" s="228">
        <v>-0.17</v>
      </c>
      <c r="DP212" s="228">
        <v>0.75</v>
      </c>
      <c r="DQ212" s="228">
        <v>0.69</v>
      </c>
      <c r="DR212" s="228">
        <v>0.06</v>
      </c>
      <c r="DS212" s="229">
        <v>8.6999999999999994E-2</v>
      </c>
      <c r="DT212" s="228">
        <v>700</v>
      </c>
      <c r="DU212" s="228">
        <v>600</v>
      </c>
      <c r="DV212" s="228">
        <v>0.72</v>
      </c>
      <c r="DW212" s="228">
        <v>0.5</v>
      </c>
      <c r="DX212" s="228">
        <v>0.22</v>
      </c>
      <c r="DY212" s="229">
        <v>0.44</v>
      </c>
      <c r="DZ212" s="229">
        <v>2.93E-2</v>
      </c>
      <c r="EA212" s="230">
        <v>783190</v>
      </c>
      <c r="EB212" s="229">
        <v>5.8999999999999999E-3</v>
      </c>
      <c r="EC212" s="229">
        <v>2.93E-2</v>
      </c>
      <c r="ED212" s="228">
        <v>3.18</v>
      </c>
      <c r="EE212" s="229">
        <v>4.7999999999999996E-3</v>
      </c>
      <c r="EF212" s="230">
        <v>494352</v>
      </c>
      <c r="EG212" s="230">
        <v>851235</v>
      </c>
      <c r="EH212" s="229">
        <v>-0.41930000000000001</v>
      </c>
      <c r="EI212" s="229">
        <v>0.47160000000000002</v>
      </c>
      <c r="EJ212" s="231">
        <v>48299.98</v>
      </c>
      <c r="EK212" s="231">
        <v>33215.300000000003</v>
      </c>
      <c r="EL212" s="231">
        <v>18448.97</v>
      </c>
      <c r="EM212" s="231">
        <v>2580</v>
      </c>
      <c r="EN212" s="231">
        <v>99964.25</v>
      </c>
      <c r="EO212" s="231">
        <v>149600.07999999999</v>
      </c>
      <c r="EP212" s="231">
        <v>-49635.83</v>
      </c>
      <c r="EQ212" s="229">
        <v>-0.33179999999999998</v>
      </c>
      <c r="ER212" s="231">
        <v>63656</v>
      </c>
      <c r="ES212" s="231">
        <v>45434</v>
      </c>
      <c r="ET212" s="231">
        <v>200517</v>
      </c>
      <c r="EU212" s="231">
        <v>84189026</v>
      </c>
      <c r="EV212" s="231">
        <v>309607</v>
      </c>
      <c r="EW212" s="231">
        <v>310604</v>
      </c>
      <c r="EX212" s="228">
        <v>-997</v>
      </c>
      <c r="EY212" s="229">
        <v>-3.2000000000000002E-3</v>
      </c>
      <c r="EZ212" s="229">
        <v>0.56210000000000004</v>
      </c>
      <c r="FA212" s="227" t="s">
        <v>693</v>
      </c>
      <c r="FB212" s="161">
        <f t="shared" si="5"/>
        <v>0</v>
      </c>
    </row>
    <row r="213" spans="1:158" ht="17.25" thickBot="1" x14ac:dyDescent="0.3">
      <c r="A213" s="226">
        <v>46129</v>
      </c>
      <c r="B213" s="227" t="s">
        <v>168</v>
      </c>
      <c r="C213" s="227" t="s">
        <v>585</v>
      </c>
      <c r="D213" s="228">
        <v>1125</v>
      </c>
      <c r="E213" s="228">
        <v>473.65</v>
      </c>
      <c r="F213" s="228">
        <v>462.2</v>
      </c>
      <c r="G213" s="228">
        <v>11.45</v>
      </c>
      <c r="H213" s="229">
        <v>2.4799999999999999E-2</v>
      </c>
      <c r="I213" s="228">
        <v>473.9</v>
      </c>
      <c r="J213" s="228">
        <v>460.4</v>
      </c>
      <c r="K213" s="228">
        <v>13.5</v>
      </c>
      <c r="L213" s="229">
        <v>2.93E-2</v>
      </c>
      <c r="M213" s="228">
        <v>473.65</v>
      </c>
      <c r="N213" s="228">
        <v>462.2</v>
      </c>
      <c r="O213" s="228">
        <v>11.45</v>
      </c>
      <c r="P213" s="229">
        <v>2.4799999999999999E-2</v>
      </c>
      <c r="Q213" s="228">
        <v>475.95</v>
      </c>
      <c r="R213" s="228">
        <v>464.05</v>
      </c>
      <c r="S213" s="228">
        <v>11.9</v>
      </c>
      <c r="T213" s="229">
        <v>2.5600000000000001E-2</v>
      </c>
      <c r="U213" s="228">
        <v>478.65</v>
      </c>
      <c r="V213" s="228">
        <v>468.15</v>
      </c>
      <c r="W213" s="228">
        <v>10.5</v>
      </c>
      <c r="X213" s="229">
        <v>2.24E-2</v>
      </c>
      <c r="Y213" s="228">
        <v>-0.25</v>
      </c>
      <c r="Z213" s="228">
        <v>1.8</v>
      </c>
      <c r="AA213" s="228">
        <v>-2.0499999999999998</v>
      </c>
      <c r="AB213" s="229">
        <v>-5.0000000000000001E-4</v>
      </c>
      <c r="AC213" s="228">
        <v>-0.25</v>
      </c>
      <c r="AD213" s="228">
        <v>1.8</v>
      </c>
      <c r="AE213" s="228">
        <v>-2.0499999999999998</v>
      </c>
      <c r="AF213" s="229">
        <v>-5.0000000000000001E-4</v>
      </c>
      <c r="AG213" s="228">
        <v>2.0499999999999998</v>
      </c>
      <c r="AH213" s="228">
        <v>3.65</v>
      </c>
      <c r="AI213" s="228">
        <v>-1.6</v>
      </c>
      <c r="AJ213" s="229">
        <v>4.3E-3</v>
      </c>
      <c r="AK213" s="228">
        <v>4.75</v>
      </c>
      <c r="AL213" s="228">
        <v>7.75</v>
      </c>
      <c r="AM213" s="228">
        <v>-3</v>
      </c>
      <c r="AN213" s="229">
        <v>0.01</v>
      </c>
      <c r="AO213" s="228">
        <v>470.92</v>
      </c>
      <c r="AP213" s="228">
        <v>473.36</v>
      </c>
      <c r="AQ213" s="228">
        <v>0</v>
      </c>
      <c r="AR213" s="230">
        <v>15298875</v>
      </c>
      <c r="AS213" s="230">
        <v>12722625</v>
      </c>
      <c r="AT213" s="230">
        <v>2576250</v>
      </c>
      <c r="AU213" s="229">
        <v>0.20250000000000001</v>
      </c>
      <c r="AV213" s="230">
        <v>13839750</v>
      </c>
      <c r="AW213" s="230">
        <v>11835000</v>
      </c>
      <c r="AX213" s="230">
        <v>2004750</v>
      </c>
      <c r="AY213" s="229">
        <v>0.1694</v>
      </c>
      <c r="AZ213" s="230">
        <v>1283625</v>
      </c>
      <c r="BA213" s="230">
        <v>778500</v>
      </c>
      <c r="BB213" s="230">
        <v>505125</v>
      </c>
      <c r="BC213" s="229">
        <v>0.64880000000000004</v>
      </c>
      <c r="BD213" s="230">
        <v>175500</v>
      </c>
      <c r="BE213" s="230">
        <v>109125</v>
      </c>
      <c r="BF213" s="230">
        <v>66375</v>
      </c>
      <c r="BG213" s="229">
        <v>0.60819999999999996</v>
      </c>
      <c r="BH213" s="230">
        <v>34314750</v>
      </c>
      <c r="BI213" s="230">
        <v>30501000</v>
      </c>
      <c r="BJ213" s="230">
        <v>3813750</v>
      </c>
      <c r="BK213" s="229">
        <v>0.125</v>
      </c>
      <c r="BL213" s="230">
        <v>15423750</v>
      </c>
      <c r="BM213" s="230">
        <v>14861250</v>
      </c>
      <c r="BN213" s="230">
        <v>562500</v>
      </c>
      <c r="BO213" s="229">
        <v>3.7900000000000003E-2</v>
      </c>
      <c r="BP213" s="230">
        <v>65037375</v>
      </c>
      <c r="BQ213" s="230">
        <v>58084875</v>
      </c>
      <c r="BR213" s="230">
        <v>6952500</v>
      </c>
      <c r="BS213" s="229">
        <v>0.1197</v>
      </c>
      <c r="BT213" s="230">
        <v>13589729</v>
      </c>
      <c r="BU213" s="230">
        <v>8018734</v>
      </c>
      <c r="BV213" s="230">
        <v>5570995</v>
      </c>
      <c r="BW213" s="229">
        <v>0.69469999999999998</v>
      </c>
      <c r="BX213" s="230">
        <v>47617875</v>
      </c>
      <c r="BY213" s="230">
        <v>48816000</v>
      </c>
      <c r="BZ213" s="230">
        <v>-1198125</v>
      </c>
      <c r="CA213" s="229">
        <v>-2.4500000000000001E-2</v>
      </c>
      <c r="CB213" s="230">
        <v>45625500</v>
      </c>
      <c r="CC213" s="230">
        <v>47331000</v>
      </c>
      <c r="CD213" s="230">
        <v>-1705500</v>
      </c>
      <c r="CE213" s="229">
        <v>-3.5999999999999997E-2</v>
      </c>
      <c r="CF213" s="230">
        <v>1801125</v>
      </c>
      <c r="CG213" s="230">
        <v>1330875</v>
      </c>
      <c r="CH213" s="230">
        <v>470250</v>
      </c>
      <c r="CI213" s="229">
        <v>0.3533</v>
      </c>
      <c r="CJ213" s="230">
        <v>191250</v>
      </c>
      <c r="CK213" s="230">
        <v>154125</v>
      </c>
      <c r="CL213" s="230">
        <v>37125</v>
      </c>
      <c r="CM213" s="229">
        <v>0.2409</v>
      </c>
      <c r="CN213" s="230">
        <v>16292250</v>
      </c>
      <c r="CO213" s="230">
        <v>15014250</v>
      </c>
      <c r="CP213" s="230">
        <v>1278000</v>
      </c>
      <c r="CQ213" s="229">
        <v>8.5099999999999995E-2</v>
      </c>
      <c r="CR213" s="230">
        <v>10098000</v>
      </c>
      <c r="CS213" s="230">
        <v>8995500</v>
      </c>
      <c r="CT213" s="230">
        <v>1102500</v>
      </c>
      <c r="CU213" s="229">
        <v>0.1226</v>
      </c>
      <c r="CV213" s="230">
        <v>74008125</v>
      </c>
      <c r="CW213" s="230">
        <v>72825750</v>
      </c>
      <c r="CX213" s="230">
        <v>1182375</v>
      </c>
      <c r="CY213" s="229">
        <v>1.6199999999999999E-2</v>
      </c>
      <c r="CZ213" s="228">
        <v>36.979999999999997</v>
      </c>
      <c r="DA213" s="228">
        <v>36.82</v>
      </c>
      <c r="DB213" s="228">
        <v>0.16</v>
      </c>
      <c r="DC213" s="228">
        <v>0.16</v>
      </c>
      <c r="DD213" s="228">
        <v>38.33</v>
      </c>
      <c r="DE213" s="228">
        <v>38.22</v>
      </c>
      <c r="DF213" s="228">
        <v>-1.35</v>
      </c>
      <c r="DG213" s="228">
        <v>0.11</v>
      </c>
      <c r="DH213" s="228">
        <v>36.880000000000003</v>
      </c>
      <c r="DI213" s="228">
        <v>36.57</v>
      </c>
      <c r="DJ213" s="228">
        <v>0.31</v>
      </c>
      <c r="DK213" s="228">
        <v>0.31</v>
      </c>
      <c r="DL213" s="228">
        <v>37.19</v>
      </c>
      <c r="DM213" s="228">
        <v>37.32</v>
      </c>
      <c r="DN213" s="228">
        <v>-0.13</v>
      </c>
      <c r="DO213" s="228">
        <v>-0.13</v>
      </c>
      <c r="DP213" s="228">
        <v>0.62</v>
      </c>
      <c r="DQ213" s="228">
        <v>0.6</v>
      </c>
      <c r="DR213" s="228">
        <v>0.02</v>
      </c>
      <c r="DS213" s="229">
        <v>3.3300000000000003E-2</v>
      </c>
      <c r="DT213" s="228">
        <v>500</v>
      </c>
      <c r="DU213" s="228">
        <v>420</v>
      </c>
      <c r="DV213" s="228">
        <v>0.45</v>
      </c>
      <c r="DW213" s="228">
        <v>0.49</v>
      </c>
      <c r="DX213" s="228">
        <v>-0.04</v>
      </c>
      <c r="DY213" s="229">
        <v>-8.1600000000000006E-2</v>
      </c>
      <c r="DZ213" s="229">
        <v>4.1799999999999997E-2</v>
      </c>
      <c r="EA213" s="230">
        <v>1485000</v>
      </c>
      <c r="EB213" s="229">
        <v>4.8999999999999998E-3</v>
      </c>
      <c r="EC213" s="229">
        <v>4.1799999999999997E-2</v>
      </c>
      <c r="ED213" s="228">
        <v>2.44</v>
      </c>
      <c r="EE213" s="229">
        <v>5.1999999999999998E-3</v>
      </c>
      <c r="EF213" s="230">
        <v>7699696</v>
      </c>
      <c r="EG213" s="230">
        <v>4227617</v>
      </c>
      <c r="EH213" s="229">
        <v>0.82130000000000003</v>
      </c>
      <c r="EI213" s="229">
        <v>0.56659999999999999</v>
      </c>
      <c r="EJ213" s="231">
        <v>168683.19</v>
      </c>
      <c r="EK213" s="231">
        <v>69995.86</v>
      </c>
      <c r="EL213" s="231">
        <v>72087.039999999994</v>
      </c>
      <c r="EM213" s="231">
        <v>8027</v>
      </c>
      <c r="EN213" s="231">
        <v>310766.09000000003</v>
      </c>
      <c r="EO213" s="231">
        <v>270819.18</v>
      </c>
      <c r="EP213" s="231">
        <v>39946.910000000003</v>
      </c>
      <c r="EQ213" s="229">
        <v>0.14749999999999999</v>
      </c>
      <c r="ER213" s="231">
        <v>75735</v>
      </c>
      <c r="ES213" s="231">
        <v>42965</v>
      </c>
      <c r="ET213" s="231">
        <v>225593</v>
      </c>
      <c r="EU213" s="231">
        <v>205765243</v>
      </c>
      <c r="EV213" s="231">
        <v>344293</v>
      </c>
      <c r="EW213" s="231">
        <v>332424</v>
      </c>
      <c r="EX213" s="231">
        <v>11869</v>
      </c>
      <c r="EY213" s="229">
        <v>3.5700000000000003E-2</v>
      </c>
      <c r="EZ213" s="229">
        <v>0.35970000000000002</v>
      </c>
      <c r="FA213" s="227" t="s">
        <v>693</v>
      </c>
      <c r="FB213" s="161">
        <f t="shared" si="5"/>
        <v>0</v>
      </c>
    </row>
    <row r="214" spans="1:158" ht="17.25" thickBot="1" x14ac:dyDescent="0.3">
      <c r="A214" s="226">
        <v>46129</v>
      </c>
      <c r="B214" s="227" t="s">
        <v>227</v>
      </c>
      <c r="C214" s="227" t="s">
        <v>304</v>
      </c>
      <c r="D214" s="228">
        <v>1150</v>
      </c>
      <c r="E214" s="228">
        <v>788.75</v>
      </c>
      <c r="F214" s="228">
        <v>784.35</v>
      </c>
      <c r="G214" s="228">
        <v>4.4000000000000004</v>
      </c>
      <c r="H214" s="229">
        <v>5.5999999999999999E-3</v>
      </c>
      <c r="I214" s="228">
        <v>787.5</v>
      </c>
      <c r="J214" s="228">
        <v>782.85</v>
      </c>
      <c r="K214" s="228">
        <v>4.6500000000000004</v>
      </c>
      <c r="L214" s="229">
        <v>5.8999999999999999E-3</v>
      </c>
      <c r="M214" s="228">
        <v>788.75</v>
      </c>
      <c r="N214" s="228">
        <v>784.35</v>
      </c>
      <c r="O214" s="228">
        <v>4.4000000000000004</v>
      </c>
      <c r="P214" s="229">
        <v>5.5999999999999999E-3</v>
      </c>
      <c r="Q214" s="228">
        <v>791.8</v>
      </c>
      <c r="R214" s="228">
        <v>786.8</v>
      </c>
      <c r="S214" s="228">
        <v>5</v>
      </c>
      <c r="T214" s="229">
        <v>6.4000000000000003E-3</v>
      </c>
      <c r="U214" s="228">
        <v>792.05</v>
      </c>
      <c r="V214" s="228">
        <v>786.25</v>
      </c>
      <c r="W214" s="228">
        <v>5.8</v>
      </c>
      <c r="X214" s="229">
        <v>7.4000000000000003E-3</v>
      </c>
      <c r="Y214" s="228">
        <v>1.25</v>
      </c>
      <c r="Z214" s="228">
        <v>1.5</v>
      </c>
      <c r="AA214" s="228">
        <v>-0.25</v>
      </c>
      <c r="AB214" s="229">
        <v>1.6000000000000001E-3</v>
      </c>
      <c r="AC214" s="228">
        <v>1.25</v>
      </c>
      <c r="AD214" s="228">
        <v>1.5</v>
      </c>
      <c r="AE214" s="228">
        <v>-0.25</v>
      </c>
      <c r="AF214" s="229">
        <v>1.6000000000000001E-3</v>
      </c>
      <c r="AG214" s="228">
        <v>4.3</v>
      </c>
      <c r="AH214" s="228">
        <v>3.95</v>
      </c>
      <c r="AI214" s="228">
        <v>0.35</v>
      </c>
      <c r="AJ214" s="229">
        <v>5.4999999999999997E-3</v>
      </c>
      <c r="AK214" s="228">
        <v>4.55</v>
      </c>
      <c r="AL214" s="228">
        <v>3.4</v>
      </c>
      <c r="AM214" s="228">
        <v>1.1499999999999999</v>
      </c>
      <c r="AN214" s="229">
        <v>5.7999999999999996E-3</v>
      </c>
      <c r="AO214" s="228">
        <v>785.22</v>
      </c>
      <c r="AP214" s="228">
        <v>787.43</v>
      </c>
      <c r="AQ214" s="228">
        <v>0</v>
      </c>
      <c r="AR214" s="230">
        <v>11163050</v>
      </c>
      <c r="AS214" s="230">
        <v>12494750</v>
      </c>
      <c r="AT214" s="230">
        <v>-1331700</v>
      </c>
      <c r="AU214" s="229">
        <v>-0.1066</v>
      </c>
      <c r="AV214" s="230">
        <v>9067750</v>
      </c>
      <c r="AW214" s="230">
        <v>10590350</v>
      </c>
      <c r="AX214" s="230">
        <v>-1522600</v>
      </c>
      <c r="AY214" s="229">
        <v>-0.14380000000000001</v>
      </c>
      <c r="AZ214" s="230">
        <v>1877950</v>
      </c>
      <c r="BA214" s="230">
        <v>1668650</v>
      </c>
      <c r="BB214" s="230">
        <v>209300</v>
      </c>
      <c r="BC214" s="229">
        <v>0.12540000000000001</v>
      </c>
      <c r="BD214" s="230">
        <v>217350</v>
      </c>
      <c r="BE214" s="230">
        <v>235750</v>
      </c>
      <c r="BF214" s="230">
        <v>-18400</v>
      </c>
      <c r="BG214" s="229">
        <v>-7.8E-2</v>
      </c>
      <c r="BH214" s="230">
        <v>46672750</v>
      </c>
      <c r="BI214" s="230">
        <v>62442700</v>
      </c>
      <c r="BJ214" s="230">
        <v>-15769950</v>
      </c>
      <c r="BK214" s="229">
        <v>-0.25259999999999999</v>
      </c>
      <c r="BL214" s="230">
        <v>32458750</v>
      </c>
      <c r="BM214" s="230">
        <v>39267900</v>
      </c>
      <c r="BN214" s="230">
        <v>-6809150</v>
      </c>
      <c r="BO214" s="229">
        <v>-0.1734</v>
      </c>
      <c r="BP214" s="230">
        <v>90294550</v>
      </c>
      <c r="BQ214" s="230">
        <v>114205350</v>
      </c>
      <c r="BR214" s="230">
        <v>-23910800</v>
      </c>
      <c r="BS214" s="229">
        <v>-0.2094</v>
      </c>
      <c r="BT214" s="230">
        <v>10545095</v>
      </c>
      <c r="BU214" s="230">
        <v>16003105</v>
      </c>
      <c r="BV214" s="230">
        <v>-5458010</v>
      </c>
      <c r="BW214" s="229">
        <v>-0.34110000000000001</v>
      </c>
      <c r="BX214" s="230">
        <v>52016800</v>
      </c>
      <c r="BY214" s="230">
        <v>50779400</v>
      </c>
      <c r="BZ214" s="230">
        <v>1237400</v>
      </c>
      <c r="CA214" s="229">
        <v>2.4400000000000002E-2</v>
      </c>
      <c r="CB214" s="230">
        <v>48738150</v>
      </c>
      <c r="CC214" s="230">
        <v>48185000</v>
      </c>
      <c r="CD214" s="230">
        <v>553150</v>
      </c>
      <c r="CE214" s="229">
        <v>1.15E-2</v>
      </c>
      <c r="CF214" s="230">
        <v>2972750</v>
      </c>
      <c r="CG214" s="230">
        <v>2344850</v>
      </c>
      <c r="CH214" s="230">
        <v>627900</v>
      </c>
      <c r="CI214" s="229">
        <v>0.26779999999999998</v>
      </c>
      <c r="CJ214" s="230">
        <v>305900</v>
      </c>
      <c r="CK214" s="230">
        <v>249550</v>
      </c>
      <c r="CL214" s="230">
        <v>56350</v>
      </c>
      <c r="CM214" s="229">
        <v>0.2258</v>
      </c>
      <c r="CN214" s="230">
        <v>31131650</v>
      </c>
      <c r="CO214" s="230">
        <v>29289350</v>
      </c>
      <c r="CP214" s="230">
        <v>1842300</v>
      </c>
      <c r="CQ214" s="229">
        <v>6.2899999999999998E-2</v>
      </c>
      <c r="CR214" s="230">
        <v>30624500</v>
      </c>
      <c r="CS214" s="230">
        <v>29257150</v>
      </c>
      <c r="CT214" s="230">
        <v>1367350</v>
      </c>
      <c r="CU214" s="229">
        <v>4.6699999999999998E-2</v>
      </c>
      <c r="CV214" s="230">
        <v>113772950</v>
      </c>
      <c r="CW214" s="230">
        <v>109325900</v>
      </c>
      <c r="CX214" s="230">
        <v>4447050</v>
      </c>
      <c r="CY214" s="229">
        <v>4.07E-2</v>
      </c>
      <c r="CZ214" s="228">
        <v>35.01</v>
      </c>
      <c r="DA214" s="228">
        <v>37.68</v>
      </c>
      <c r="DB214" s="228">
        <v>-2.67</v>
      </c>
      <c r="DC214" s="228">
        <v>-2.67</v>
      </c>
      <c r="DD214" s="228">
        <v>40.81</v>
      </c>
      <c r="DE214" s="228">
        <v>40.909999999999997</v>
      </c>
      <c r="DF214" s="228">
        <v>-5.8</v>
      </c>
      <c r="DG214" s="228">
        <v>-0.1</v>
      </c>
      <c r="DH214" s="228">
        <v>33.619999999999997</v>
      </c>
      <c r="DI214" s="228">
        <v>36.44</v>
      </c>
      <c r="DJ214" s="228">
        <v>-2.82</v>
      </c>
      <c r="DK214" s="228">
        <v>-2.82</v>
      </c>
      <c r="DL214" s="228">
        <v>37.01</v>
      </c>
      <c r="DM214" s="228">
        <v>39.65</v>
      </c>
      <c r="DN214" s="228">
        <v>-2.64</v>
      </c>
      <c r="DO214" s="228">
        <v>-2.64</v>
      </c>
      <c r="DP214" s="228">
        <v>0.98</v>
      </c>
      <c r="DQ214" s="228">
        <v>1</v>
      </c>
      <c r="DR214" s="228">
        <v>-0.02</v>
      </c>
      <c r="DS214" s="229">
        <v>-0.02</v>
      </c>
      <c r="DT214" s="228">
        <v>800</v>
      </c>
      <c r="DU214" s="228">
        <v>700</v>
      </c>
      <c r="DV214" s="228">
        <v>0.7</v>
      </c>
      <c r="DW214" s="228">
        <v>0.63</v>
      </c>
      <c r="DX214" s="228">
        <v>7.0000000000000007E-2</v>
      </c>
      <c r="DY214" s="229">
        <v>0.1111</v>
      </c>
      <c r="DZ214" s="229">
        <v>6.3E-2</v>
      </c>
      <c r="EA214" s="230">
        <v>2594400</v>
      </c>
      <c r="EB214" s="229">
        <v>3.8999999999999998E-3</v>
      </c>
      <c r="EC214" s="229">
        <v>6.3E-2</v>
      </c>
      <c r="ED214" s="228">
        <v>2.21</v>
      </c>
      <c r="EE214" s="229">
        <v>2.8E-3</v>
      </c>
      <c r="EF214" s="230">
        <v>4404559</v>
      </c>
      <c r="EG214" s="230">
        <v>5617606</v>
      </c>
      <c r="EH214" s="229">
        <v>-0.21590000000000001</v>
      </c>
      <c r="EI214" s="229">
        <v>0.41770000000000002</v>
      </c>
      <c r="EJ214" s="231">
        <v>381793.24</v>
      </c>
      <c r="EK214" s="231">
        <v>245162.98</v>
      </c>
      <c r="EL214" s="231">
        <v>87698.1</v>
      </c>
      <c r="EM214" s="231">
        <v>11136</v>
      </c>
      <c r="EN214" s="231">
        <v>714654.32</v>
      </c>
      <c r="EO214" s="231">
        <v>901844.2</v>
      </c>
      <c r="EP214" s="231">
        <v>-187189.88</v>
      </c>
      <c r="EQ214" s="229">
        <v>-0.20760000000000001</v>
      </c>
      <c r="ER214" s="231">
        <v>237029</v>
      </c>
      <c r="ES214" s="231">
        <v>215595</v>
      </c>
      <c r="ET214" s="231">
        <v>410383</v>
      </c>
      <c r="EU214" s="231">
        <v>255495438</v>
      </c>
      <c r="EV214" s="231">
        <v>863008</v>
      </c>
      <c r="EW214" s="231">
        <v>823281</v>
      </c>
      <c r="EX214" s="231">
        <v>39727</v>
      </c>
      <c r="EY214" s="229">
        <v>4.8300000000000003E-2</v>
      </c>
      <c r="EZ214" s="229">
        <v>0.44529999999999997</v>
      </c>
      <c r="FA214" s="227" t="s">
        <v>555</v>
      </c>
      <c r="FB214" s="161">
        <f t="shared" si="5"/>
        <v>0</v>
      </c>
    </row>
    <row r="215" spans="1:158" ht="17.25" thickBot="1" x14ac:dyDescent="0.3">
      <c r="A215" s="226">
        <v>46129</v>
      </c>
      <c r="B215" s="227" t="s">
        <v>614</v>
      </c>
      <c r="C215" s="227" t="s">
        <v>697</v>
      </c>
      <c r="D215" s="228">
        <v>4850</v>
      </c>
      <c r="E215" s="228">
        <v>118.85</v>
      </c>
      <c r="F215" s="228">
        <v>117.97</v>
      </c>
      <c r="G215" s="228">
        <v>0.88</v>
      </c>
      <c r="H215" s="229">
        <v>7.4999999999999997E-3</v>
      </c>
      <c r="I215" s="228">
        <v>118.95</v>
      </c>
      <c r="J215" s="228">
        <v>117.55</v>
      </c>
      <c r="K215" s="228">
        <v>1.4</v>
      </c>
      <c r="L215" s="229">
        <v>1.1900000000000001E-2</v>
      </c>
      <c r="M215" s="228">
        <v>118.85</v>
      </c>
      <c r="N215" s="228">
        <v>117.97</v>
      </c>
      <c r="O215" s="228">
        <v>0.88</v>
      </c>
      <c r="P215" s="229">
        <v>7.4999999999999997E-3</v>
      </c>
      <c r="Q215" s="228">
        <v>119.2</v>
      </c>
      <c r="R215" s="228">
        <v>118.23</v>
      </c>
      <c r="S215" s="228">
        <v>0.97</v>
      </c>
      <c r="T215" s="229">
        <v>8.2000000000000007E-3</v>
      </c>
      <c r="U215" s="228">
        <v>118.72</v>
      </c>
      <c r="V215" s="228">
        <v>118.51</v>
      </c>
      <c r="W215" s="228">
        <v>0.21</v>
      </c>
      <c r="X215" s="229">
        <v>1.8E-3</v>
      </c>
      <c r="Y215" s="228">
        <v>-0.1</v>
      </c>
      <c r="Z215" s="228">
        <v>0.42</v>
      </c>
      <c r="AA215" s="228">
        <v>-0.52</v>
      </c>
      <c r="AB215" s="229">
        <v>-8.0000000000000004E-4</v>
      </c>
      <c r="AC215" s="228">
        <v>-0.1</v>
      </c>
      <c r="AD215" s="228">
        <v>0.42</v>
      </c>
      <c r="AE215" s="228">
        <v>-0.52</v>
      </c>
      <c r="AF215" s="229">
        <v>-8.0000000000000004E-4</v>
      </c>
      <c r="AG215" s="228">
        <v>0.25</v>
      </c>
      <c r="AH215" s="228">
        <v>0.68</v>
      </c>
      <c r="AI215" s="228">
        <v>-0.43</v>
      </c>
      <c r="AJ215" s="229">
        <v>2.0999999999999999E-3</v>
      </c>
      <c r="AK215" s="228">
        <v>-0.23</v>
      </c>
      <c r="AL215" s="228">
        <v>0.96</v>
      </c>
      <c r="AM215" s="228">
        <v>-1.19</v>
      </c>
      <c r="AN215" s="229">
        <v>-1.9E-3</v>
      </c>
      <c r="AO215" s="228">
        <v>118.58</v>
      </c>
      <c r="AP215" s="228">
        <v>118.99</v>
      </c>
      <c r="AQ215" s="228">
        <v>0</v>
      </c>
      <c r="AR215" s="230">
        <v>12837950</v>
      </c>
      <c r="AS215" s="230">
        <v>4331050</v>
      </c>
      <c r="AT215" s="230">
        <v>8506900</v>
      </c>
      <c r="AU215" s="229">
        <v>1.9641999999999999</v>
      </c>
      <c r="AV215" s="230">
        <v>12120150</v>
      </c>
      <c r="AW215" s="230">
        <v>4127350</v>
      </c>
      <c r="AX215" s="230">
        <v>7992800</v>
      </c>
      <c r="AY215" s="229">
        <v>1.9365000000000001</v>
      </c>
      <c r="AZ215" s="230">
        <v>693550</v>
      </c>
      <c r="BA215" s="230">
        <v>155200</v>
      </c>
      <c r="BB215" s="230">
        <v>538350</v>
      </c>
      <c r="BC215" s="229">
        <v>3.4687999999999999</v>
      </c>
      <c r="BD215" s="230">
        <v>24250</v>
      </c>
      <c r="BE215" s="230">
        <v>48500</v>
      </c>
      <c r="BF215" s="230">
        <v>-24250</v>
      </c>
      <c r="BG215" s="229">
        <v>-0.5</v>
      </c>
      <c r="BH215" s="230">
        <v>12799150</v>
      </c>
      <c r="BI215" s="230">
        <v>2264950</v>
      </c>
      <c r="BJ215" s="230">
        <v>10534200</v>
      </c>
      <c r="BK215" s="229">
        <v>4.6509999999999998</v>
      </c>
      <c r="BL215" s="230">
        <v>2216450</v>
      </c>
      <c r="BM215" s="230">
        <v>1076700</v>
      </c>
      <c r="BN215" s="230">
        <v>1139750</v>
      </c>
      <c r="BO215" s="229">
        <v>1.0586</v>
      </c>
      <c r="BP215" s="230">
        <v>27853550</v>
      </c>
      <c r="BQ215" s="230">
        <v>7672700</v>
      </c>
      <c r="BR215" s="230">
        <v>20180850</v>
      </c>
      <c r="BS215" s="229">
        <v>2.6301999999999999</v>
      </c>
      <c r="BT215" s="230">
        <v>30756989</v>
      </c>
      <c r="BU215" s="230">
        <v>7881527</v>
      </c>
      <c r="BV215" s="230">
        <v>22875462</v>
      </c>
      <c r="BW215" s="229">
        <v>2.9024000000000001</v>
      </c>
      <c r="BX215" s="230">
        <v>27601350</v>
      </c>
      <c r="BY215" s="230">
        <v>23328500</v>
      </c>
      <c r="BZ215" s="230">
        <v>4272850</v>
      </c>
      <c r="CA215" s="229">
        <v>0.1832</v>
      </c>
      <c r="CB215" s="230">
        <v>26738050</v>
      </c>
      <c r="CC215" s="230">
        <v>22741650</v>
      </c>
      <c r="CD215" s="230">
        <v>3996400</v>
      </c>
      <c r="CE215" s="229">
        <v>0.1757</v>
      </c>
      <c r="CF215" s="230">
        <v>722650</v>
      </c>
      <c r="CG215" s="230">
        <v>460750</v>
      </c>
      <c r="CH215" s="230">
        <v>261900</v>
      </c>
      <c r="CI215" s="229">
        <v>0.56840000000000002</v>
      </c>
      <c r="CJ215" s="230">
        <v>140650</v>
      </c>
      <c r="CK215" s="230">
        <v>126100</v>
      </c>
      <c r="CL215" s="230">
        <v>14550</v>
      </c>
      <c r="CM215" s="229">
        <v>0.1154</v>
      </c>
      <c r="CN215" s="230">
        <v>6523250</v>
      </c>
      <c r="CO215" s="230">
        <v>5461100</v>
      </c>
      <c r="CP215" s="230">
        <v>1062150</v>
      </c>
      <c r="CQ215" s="229">
        <v>0.19450000000000001</v>
      </c>
      <c r="CR215" s="230">
        <v>3996400</v>
      </c>
      <c r="CS215" s="230">
        <v>3831500</v>
      </c>
      <c r="CT215" s="230">
        <v>164900</v>
      </c>
      <c r="CU215" s="229">
        <v>4.2999999999999997E-2</v>
      </c>
      <c r="CV215" s="230">
        <v>38121000</v>
      </c>
      <c r="CW215" s="230">
        <v>32621100</v>
      </c>
      <c r="CX215" s="230">
        <v>5499900</v>
      </c>
      <c r="CY215" s="229">
        <v>0.1686</v>
      </c>
      <c r="CZ215" s="228">
        <v>41.09</v>
      </c>
      <c r="DA215" s="228">
        <v>46.1</v>
      </c>
      <c r="DB215" s="228">
        <v>-5.01</v>
      </c>
      <c r="DC215" s="228">
        <v>-5.01</v>
      </c>
      <c r="DD215" s="228">
        <v>38.21</v>
      </c>
      <c r="DE215" s="228">
        <v>38.270000000000003</v>
      </c>
      <c r="DF215" s="228">
        <v>2.88</v>
      </c>
      <c r="DG215" s="228">
        <v>-0.06</v>
      </c>
      <c r="DH215" s="228">
        <v>40.96</v>
      </c>
      <c r="DI215" s="228">
        <v>42.99</v>
      </c>
      <c r="DJ215" s="228">
        <v>-2.0299999999999998</v>
      </c>
      <c r="DK215" s="228">
        <v>-2.0299999999999998</v>
      </c>
      <c r="DL215" s="228">
        <v>41.85</v>
      </c>
      <c r="DM215" s="228">
        <v>52.66</v>
      </c>
      <c r="DN215" s="228">
        <v>-10.81</v>
      </c>
      <c r="DO215" s="228">
        <v>-10.81</v>
      </c>
      <c r="DP215" s="228">
        <v>0.61</v>
      </c>
      <c r="DQ215" s="228">
        <v>0.7</v>
      </c>
      <c r="DR215" s="228">
        <v>-0.09</v>
      </c>
      <c r="DS215" s="229">
        <v>-0.12859999999999999</v>
      </c>
      <c r="DT215" s="228">
        <v>120</v>
      </c>
      <c r="DU215" s="228">
        <v>105</v>
      </c>
      <c r="DV215" s="228">
        <v>0.17</v>
      </c>
      <c r="DW215" s="228">
        <v>0.48</v>
      </c>
      <c r="DX215" s="228">
        <v>-0.31</v>
      </c>
      <c r="DY215" s="229">
        <v>-0.64580000000000004</v>
      </c>
      <c r="DZ215" s="229">
        <v>3.1300000000000001E-2</v>
      </c>
      <c r="EA215" s="230">
        <v>586850</v>
      </c>
      <c r="EB215" s="229">
        <v>2.8999999999999998E-3</v>
      </c>
      <c r="EC215" s="229">
        <v>3.1300000000000001E-2</v>
      </c>
      <c r="ED215" s="228">
        <v>0.41</v>
      </c>
      <c r="EE215" s="229">
        <v>3.5000000000000001E-3</v>
      </c>
      <c r="EF215" s="230">
        <v>21281260</v>
      </c>
      <c r="EG215" s="230">
        <v>4221223</v>
      </c>
      <c r="EH215" s="229">
        <v>4.0415000000000001</v>
      </c>
      <c r="EI215" s="229">
        <v>0.69189999999999996</v>
      </c>
      <c r="EJ215" s="231">
        <v>15793.33</v>
      </c>
      <c r="EK215" s="231">
        <v>2574.08</v>
      </c>
      <c r="EL215" s="231">
        <v>15225.44</v>
      </c>
      <c r="EM215" s="228">
        <v>957</v>
      </c>
      <c r="EN215" s="231">
        <v>33592.85</v>
      </c>
      <c r="EO215" s="231">
        <v>9033.8700000000008</v>
      </c>
      <c r="EP215" s="231">
        <v>24558.98</v>
      </c>
      <c r="EQ215" s="229">
        <v>2.7185000000000001</v>
      </c>
      <c r="ER215" s="231">
        <v>7517</v>
      </c>
      <c r="ES215" s="231">
        <v>4335</v>
      </c>
      <c r="ET215" s="231">
        <v>32807</v>
      </c>
      <c r="EU215" s="231">
        <v>321828727</v>
      </c>
      <c r="EV215" s="231">
        <v>44659</v>
      </c>
      <c r="EW215" s="231">
        <v>37857</v>
      </c>
      <c r="EX215" s="231">
        <v>6802</v>
      </c>
      <c r="EY215" s="229">
        <v>0.1797</v>
      </c>
      <c r="EZ215" s="229">
        <v>0.11849999999999999</v>
      </c>
      <c r="FA215" s="227" t="s">
        <v>555</v>
      </c>
      <c r="FB215" s="161">
        <f t="shared" si="5"/>
        <v>0</v>
      </c>
    </row>
    <row r="216" spans="1:158" ht="17.25" thickBot="1" x14ac:dyDescent="0.3">
      <c r="A216" s="226">
        <v>46129</v>
      </c>
      <c r="B216" s="227" t="s">
        <v>184</v>
      </c>
      <c r="C216" s="227" t="s">
        <v>305</v>
      </c>
      <c r="D216" s="228">
        <v>375</v>
      </c>
      <c r="E216" s="231">
        <v>1441.5</v>
      </c>
      <c r="F216" s="231">
        <v>1408.8</v>
      </c>
      <c r="G216" s="228">
        <v>32.700000000000003</v>
      </c>
      <c r="H216" s="229">
        <v>2.3199999999999998E-2</v>
      </c>
      <c r="I216" s="231">
        <v>1440.1</v>
      </c>
      <c r="J216" s="231">
        <v>1408.8</v>
      </c>
      <c r="K216" s="228">
        <v>31.3</v>
      </c>
      <c r="L216" s="229">
        <v>2.2200000000000001E-2</v>
      </c>
      <c r="M216" s="231">
        <v>1441.5</v>
      </c>
      <c r="N216" s="231">
        <v>1408.8</v>
      </c>
      <c r="O216" s="228">
        <v>32.700000000000003</v>
      </c>
      <c r="P216" s="229">
        <v>2.3199999999999998E-2</v>
      </c>
      <c r="Q216" s="231">
        <v>1418.7</v>
      </c>
      <c r="R216" s="231">
        <v>1386.9</v>
      </c>
      <c r="S216" s="228">
        <v>31.8</v>
      </c>
      <c r="T216" s="229">
        <v>2.29E-2</v>
      </c>
      <c r="U216" s="231">
        <v>1395.1</v>
      </c>
      <c r="V216" s="231">
        <v>1368.3</v>
      </c>
      <c r="W216" s="228">
        <v>26.8</v>
      </c>
      <c r="X216" s="229">
        <v>1.9599999999999999E-2</v>
      </c>
      <c r="Y216" s="228">
        <v>1.4</v>
      </c>
      <c r="Z216" s="228">
        <v>0</v>
      </c>
      <c r="AA216" s="228">
        <v>1.4</v>
      </c>
      <c r="AB216" s="229">
        <v>1E-3</v>
      </c>
      <c r="AC216" s="228">
        <v>1.4</v>
      </c>
      <c r="AD216" s="228">
        <v>0</v>
      </c>
      <c r="AE216" s="228">
        <v>1.4</v>
      </c>
      <c r="AF216" s="229">
        <v>1E-3</v>
      </c>
      <c r="AG216" s="228">
        <v>-21.4</v>
      </c>
      <c r="AH216" s="228">
        <v>-21.9</v>
      </c>
      <c r="AI216" s="228">
        <v>0.5</v>
      </c>
      <c r="AJ216" s="229">
        <v>-1.49E-2</v>
      </c>
      <c r="AK216" s="228">
        <v>-45</v>
      </c>
      <c r="AL216" s="228">
        <v>-40.5</v>
      </c>
      <c r="AM216" s="228">
        <v>-4.5</v>
      </c>
      <c r="AN216" s="229">
        <v>-3.1199999999999999E-2</v>
      </c>
      <c r="AO216" s="231">
        <v>1424.05</v>
      </c>
      <c r="AP216" s="231">
        <v>1401.45</v>
      </c>
      <c r="AQ216" s="228">
        <v>0</v>
      </c>
      <c r="AR216" s="230">
        <v>1898625</v>
      </c>
      <c r="AS216" s="230">
        <v>2178000</v>
      </c>
      <c r="AT216" s="230">
        <v>-279375</v>
      </c>
      <c r="AU216" s="229">
        <v>-0.1283</v>
      </c>
      <c r="AV216" s="230">
        <v>1508250</v>
      </c>
      <c r="AW216" s="230">
        <v>1678125</v>
      </c>
      <c r="AX216" s="230">
        <v>-169875</v>
      </c>
      <c r="AY216" s="229">
        <v>-0.1012</v>
      </c>
      <c r="AZ216" s="230">
        <v>364125</v>
      </c>
      <c r="BA216" s="230">
        <v>456000</v>
      </c>
      <c r="BB216" s="230">
        <v>-91875</v>
      </c>
      <c r="BC216" s="229">
        <v>-0.20150000000000001</v>
      </c>
      <c r="BD216" s="230">
        <v>26250</v>
      </c>
      <c r="BE216" s="230">
        <v>43875</v>
      </c>
      <c r="BF216" s="230">
        <v>-17625</v>
      </c>
      <c r="BG216" s="229">
        <v>-0.4017</v>
      </c>
      <c r="BH216" s="230">
        <v>8657250</v>
      </c>
      <c r="BI216" s="230">
        <v>7289250</v>
      </c>
      <c r="BJ216" s="230">
        <v>1368000</v>
      </c>
      <c r="BK216" s="229">
        <v>0.18770000000000001</v>
      </c>
      <c r="BL216" s="230">
        <v>4465500</v>
      </c>
      <c r="BM216" s="230">
        <v>3783000</v>
      </c>
      <c r="BN216" s="230">
        <v>682500</v>
      </c>
      <c r="BO216" s="229">
        <v>0.1804</v>
      </c>
      <c r="BP216" s="230">
        <v>15021375</v>
      </c>
      <c r="BQ216" s="230">
        <v>13250250</v>
      </c>
      <c r="BR216" s="230">
        <v>1771125</v>
      </c>
      <c r="BS216" s="229">
        <v>0.13370000000000001</v>
      </c>
      <c r="BT216" s="230">
        <v>1311372</v>
      </c>
      <c r="BU216" s="230">
        <v>1343158</v>
      </c>
      <c r="BV216" s="230">
        <v>-31786</v>
      </c>
      <c r="BW216" s="229">
        <v>-2.3699999999999999E-2</v>
      </c>
      <c r="BX216" s="230">
        <v>12342000</v>
      </c>
      <c r="BY216" s="230">
        <v>12280500</v>
      </c>
      <c r="BZ216" s="230">
        <v>61500</v>
      </c>
      <c r="CA216" s="229">
        <v>5.0000000000000001E-3</v>
      </c>
      <c r="CB216" s="230">
        <v>10682250</v>
      </c>
      <c r="CC216" s="230">
        <v>10701750</v>
      </c>
      <c r="CD216" s="230">
        <v>-19500</v>
      </c>
      <c r="CE216" s="229">
        <v>-1.8E-3</v>
      </c>
      <c r="CF216" s="230">
        <v>1561500</v>
      </c>
      <c r="CG216" s="230">
        <v>1474500</v>
      </c>
      <c r="CH216" s="230">
        <v>87000</v>
      </c>
      <c r="CI216" s="229">
        <v>5.8999999999999997E-2</v>
      </c>
      <c r="CJ216" s="230">
        <v>98250</v>
      </c>
      <c r="CK216" s="230">
        <v>104250</v>
      </c>
      <c r="CL216" s="230">
        <v>-6000</v>
      </c>
      <c r="CM216" s="229">
        <v>-5.7599999999999998E-2</v>
      </c>
      <c r="CN216" s="230">
        <v>4279500</v>
      </c>
      <c r="CO216" s="230">
        <v>4719750</v>
      </c>
      <c r="CP216" s="230">
        <v>-440250</v>
      </c>
      <c r="CQ216" s="229">
        <v>-9.3299999999999994E-2</v>
      </c>
      <c r="CR216" s="230">
        <v>4046625</v>
      </c>
      <c r="CS216" s="230">
        <v>3713250</v>
      </c>
      <c r="CT216" s="230">
        <v>333375</v>
      </c>
      <c r="CU216" s="229">
        <v>8.9800000000000005E-2</v>
      </c>
      <c r="CV216" s="230">
        <v>20668125</v>
      </c>
      <c r="CW216" s="230">
        <v>20713500</v>
      </c>
      <c r="CX216" s="230">
        <v>-45375</v>
      </c>
      <c r="CY216" s="229">
        <v>-2.2000000000000001E-3</v>
      </c>
      <c r="CZ216" s="228">
        <v>38.28</v>
      </c>
      <c r="DA216" s="228">
        <v>39.65</v>
      </c>
      <c r="DB216" s="228">
        <v>-1.37</v>
      </c>
      <c r="DC216" s="228">
        <v>-1.37</v>
      </c>
      <c r="DD216" s="228">
        <v>40.090000000000003</v>
      </c>
      <c r="DE216" s="228">
        <v>40.07</v>
      </c>
      <c r="DF216" s="228">
        <v>-1.81</v>
      </c>
      <c r="DG216" s="228">
        <v>0.02</v>
      </c>
      <c r="DH216" s="228">
        <v>36.049999999999997</v>
      </c>
      <c r="DI216" s="228">
        <v>38.020000000000003</v>
      </c>
      <c r="DJ216" s="228">
        <v>-1.97</v>
      </c>
      <c r="DK216" s="228">
        <v>-1.97</v>
      </c>
      <c r="DL216" s="228">
        <v>42.58</v>
      </c>
      <c r="DM216" s="228">
        <v>42.78</v>
      </c>
      <c r="DN216" s="228">
        <v>-0.2</v>
      </c>
      <c r="DO216" s="228">
        <v>-0.2</v>
      </c>
      <c r="DP216" s="228">
        <v>0.95</v>
      </c>
      <c r="DQ216" s="228">
        <v>0.79</v>
      </c>
      <c r="DR216" s="228">
        <v>0.16</v>
      </c>
      <c r="DS216" s="229">
        <v>0.20250000000000001</v>
      </c>
      <c r="DT216" s="231">
        <v>1300</v>
      </c>
      <c r="DU216" s="231">
        <v>1200</v>
      </c>
      <c r="DV216" s="228">
        <v>0.52</v>
      </c>
      <c r="DW216" s="228">
        <v>0.52</v>
      </c>
      <c r="DX216" s="228">
        <v>0</v>
      </c>
      <c r="DY216" s="229">
        <v>0</v>
      </c>
      <c r="DZ216" s="229">
        <v>0.13450000000000001</v>
      </c>
      <c r="EA216" s="230">
        <v>1578750</v>
      </c>
      <c r="EB216" s="229">
        <v>-1.5800000000000002E-2</v>
      </c>
      <c r="EC216" s="229">
        <v>0.13450000000000001</v>
      </c>
      <c r="ED216" s="228">
        <v>-22.6</v>
      </c>
      <c r="EE216" s="229">
        <v>-1.5900000000000001E-2</v>
      </c>
      <c r="EF216" s="230">
        <v>743127</v>
      </c>
      <c r="EG216" s="230">
        <v>564430</v>
      </c>
      <c r="EH216" s="229">
        <v>0.31659999999999999</v>
      </c>
      <c r="EI216" s="229">
        <v>0.56669999999999998</v>
      </c>
      <c r="EJ216" s="231">
        <v>128811.18</v>
      </c>
      <c r="EK216" s="231">
        <v>61270.94</v>
      </c>
      <c r="EL216" s="231">
        <v>26945.119999999999</v>
      </c>
      <c r="EM216" s="231">
        <v>8827</v>
      </c>
      <c r="EN216" s="231">
        <v>217027.24</v>
      </c>
      <c r="EO216" s="231">
        <v>189381.53</v>
      </c>
      <c r="EP216" s="231">
        <v>27645.71</v>
      </c>
      <c r="EQ216" s="229">
        <v>0.14599999999999999</v>
      </c>
      <c r="ER216" s="231">
        <v>60359</v>
      </c>
      <c r="ES216" s="231">
        <v>51585</v>
      </c>
      <c r="ET216" s="231">
        <v>177508</v>
      </c>
      <c r="EU216" s="231">
        <v>25134629</v>
      </c>
      <c r="EV216" s="231">
        <v>289452</v>
      </c>
      <c r="EW216" s="231">
        <v>286427</v>
      </c>
      <c r="EX216" s="231">
        <v>3025</v>
      </c>
      <c r="EY216" s="229">
        <v>1.06E-2</v>
      </c>
      <c r="EZ216" s="229">
        <v>0.82230000000000003</v>
      </c>
      <c r="FA216" s="227" t="s">
        <v>555</v>
      </c>
      <c r="FB216" s="161">
        <f t="shared" si="5"/>
        <v>0</v>
      </c>
    </row>
    <row r="217" spans="1:158" ht="17.25" thickBot="1" x14ac:dyDescent="0.3">
      <c r="A217" s="226">
        <v>46129</v>
      </c>
      <c r="B217" s="227" t="s">
        <v>184</v>
      </c>
      <c r="C217" s="227" t="s">
        <v>690</v>
      </c>
      <c r="D217" s="228">
        <v>175</v>
      </c>
      <c r="E217" s="231">
        <v>3470.3</v>
      </c>
      <c r="F217" s="231">
        <v>3450.9</v>
      </c>
      <c r="G217" s="228">
        <v>19.399999999999999</v>
      </c>
      <c r="H217" s="229">
        <v>5.5999999999999999E-3</v>
      </c>
      <c r="I217" s="231">
        <v>3466.2</v>
      </c>
      <c r="J217" s="231">
        <v>3438.8</v>
      </c>
      <c r="K217" s="228">
        <v>27.4</v>
      </c>
      <c r="L217" s="229">
        <v>8.0000000000000002E-3</v>
      </c>
      <c r="M217" s="231">
        <v>3470.3</v>
      </c>
      <c r="N217" s="231">
        <v>3450.9</v>
      </c>
      <c r="O217" s="228">
        <v>19.399999999999999</v>
      </c>
      <c r="P217" s="229">
        <v>5.5999999999999999E-3</v>
      </c>
      <c r="Q217" s="231">
        <v>3483.9</v>
      </c>
      <c r="R217" s="231">
        <v>3467.6</v>
      </c>
      <c r="S217" s="228">
        <v>16.3</v>
      </c>
      <c r="T217" s="229">
        <v>4.7000000000000002E-3</v>
      </c>
      <c r="U217" s="231">
        <v>3512.6</v>
      </c>
      <c r="V217" s="231">
        <v>3482.6</v>
      </c>
      <c r="W217" s="228">
        <v>30</v>
      </c>
      <c r="X217" s="229">
        <v>8.6E-3</v>
      </c>
      <c r="Y217" s="228">
        <v>4.0999999999999996</v>
      </c>
      <c r="Z217" s="228">
        <v>12.1</v>
      </c>
      <c r="AA217" s="228">
        <v>-8</v>
      </c>
      <c r="AB217" s="229">
        <v>1.1999999999999999E-3</v>
      </c>
      <c r="AC217" s="228">
        <v>4.0999999999999996</v>
      </c>
      <c r="AD217" s="228">
        <v>12.1</v>
      </c>
      <c r="AE217" s="228">
        <v>-8</v>
      </c>
      <c r="AF217" s="229">
        <v>1.1999999999999999E-3</v>
      </c>
      <c r="AG217" s="228">
        <v>17.7</v>
      </c>
      <c r="AH217" s="228">
        <v>28.8</v>
      </c>
      <c r="AI217" s="228">
        <v>-11.1</v>
      </c>
      <c r="AJ217" s="229">
        <v>5.1000000000000004E-3</v>
      </c>
      <c r="AK217" s="228">
        <v>46.4</v>
      </c>
      <c r="AL217" s="228">
        <v>43.8</v>
      </c>
      <c r="AM217" s="228">
        <v>2.6</v>
      </c>
      <c r="AN217" s="229">
        <v>1.34E-2</v>
      </c>
      <c r="AO217" s="231">
        <v>3481</v>
      </c>
      <c r="AP217" s="231">
        <v>3503.23</v>
      </c>
      <c r="AQ217" s="228">
        <v>0</v>
      </c>
      <c r="AR217" s="230">
        <v>1911000</v>
      </c>
      <c r="AS217" s="230">
        <v>894075</v>
      </c>
      <c r="AT217" s="230">
        <v>1016925</v>
      </c>
      <c r="AU217" s="229">
        <v>1.1374</v>
      </c>
      <c r="AV217" s="230">
        <v>1643250</v>
      </c>
      <c r="AW217" s="230">
        <v>738325</v>
      </c>
      <c r="AX217" s="230">
        <v>904925</v>
      </c>
      <c r="AY217" s="229">
        <v>1.2256</v>
      </c>
      <c r="AZ217" s="230">
        <v>253050</v>
      </c>
      <c r="BA217" s="230">
        <v>147875</v>
      </c>
      <c r="BB217" s="230">
        <v>105175</v>
      </c>
      <c r="BC217" s="229">
        <v>0.71120000000000005</v>
      </c>
      <c r="BD217" s="230">
        <v>14700</v>
      </c>
      <c r="BE217" s="230">
        <v>7875</v>
      </c>
      <c r="BF217" s="230">
        <v>6825</v>
      </c>
      <c r="BG217" s="229">
        <v>0.86670000000000003</v>
      </c>
      <c r="BH217" s="230">
        <v>7021875</v>
      </c>
      <c r="BI217" s="230">
        <v>3162775</v>
      </c>
      <c r="BJ217" s="230">
        <v>3859100</v>
      </c>
      <c r="BK217" s="229">
        <v>1.2202</v>
      </c>
      <c r="BL217" s="230">
        <v>3471475</v>
      </c>
      <c r="BM217" s="230">
        <v>2284975</v>
      </c>
      <c r="BN217" s="230">
        <v>1186500</v>
      </c>
      <c r="BO217" s="229">
        <v>0.51929999999999998</v>
      </c>
      <c r="BP217" s="230">
        <v>12404350</v>
      </c>
      <c r="BQ217" s="230">
        <v>6341825</v>
      </c>
      <c r="BR217" s="230">
        <v>6062525</v>
      </c>
      <c r="BS217" s="229">
        <v>0.95599999999999996</v>
      </c>
      <c r="BT217" s="230">
        <v>3722006</v>
      </c>
      <c r="BU217" s="230">
        <v>1227960</v>
      </c>
      <c r="BV217" s="230">
        <v>2494046</v>
      </c>
      <c r="BW217" s="229">
        <v>2.0310000000000001</v>
      </c>
      <c r="BX217" s="230">
        <v>4788000</v>
      </c>
      <c r="BY217" s="230">
        <v>4883900</v>
      </c>
      <c r="BZ217" s="230">
        <v>-95900</v>
      </c>
      <c r="CA217" s="229">
        <v>-1.9599999999999999E-2</v>
      </c>
      <c r="CB217" s="230">
        <v>4396175</v>
      </c>
      <c r="CC217" s="230">
        <v>4600050</v>
      </c>
      <c r="CD217" s="230">
        <v>-203875</v>
      </c>
      <c r="CE217" s="229">
        <v>-4.4299999999999999E-2</v>
      </c>
      <c r="CF217" s="230">
        <v>372575</v>
      </c>
      <c r="CG217" s="230">
        <v>272125</v>
      </c>
      <c r="CH217" s="230">
        <v>100450</v>
      </c>
      <c r="CI217" s="229">
        <v>0.36909999999999998</v>
      </c>
      <c r="CJ217" s="230">
        <v>19250</v>
      </c>
      <c r="CK217" s="230">
        <v>11725</v>
      </c>
      <c r="CL217" s="230">
        <v>7525</v>
      </c>
      <c r="CM217" s="229">
        <v>0.64180000000000004</v>
      </c>
      <c r="CN217" s="230">
        <v>2144100</v>
      </c>
      <c r="CO217" s="230">
        <v>2076550</v>
      </c>
      <c r="CP217" s="230">
        <v>67550</v>
      </c>
      <c r="CQ217" s="229">
        <v>3.2500000000000001E-2</v>
      </c>
      <c r="CR217" s="230">
        <v>1578325</v>
      </c>
      <c r="CS217" s="230">
        <v>1696625</v>
      </c>
      <c r="CT217" s="230">
        <v>-118300</v>
      </c>
      <c r="CU217" s="229">
        <v>-6.9699999999999998E-2</v>
      </c>
      <c r="CV217" s="230">
        <v>8510425</v>
      </c>
      <c r="CW217" s="230">
        <v>8657075</v>
      </c>
      <c r="CX217" s="230">
        <v>-146650</v>
      </c>
      <c r="CY217" s="229">
        <v>-1.6899999999999998E-2</v>
      </c>
      <c r="CZ217" s="228">
        <v>40.770000000000003</v>
      </c>
      <c r="DA217" s="228">
        <v>44.02</v>
      </c>
      <c r="DB217" s="228">
        <v>-3.25</v>
      </c>
      <c r="DC217" s="228">
        <v>-3.25</v>
      </c>
      <c r="DD217" s="228">
        <v>52.87</v>
      </c>
      <c r="DE217" s="228">
        <v>52.99</v>
      </c>
      <c r="DF217" s="228">
        <v>-12.1</v>
      </c>
      <c r="DG217" s="228">
        <v>-0.12</v>
      </c>
      <c r="DH217" s="228">
        <v>38.04</v>
      </c>
      <c r="DI217" s="228">
        <v>41.05</v>
      </c>
      <c r="DJ217" s="228">
        <v>-3.01</v>
      </c>
      <c r="DK217" s="228">
        <v>-3.01</v>
      </c>
      <c r="DL217" s="228">
        <v>46.3</v>
      </c>
      <c r="DM217" s="228">
        <v>48.14</v>
      </c>
      <c r="DN217" s="228">
        <v>-1.84</v>
      </c>
      <c r="DO217" s="228">
        <v>-1.84</v>
      </c>
      <c r="DP217" s="228">
        <v>0.74</v>
      </c>
      <c r="DQ217" s="228">
        <v>0.82</v>
      </c>
      <c r="DR217" s="228">
        <v>-0.08</v>
      </c>
      <c r="DS217" s="229">
        <v>-9.7600000000000006E-2</v>
      </c>
      <c r="DT217" s="231">
        <v>3500</v>
      </c>
      <c r="DU217" s="231">
        <v>3500</v>
      </c>
      <c r="DV217" s="228">
        <v>0.49</v>
      </c>
      <c r="DW217" s="228">
        <v>0.72</v>
      </c>
      <c r="DX217" s="228">
        <v>-0.23</v>
      </c>
      <c r="DY217" s="229">
        <v>-0.31940000000000002</v>
      </c>
      <c r="DZ217" s="229">
        <v>8.1799999999999998E-2</v>
      </c>
      <c r="EA217" s="230">
        <v>283850</v>
      </c>
      <c r="EB217" s="229">
        <v>3.8999999999999998E-3</v>
      </c>
      <c r="EC217" s="229">
        <v>8.1799999999999998E-2</v>
      </c>
      <c r="ED217" s="228">
        <v>22.23</v>
      </c>
      <c r="EE217" s="229">
        <v>6.4000000000000003E-3</v>
      </c>
      <c r="EF217" s="230">
        <v>1930884</v>
      </c>
      <c r="EG217" s="230">
        <v>316945</v>
      </c>
      <c r="EH217" s="229">
        <v>5.0922000000000001</v>
      </c>
      <c r="EI217" s="229">
        <v>0.51880000000000004</v>
      </c>
      <c r="EJ217" s="231">
        <v>255836.35</v>
      </c>
      <c r="EK217" s="231">
        <v>113105.56</v>
      </c>
      <c r="EL217" s="231">
        <v>66585.289999999994</v>
      </c>
      <c r="EM217" s="231">
        <v>8177</v>
      </c>
      <c r="EN217" s="231">
        <v>435527.2</v>
      </c>
      <c r="EO217" s="231">
        <v>216972.49</v>
      </c>
      <c r="EP217" s="231">
        <v>218554.71</v>
      </c>
      <c r="EQ217" s="229">
        <v>1.0073000000000001</v>
      </c>
      <c r="ER217" s="231">
        <v>74331</v>
      </c>
      <c r="ES217" s="231">
        <v>50793</v>
      </c>
      <c r="ET217" s="231">
        <v>166217</v>
      </c>
      <c r="EU217" s="231">
        <v>15436318</v>
      </c>
      <c r="EV217" s="231">
        <v>291341</v>
      </c>
      <c r="EW217" s="231">
        <v>294326</v>
      </c>
      <c r="EX217" s="231">
        <v>-2985</v>
      </c>
      <c r="EY217" s="229">
        <v>-1.01E-2</v>
      </c>
      <c r="EZ217" s="229">
        <v>0.55130000000000001</v>
      </c>
      <c r="FA217" s="227" t="s">
        <v>693</v>
      </c>
      <c r="FB217" s="161">
        <f t="shared" si="5"/>
        <v>0</v>
      </c>
    </row>
    <row r="218" spans="1:158" ht="17.25" thickBot="1" x14ac:dyDescent="0.3">
      <c r="A218" s="226">
        <v>46129</v>
      </c>
      <c r="B218" s="227" t="s">
        <v>221</v>
      </c>
      <c r="C218" s="227" t="s">
        <v>306</v>
      </c>
      <c r="D218" s="228">
        <v>3000</v>
      </c>
      <c r="E218" s="228">
        <v>202.37</v>
      </c>
      <c r="F218" s="228">
        <v>204.81</v>
      </c>
      <c r="G218" s="228">
        <v>-2.44</v>
      </c>
      <c r="H218" s="229">
        <v>-1.1900000000000001E-2</v>
      </c>
      <c r="I218" s="228">
        <v>204.32</v>
      </c>
      <c r="J218" s="228">
        <v>210.26</v>
      </c>
      <c r="K218" s="228">
        <v>-5.94</v>
      </c>
      <c r="L218" s="229">
        <v>-2.8299999999999999E-2</v>
      </c>
      <c r="M218" s="228">
        <v>202.37</v>
      </c>
      <c r="N218" s="228">
        <v>204.81</v>
      </c>
      <c r="O218" s="228">
        <v>-2.44</v>
      </c>
      <c r="P218" s="229">
        <v>-1.1900000000000001E-2</v>
      </c>
      <c r="Q218" s="228">
        <v>199.72</v>
      </c>
      <c r="R218" s="228">
        <v>202.34</v>
      </c>
      <c r="S218" s="228">
        <v>-2.62</v>
      </c>
      <c r="T218" s="229">
        <v>-1.29E-2</v>
      </c>
      <c r="U218" s="228">
        <v>197.36</v>
      </c>
      <c r="V218" s="228">
        <v>200.58</v>
      </c>
      <c r="W218" s="228">
        <v>-3.22</v>
      </c>
      <c r="X218" s="229">
        <v>-1.61E-2</v>
      </c>
      <c r="Y218" s="228">
        <v>-1.95</v>
      </c>
      <c r="Z218" s="228">
        <v>-5.45</v>
      </c>
      <c r="AA218" s="228">
        <v>3.5</v>
      </c>
      <c r="AB218" s="229">
        <v>-9.4999999999999998E-3</v>
      </c>
      <c r="AC218" s="228">
        <v>-1.95</v>
      </c>
      <c r="AD218" s="228">
        <v>-5.45</v>
      </c>
      <c r="AE218" s="228">
        <v>3.5</v>
      </c>
      <c r="AF218" s="229">
        <v>-9.4999999999999998E-3</v>
      </c>
      <c r="AG218" s="228">
        <v>-4.5999999999999996</v>
      </c>
      <c r="AH218" s="228">
        <v>-7.92</v>
      </c>
      <c r="AI218" s="228">
        <v>3.32</v>
      </c>
      <c r="AJ218" s="229">
        <v>-2.2499999999999999E-2</v>
      </c>
      <c r="AK218" s="228">
        <v>-6.96</v>
      </c>
      <c r="AL218" s="228">
        <v>-9.68</v>
      </c>
      <c r="AM218" s="228">
        <v>2.72</v>
      </c>
      <c r="AN218" s="229">
        <v>-3.4099999999999998E-2</v>
      </c>
      <c r="AO218" s="228">
        <v>200.22</v>
      </c>
      <c r="AP218" s="228">
        <v>197.51</v>
      </c>
      <c r="AQ218" s="228">
        <v>0</v>
      </c>
      <c r="AR218" s="230">
        <v>114093000</v>
      </c>
      <c r="AS218" s="230">
        <v>65778000</v>
      </c>
      <c r="AT218" s="230">
        <v>48315000</v>
      </c>
      <c r="AU218" s="229">
        <v>0.73450000000000004</v>
      </c>
      <c r="AV218" s="230">
        <v>76251000</v>
      </c>
      <c r="AW218" s="230">
        <v>48297000</v>
      </c>
      <c r="AX218" s="230">
        <v>27954000</v>
      </c>
      <c r="AY218" s="229">
        <v>0.57879999999999998</v>
      </c>
      <c r="AZ218" s="230">
        <v>31632000</v>
      </c>
      <c r="BA218" s="230">
        <v>14991000</v>
      </c>
      <c r="BB218" s="230">
        <v>16641000</v>
      </c>
      <c r="BC218" s="229">
        <v>1.1101000000000001</v>
      </c>
      <c r="BD218" s="230">
        <v>6210000</v>
      </c>
      <c r="BE218" s="230">
        <v>2490000</v>
      </c>
      <c r="BF218" s="230">
        <v>3720000</v>
      </c>
      <c r="BG218" s="229">
        <v>1.494</v>
      </c>
      <c r="BH218" s="230">
        <v>451926000</v>
      </c>
      <c r="BI218" s="230">
        <v>252696000</v>
      </c>
      <c r="BJ218" s="230">
        <v>199230000</v>
      </c>
      <c r="BK218" s="229">
        <v>0.78839999999999999</v>
      </c>
      <c r="BL218" s="230">
        <v>233010000</v>
      </c>
      <c r="BM218" s="230">
        <v>111264000</v>
      </c>
      <c r="BN218" s="230">
        <v>121746000</v>
      </c>
      <c r="BO218" s="229">
        <v>1.0942000000000001</v>
      </c>
      <c r="BP218" s="230">
        <v>799029000</v>
      </c>
      <c r="BQ218" s="230">
        <v>429738000</v>
      </c>
      <c r="BR218" s="230">
        <v>369291000</v>
      </c>
      <c r="BS218" s="229">
        <v>0.85929999999999995</v>
      </c>
      <c r="BT218" s="230">
        <v>84058228</v>
      </c>
      <c r="BU218" s="230">
        <v>38497660</v>
      </c>
      <c r="BV218" s="230">
        <v>45560568</v>
      </c>
      <c r="BW218" s="229">
        <v>1.1835</v>
      </c>
      <c r="BX218" s="230">
        <v>321855000</v>
      </c>
      <c r="BY218" s="230">
        <v>286140000</v>
      </c>
      <c r="BZ218" s="230">
        <v>35715000</v>
      </c>
      <c r="CA218" s="229">
        <v>0.12479999999999999</v>
      </c>
      <c r="CB218" s="230">
        <v>250206000</v>
      </c>
      <c r="CC218" s="230">
        <v>231714000</v>
      </c>
      <c r="CD218" s="230">
        <v>18492000</v>
      </c>
      <c r="CE218" s="229">
        <v>7.9799999999999996E-2</v>
      </c>
      <c r="CF218" s="230">
        <v>62709000</v>
      </c>
      <c r="CG218" s="230">
        <v>48726000</v>
      </c>
      <c r="CH218" s="230">
        <v>13983000</v>
      </c>
      <c r="CI218" s="229">
        <v>0.28699999999999998</v>
      </c>
      <c r="CJ218" s="230">
        <v>8940000</v>
      </c>
      <c r="CK218" s="230">
        <v>5700000</v>
      </c>
      <c r="CL218" s="230">
        <v>3240000</v>
      </c>
      <c r="CM218" s="229">
        <v>0.56840000000000002</v>
      </c>
      <c r="CN218" s="230">
        <v>170253000</v>
      </c>
      <c r="CO218" s="230">
        <v>136545000</v>
      </c>
      <c r="CP218" s="230">
        <v>33708000</v>
      </c>
      <c r="CQ218" s="229">
        <v>0.24690000000000001</v>
      </c>
      <c r="CR218" s="230">
        <v>83544000</v>
      </c>
      <c r="CS218" s="230">
        <v>69657000</v>
      </c>
      <c r="CT218" s="230">
        <v>13887000</v>
      </c>
      <c r="CU218" s="229">
        <v>0.19939999999999999</v>
      </c>
      <c r="CV218" s="230">
        <v>575652000</v>
      </c>
      <c r="CW218" s="230">
        <v>492342000</v>
      </c>
      <c r="CX218" s="230">
        <v>83310000</v>
      </c>
      <c r="CY218" s="229">
        <v>0.16919999999999999</v>
      </c>
      <c r="CZ218" s="228">
        <v>29.24</v>
      </c>
      <c r="DA218" s="228">
        <v>41.26</v>
      </c>
      <c r="DB218" s="228">
        <v>-12.02</v>
      </c>
      <c r="DC218" s="228">
        <v>-12.02</v>
      </c>
      <c r="DD218" s="228">
        <v>31.49</v>
      </c>
      <c r="DE218" s="228">
        <v>31.34</v>
      </c>
      <c r="DF218" s="228">
        <v>-2.25</v>
      </c>
      <c r="DG218" s="228">
        <v>0.15</v>
      </c>
      <c r="DH218" s="228">
        <v>29.66</v>
      </c>
      <c r="DI218" s="228">
        <v>41.81</v>
      </c>
      <c r="DJ218" s="228">
        <v>-12.15</v>
      </c>
      <c r="DK218" s="228">
        <v>-12.15</v>
      </c>
      <c r="DL218" s="228">
        <v>28.43</v>
      </c>
      <c r="DM218" s="228">
        <v>40.020000000000003</v>
      </c>
      <c r="DN218" s="228">
        <v>-11.59</v>
      </c>
      <c r="DO218" s="228">
        <v>-11.59</v>
      </c>
      <c r="DP218" s="228">
        <v>0.49</v>
      </c>
      <c r="DQ218" s="228">
        <v>0.51</v>
      </c>
      <c r="DR218" s="228">
        <v>-0.02</v>
      </c>
      <c r="DS218" s="229">
        <v>-3.9199999999999999E-2</v>
      </c>
      <c r="DT218" s="228">
        <v>210</v>
      </c>
      <c r="DU218" s="228">
        <v>200</v>
      </c>
      <c r="DV218" s="228">
        <v>0.52</v>
      </c>
      <c r="DW218" s="228">
        <v>0.44</v>
      </c>
      <c r="DX218" s="228">
        <v>0.08</v>
      </c>
      <c r="DY218" s="229">
        <v>0.18179999999999999</v>
      </c>
      <c r="DZ218" s="229">
        <v>0.22259999999999999</v>
      </c>
      <c r="EA218" s="230">
        <v>54426000</v>
      </c>
      <c r="EB218" s="229">
        <v>-1.3100000000000001E-2</v>
      </c>
      <c r="EC218" s="229">
        <v>0.22259999999999999</v>
      </c>
      <c r="ED218" s="228">
        <v>-2.71</v>
      </c>
      <c r="EE218" s="229">
        <v>-1.35E-2</v>
      </c>
      <c r="EF218" s="230">
        <v>40969364</v>
      </c>
      <c r="EG218" s="230">
        <v>18174433</v>
      </c>
      <c r="EH218" s="229">
        <v>1.2542</v>
      </c>
      <c r="EI218" s="229">
        <v>0.4874</v>
      </c>
      <c r="EJ218" s="231">
        <v>965947.8</v>
      </c>
      <c r="EK218" s="231">
        <v>468441.17</v>
      </c>
      <c r="EL218" s="231">
        <v>227293.73</v>
      </c>
      <c r="EM218" s="231">
        <v>21829</v>
      </c>
      <c r="EN218" s="231">
        <v>1661682.7</v>
      </c>
      <c r="EO218" s="231">
        <v>915176.18</v>
      </c>
      <c r="EP218" s="231">
        <v>746506.52</v>
      </c>
      <c r="EQ218" s="229">
        <v>0.81569999999999998</v>
      </c>
      <c r="ER218" s="231">
        <v>364662</v>
      </c>
      <c r="ES218" s="231">
        <v>164634</v>
      </c>
      <c r="ET218" s="231">
        <v>649228</v>
      </c>
      <c r="EU218" s="231">
        <v>428710078</v>
      </c>
      <c r="EV218" s="231">
        <v>1178524</v>
      </c>
      <c r="EW218" s="231">
        <v>1015566</v>
      </c>
      <c r="EX218" s="231">
        <v>162958</v>
      </c>
      <c r="EY218" s="229">
        <v>0.1605</v>
      </c>
      <c r="EZ218" s="229">
        <v>1.3428</v>
      </c>
      <c r="FA218" s="227" t="s">
        <v>566</v>
      </c>
      <c r="FB218" s="161">
        <f t="shared" si="5"/>
        <v>0</v>
      </c>
    </row>
    <row r="219" spans="1:158" ht="17.25" thickBot="1" x14ac:dyDescent="0.3">
      <c r="A219" s="226">
        <v>46129</v>
      </c>
      <c r="B219" s="227" t="s">
        <v>172</v>
      </c>
      <c r="C219" s="227" t="s">
        <v>589</v>
      </c>
      <c r="D219" s="228">
        <v>31100</v>
      </c>
      <c r="E219" s="228">
        <v>20.260000000000002</v>
      </c>
      <c r="F219" s="228">
        <v>20</v>
      </c>
      <c r="G219" s="228">
        <v>0.26</v>
      </c>
      <c r="H219" s="229">
        <v>1.2999999999999999E-2</v>
      </c>
      <c r="I219" s="228">
        <v>20.190000000000001</v>
      </c>
      <c r="J219" s="228">
        <v>19.95</v>
      </c>
      <c r="K219" s="228">
        <v>0.24</v>
      </c>
      <c r="L219" s="229">
        <v>1.2E-2</v>
      </c>
      <c r="M219" s="228">
        <v>20.260000000000002</v>
      </c>
      <c r="N219" s="228">
        <v>20</v>
      </c>
      <c r="O219" s="228">
        <v>0.26</v>
      </c>
      <c r="P219" s="229">
        <v>1.2999999999999999E-2</v>
      </c>
      <c r="Q219" s="228">
        <v>20.38</v>
      </c>
      <c r="R219" s="228">
        <v>20.12</v>
      </c>
      <c r="S219" s="228">
        <v>0.26</v>
      </c>
      <c r="T219" s="229">
        <v>1.29E-2</v>
      </c>
      <c r="U219" s="228">
        <v>20.48</v>
      </c>
      <c r="V219" s="228">
        <v>20.25</v>
      </c>
      <c r="W219" s="228">
        <v>0.23</v>
      </c>
      <c r="X219" s="229">
        <v>1.14E-2</v>
      </c>
      <c r="Y219" s="228">
        <v>7.0000000000000007E-2</v>
      </c>
      <c r="Z219" s="228">
        <v>0.05</v>
      </c>
      <c r="AA219" s="228">
        <v>0.02</v>
      </c>
      <c r="AB219" s="229">
        <v>3.5000000000000001E-3</v>
      </c>
      <c r="AC219" s="228">
        <v>7.0000000000000007E-2</v>
      </c>
      <c r="AD219" s="228">
        <v>0.05</v>
      </c>
      <c r="AE219" s="228">
        <v>0.02</v>
      </c>
      <c r="AF219" s="229">
        <v>3.5000000000000001E-3</v>
      </c>
      <c r="AG219" s="228">
        <v>0.19</v>
      </c>
      <c r="AH219" s="228">
        <v>0.17</v>
      </c>
      <c r="AI219" s="228">
        <v>0.02</v>
      </c>
      <c r="AJ219" s="229">
        <v>9.4000000000000004E-3</v>
      </c>
      <c r="AK219" s="228">
        <v>0.28999999999999998</v>
      </c>
      <c r="AL219" s="228">
        <v>0.3</v>
      </c>
      <c r="AM219" s="228">
        <v>-0.01</v>
      </c>
      <c r="AN219" s="229">
        <v>1.44E-2</v>
      </c>
      <c r="AO219" s="228">
        <v>20.12</v>
      </c>
      <c r="AP219" s="228">
        <v>20.18</v>
      </c>
      <c r="AQ219" s="228">
        <v>0</v>
      </c>
      <c r="AR219" s="230">
        <v>280490900</v>
      </c>
      <c r="AS219" s="230">
        <v>273680000</v>
      </c>
      <c r="AT219" s="230">
        <v>6810900</v>
      </c>
      <c r="AU219" s="229">
        <v>2.4899999999999999E-2</v>
      </c>
      <c r="AV219" s="230">
        <v>234431800</v>
      </c>
      <c r="AW219" s="230">
        <v>217731100</v>
      </c>
      <c r="AX219" s="230">
        <v>16700700</v>
      </c>
      <c r="AY219" s="229">
        <v>7.6700000000000004E-2</v>
      </c>
      <c r="AZ219" s="230">
        <v>41580700</v>
      </c>
      <c r="BA219" s="230">
        <v>49946600</v>
      </c>
      <c r="BB219" s="230">
        <v>-8365900</v>
      </c>
      <c r="BC219" s="229">
        <v>-0.16750000000000001</v>
      </c>
      <c r="BD219" s="230">
        <v>4478400</v>
      </c>
      <c r="BE219" s="230">
        <v>6002300</v>
      </c>
      <c r="BF219" s="230">
        <v>-1523900</v>
      </c>
      <c r="BG219" s="229">
        <v>-0.25390000000000001</v>
      </c>
      <c r="BH219" s="230">
        <v>1263313100</v>
      </c>
      <c r="BI219" s="230">
        <v>814757800</v>
      </c>
      <c r="BJ219" s="230">
        <v>448555300</v>
      </c>
      <c r="BK219" s="229">
        <v>0.55049999999999999</v>
      </c>
      <c r="BL219" s="230">
        <v>260618000</v>
      </c>
      <c r="BM219" s="230">
        <v>275825900</v>
      </c>
      <c r="BN219" s="230">
        <v>-15207900</v>
      </c>
      <c r="BO219" s="229">
        <v>-5.5100000000000003E-2</v>
      </c>
      <c r="BP219" s="230">
        <v>1804422000</v>
      </c>
      <c r="BQ219" s="230">
        <v>1364263700</v>
      </c>
      <c r="BR219" s="230">
        <v>440158300</v>
      </c>
      <c r="BS219" s="229">
        <v>0.3226</v>
      </c>
      <c r="BT219" s="230">
        <v>140556768</v>
      </c>
      <c r="BU219" s="230">
        <v>172557876</v>
      </c>
      <c r="BV219" s="230">
        <v>-32001108</v>
      </c>
      <c r="BW219" s="229">
        <v>-0.1855</v>
      </c>
      <c r="BX219" s="230">
        <v>1261758100</v>
      </c>
      <c r="BY219" s="230">
        <v>1190041500</v>
      </c>
      <c r="BZ219" s="230">
        <v>71716600</v>
      </c>
      <c r="CA219" s="229">
        <v>6.0299999999999999E-2</v>
      </c>
      <c r="CB219" s="230">
        <v>1090832500</v>
      </c>
      <c r="CC219" s="230">
        <v>1040046200</v>
      </c>
      <c r="CD219" s="230">
        <v>50786300</v>
      </c>
      <c r="CE219" s="229">
        <v>4.8800000000000003E-2</v>
      </c>
      <c r="CF219" s="230">
        <v>154193800</v>
      </c>
      <c r="CG219" s="230">
        <v>134445300</v>
      </c>
      <c r="CH219" s="230">
        <v>19748500</v>
      </c>
      <c r="CI219" s="229">
        <v>0.1469</v>
      </c>
      <c r="CJ219" s="230">
        <v>16731800</v>
      </c>
      <c r="CK219" s="230">
        <v>15550000</v>
      </c>
      <c r="CL219" s="230">
        <v>1181800</v>
      </c>
      <c r="CM219" s="229">
        <v>7.5999999999999998E-2</v>
      </c>
      <c r="CN219" s="230">
        <v>488176700</v>
      </c>
      <c r="CO219" s="230">
        <v>317344400</v>
      </c>
      <c r="CP219" s="230">
        <v>170832300</v>
      </c>
      <c r="CQ219" s="229">
        <v>0.5383</v>
      </c>
      <c r="CR219" s="230">
        <v>308263200</v>
      </c>
      <c r="CS219" s="230">
        <v>272280500</v>
      </c>
      <c r="CT219" s="230">
        <v>35982700</v>
      </c>
      <c r="CU219" s="229">
        <v>0.13220000000000001</v>
      </c>
      <c r="CV219" s="230">
        <v>2058198000</v>
      </c>
      <c r="CW219" s="230">
        <v>1779666400</v>
      </c>
      <c r="CX219" s="230">
        <v>278531600</v>
      </c>
      <c r="CY219" s="229">
        <v>0.1565</v>
      </c>
      <c r="CZ219" s="228">
        <v>46.38</v>
      </c>
      <c r="DA219" s="228">
        <v>40.869999999999997</v>
      </c>
      <c r="DB219" s="228">
        <v>5.51</v>
      </c>
      <c r="DC219" s="228">
        <v>5.51</v>
      </c>
      <c r="DD219" s="228">
        <v>38.64</v>
      </c>
      <c r="DE219" s="228">
        <v>38.700000000000003</v>
      </c>
      <c r="DF219" s="228">
        <v>7.74</v>
      </c>
      <c r="DG219" s="228">
        <v>-0.06</v>
      </c>
      <c r="DH219" s="228">
        <v>47.4</v>
      </c>
      <c r="DI219" s="228">
        <v>39.96</v>
      </c>
      <c r="DJ219" s="228">
        <v>7.44</v>
      </c>
      <c r="DK219" s="228">
        <v>7.44</v>
      </c>
      <c r="DL219" s="228">
        <v>41.4</v>
      </c>
      <c r="DM219" s="228">
        <v>43.54</v>
      </c>
      <c r="DN219" s="228">
        <v>-2.14</v>
      </c>
      <c r="DO219" s="228">
        <v>-2.14</v>
      </c>
      <c r="DP219" s="228">
        <v>0.63</v>
      </c>
      <c r="DQ219" s="228">
        <v>0.86</v>
      </c>
      <c r="DR219" s="228">
        <v>-0.23</v>
      </c>
      <c r="DS219" s="229">
        <v>-0.26740000000000003</v>
      </c>
      <c r="DT219" s="228">
        <v>21</v>
      </c>
      <c r="DU219" s="228">
        <v>20</v>
      </c>
      <c r="DV219" s="228">
        <v>0.21</v>
      </c>
      <c r="DW219" s="228">
        <v>0.34</v>
      </c>
      <c r="DX219" s="228">
        <v>-0.13</v>
      </c>
      <c r="DY219" s="229">
        <v>-0.38240000000000002</v>
      </c>
      <c r="DZ219" s="229">
        <v>0.13550000000000001</v>
      </c>
      <c r="EA219" s="230">
        <v>149995300</v>
      </c>
      <c r="EB219" s="229">
        <v>5.8999999999999999E-3</v>
      </c>
      <c r="EC219" s="229">
        <v>0.13550000000000001</v>
      </c>
      <c r="ED219" s="228">
        <v>0.06</v>
      </c>
      <c r="EE219" s="229">
        <v>3.0000000000000001E-3</v>
      </c>
      <c r="EF219" s="230">
        <v>56233517</v>
      </c>
      <c r="EG219" s="230">
        <v>56181777</v>
      </c>
      <c r="EH219" s="229">
        <v>8.9999999999999998E-4</v>
      </c>
      <c r="EI219" s="229">
        <v>0.40010000000000001</v>
      </c>
      <c r="EJ219" s="231">
        <v>280405.14</v>
      </c>
      <c r="EK219" s="231">
        <v>50437.9</v>
      </c>
      <c r="EL219" s="231">
        <v>56461.5</v>
      </c>
      <c r="EM219" s="231">
        <v>4708</v>
      </c>
      <c r="EN219" s="231">
        <v>387304.54</v>
      </c>
      <c r="EO219" s="231">
        <v>280596.09999999998</v>
      </c>
      <c r="EP219" s="231">
        <v>106708.44</v>
      </c>
      <c r="EQ219" s="229">
        <v>0.38030000000000003</v>
      </c>
      <c r="ER219" s="231">
        <v>104038</v>
      </c>
      <c r="ES219" s="231">
        <v>56431</v>
      </c>
      <c r="ET219" s="231">
        <v>255854</v>
      </c>
      <c r="EU219" s="231">
        <v>3425130022</v>
      </c>
      <c r="EV219" s="231">
        <v>416323</v>
      </c>
      <c r="EW219" s="231">
        <v>353184</v>
      </c>
      <c r="EX219" s="231">
        <v>63139</v>
      </c>
      <c r="EY219" s="229">
        <v>0.17879999999999999</v>
      </c>
      <c r="EZ219" s="229">
        <v>0.60089999999999999</v>
      </c>
      <c r="FA219" s="227" t="s">
        <v>555</v>
      </c>
      <c r="FB219" s="161">
        <f t="shared" si="5"/>
        <v>0</v>
      </c>
    </row>
    <row r="220" spans="1:158" ht="17.25" thickBot="1" x14ac:dyDescent="0.3">
      <c r="A220" s="226">
        <v>46129</v>
      </c>
      <c r="B220" s="227" t="s">
        <v>170</v>
      </c>
      <c r="C220" s="227" t="s">
        <v>556</v>
      </c>
      <c r="D220" s="228">
        <v>900</v>
      </c>
      <c r="E220" s="228">
        <v>946.25</v>
      </c>
      <c r="F220" s="228">
        <v>939.15</v>
      </c>
      <c r="G220" s="228">
        <v>7.1</v>
      </c>
      <c r="H220" s="229">
        <v>7.6E-3</v>
      </c>
      <c r="I220" s="228">
        <v>943.95</v>
      </c>
      <c r="J220" s="228">
        <v>939.1</v>
      </c>
      <c r="K220" s="228">
        <v>4.8499999999999996</v>
      </c>
      <c r="L220" s="229">
        <v>5.1999999999999998E-3</v>
      </c>
      <c r="M220" s="228">
        <v>946.25</v>
      </c>
      <c r="N220" s="228">
        <v>939.15</v>
      </c>
      <c r="O220" s="228">
        <v>7.1</v>
      </c>
      <c r="P220" s="229">
        <v>7.6E-3</v>
      </c>
      <c r="Q220" s="228">
        <v>951.6</v>
      </c>
      <c r="R220" s="228">
        <v>943.85</v>
      </c>
      <c r="S220" s="228">
        <v>7.75</v>
      </c>
      <c r="T220" s="229">
        <v>8.2000000000000007E-3</v>
      </c>
      <c r="U220" s="228">
        <v>956.55</v>
      </c>
      <c r="V220" s="228">
        <v>950</v>
      </c>
      <c r="W220" s="228">
        <v>6.55</v>
      </c>
      <c r="X220" s="229">
        <v>6.8999999999999999E-3</v>
      </c>
      <c r="Y220" s="228">
        <v>2.2999999999999998</v>
      </c>
      <c r="Z220" s="228">
        <v>0.05</v>
      </c>
      <c r="AA220" s="228">
        <v>2.25</v>
      </c>
      <c r="AB220" s="229">
        <v>2.3999999999999998E-3</v>
      </c>
      <c r="AC220" s="228">
        <v>2.2999999999999998</v>
      </c>
      <c r="AD220" s="228">
        <v>0.05</v>
      </c>
      <c r="AE220" s="228">
        <v>2.25</v>
      </c>
      <c r="AF220" s="229">
        <v>2.3999999999999998E-3</v>
      </c>
      <c r="AG220" s="228">
        <v>7.65</v>
      </c>
      <c r="AH220" s="228">
        <v>4.75</v>
      </c>
      <c r="AI220" s="228">
        <v>2.9</v>
      </c>
      <c r="AJ220" s="229">
        <v>8.0999999999999996E-3</v>
      </c>
      <c r="AK220" s="228">
        <v>12.6</v>
      </c>
      <c r="AL220" s="228">
        <v>10.9</v>
      </c>
      <c r="AM220" s="228">
        <v>1.7</v>
      </c>
      <c r="AN220" s="229">
        <v>1.3299999999999999E-2</v>
      </c>
      <c r="AO220" s="228">
        <v>944.47</v>
      </c>
      <c r="AP220" s="228">
        <v>950.4</v>
      </c>
      <c r="AQ220" s="228">
        <v>0</v>
      </c>
      <c r="AR220" s="230">
        <v>818100</v>
      </c>
      <c r="AS220" s="230">
        <v>1386000</v>
      </c>
      <c r="AT220" s="230">
        <v>-567900</v>
      </c>
      <c r="AU220" s="229">
        <v>-0.40970000000000001</v>
      </c>
      <c r="AV220" s="230">
        <v>716400</v>
      </c>
      <c r="AW220" s="230">
        <v>1276200</v>
      </c>
      <c r="AX220" s="230">
        <v>-559800</v>
      </c>
      <c r="AY220" s="229">
        <v>-0.43859999999999999</v>
      </c>
      <c r="AZ220" s="230">
        <v>98100</v>
      </c>
      <c r="BA220" s="230">
        <v>97200</v>
      </c>
      <c r="BB220" s="228">
        <v>900</v>
      </c>
      <c r="BC220" s="229">
        <v>9.2999999999999992E-3</v>
      </c>
      <c r="BD220" s="230">
        <v>3600</v>
      </c>
      <c r="BE220" s="230">
        <v>12600</v>
      </c>
      <c r="BF220" s="230">
        <v>-9000</v>
      </c>
      <c r="BG220" s="229">
        <v>-0.71430000000000005</v>
      </c>
      <c r="BH220" s="230">
        <v>3638700</v>
      </c>
      <c r="BI220" s="230">
        <v>2660400</v>
      </c>
      <c r="BJ220" s="230">
        <v>978300</v>
      </c>
      <c r="BK220" s="229">
        <v>0.36770000000000003</v>
      </c>
      <c r="BL220" s="230">
        <v>1318500</v>
      </c>
      <c r="BM220" s="230">
        <v>787500</v>
      </c>
      <c r="BN220" s="230">
        <v>531000</v>
      </c>
      <c r="BO220" s="229">
        <v>0.67430000000000001</v>
      </c>
      <c r="BP220" s="230">
        <v>5775300</v>
      </c>
      <c r="BQ220" s="230">
        <v>4833900</v>
      </c>
      <c r="BR220" s="230">
        <v>941400</v>
      </c>
      <c r="BS220" s="229">
        <v>0.19470000000000001</v>
      </c>
      <c r="BT220" s="230">
        <v>534467</v>
      </c>
      <c r="BU220" s="230">
        <v>592604</v>
      </c>
      <c r="BV220" s="230">
        <v>-58137</v>
      </c>
      <c r="BW220" s="229">
        <v>-9.8100000000000007E-2</v>
      </c>
      <c r="BX220" s="230">
        <v>9289800</v>
      </c>
      <c r="BY220" s="230">
        <v>9265500</v>
      </c>
      <c r="BZ220" s="230">
        <v>24300</v>
      </c>
      <c r="CA220" s="229">
        <v>2.5999999999999999E-3</v>
      </c>
      <c r="CB220" s="230">
        <v>8996400</v>
      </c>
      <c r="CC220" s="230">
        <v>9037800</v>
      </c>
      <c r="CD220" s="230">
        <v>-41400</v>
      </c>
      <c r="CE220" s="229">
        <v>-4.5999999999999999E-3</v>
      </c>
      <c r="CF220" s="230">
        <v>269100</v>
      </c>
      <c r="CG220" s="230">
        <v>205200</v>
      </c>
      <c r="CH220" s="230">
        <v>63900</v>
      </c>
      <c r="CI220" s="229">
        <v>0.31140000000000001</v>
      </c>
      <c r="CJ220" s="230">
        <v>24300</v>
      </c>
      <c r="CK220" s="230">
        <v>22500</v>
      </c>
      <c r="CL220" s="230">
        <v>1800</v>
      </c>
      <c r="CM220" s="229">
        <v>0.08</v>
      </c>
      <c r="CN220" s="230">
        <v>2948400</v>
      </c>
      <c r="CO220" s="230">
        <v>3078900</v>
      </c>
      <c r="CP220" s="230">
        <v>-130500</v>
      </c>
      <c r="CQ220" s="229">
        <v>-4.24E-2</v>
      </c>
      <c r="CR220" s="230">
        <v>2259000</v>
      </c>
      <c r="CS220" s="230">
        <v>2412900</v>
      </c>
      <c r="CT220" s="230">
        <v>-153900</v>
      </c>
      <c r="CU220" s="229">
        <v>-6.3799999999999996E-2</v>
      </c>
      <c r="CV220" s="230">
        <v>14497200</v>
      </c>
      <c r="CW220" s="230">
        <v>14757300</v>
      </c>
      <c r="CX220" s="230">
        <v>-260100</v>
      </c>
      <c r="CY220" s="229">
        <v>-1.7600000000000001E-2</v>
      </c>
      <c r="CZ220" s="228">
        <v>25.82</v>
      </c>
      <c r="DA220" s="228">
        <v>24.99</v>
      </c>
      <c r="DB220" s="228">
        <v>0.83</v>
      </c>
      <c r="DC220" s="228">
        <v>0.83</v>
      </c>
      <c r="DD220" s="228">
        <v>28.15</v>
      </c>
      <c r="DE220" s="228">
        <v>28.2</v>
      </c>
      <c r="DF220" s="228">
        <v>-2.33</v>
      </c>
      <c r="DG220" s="228">
        <v>-0.05</v>
      </c>
      <c r="DH220" s="228">
        <v>24.44</v>
      </c>
      <c r="DI220" s="228">
        <v>24.19</v>
      </c>
      <c r="DJ220" s="228">
        <v>0.25</v>
      </c>
      <c r="DK220" s="228">
        <v>0.25</v>
      </c>
      <c r="DL220" s="228">
        <v>29.62</v>
      </c>
      <c r="DM220" s="228">
        <v>27.72</v>
      </c>
      <c r="DN220" s="228">
        <v>1.9</v>
      </c>
      <c r="DO220" s="228">
        <v>1.9</v>
      </c>
      <c r="DP220" s="228">
        <v>0.77</v>
      </c>
      <c r="DQ220" s="228">
        <v>0.78</v>
      </c>
      <c r="DR220" s="228">
        <v>-0.01</v>
      </c>
      <c r="DS220" s="229">
        <v>-1.2800000000000001E-2</v>
      </c>
      <c r="DT220" s="228">
        <v>960</v>
      </c>
      <c r="DU220" s="228">
        <v>900</v>
      </c>
      <c r="DV220" s="228">
        <v>0.36</v>
      </c>
      <c r="DW220" s="228">
        <v>0.3</v>
      </c>
      <c r="DX220" s="228">
        <v>0.06</v>
      </c>
      <c r="DY220" s="229">
        <v>0.2</v>
      </c>
      <c r="DZ220" s="229">
        <v>3.1600000000000003E-2</v>
      </c>
      <c r="EA220" s="230">
        <v>227700</v>
      </c>
      <c r="EB220" s="229">
        <v>5.7000000000000002E-3</v>
      </c>
      <c r="EC220" s="229">
        <v>3.1600000000000003E-2</v>
      </c>
      <c r="ED220" s="228">
        <v>5.93</v>
      </c>
      <c r="EE220" s="229">
        <v>6.3E-3</v>
      </c>
      <c r="EF220" s="230">
        <v>285049</v>
      </c>
      <c r="EG220" s="230">
        <v>253668</v>
      </c>
      <c r="EH220" s="229">
        <v>0.1237</v>
      </c>
      <c r="EI220" s="229">
        <v>0.5333</v>
      </c>
      <c r="EJ220" s="231">
        <v>35369.81</v>
      </c>
      <c r="EK220" s="231">
        <v>11891.68</v>
      </c>
      <c r="EL220" s="231">
        <v>7732.83</v>
      </c>
      <c r="EM220" s="231">
        <v>1495</v>
      </c>
      <c r="EN220" s="231">
        <v>54994.32</v>
      </c>
      <c r="EO220" s="231">
        <v>46029.08</v>
      </c>
      <c r="EP220" s="231">
        <v>8965.24</v>
      </c>
      <c r="EQ220" s="229">
        <v>0.1948</v>
      </c>
      <c r="ER220" s="231">
        <v>27877</v>
      </c>
      <c r="ES220" s="231">
        <v>20303</v>
      </c>
      <c r="ET220" s="231">
        <v>87922</v>
      </c>
      <c r="EU220" s="231">
        <v>25160867</v>
      </c>
      <c r="EV220" s="231">
        <v>136102</v>
      </c>
      <c r="EW220" s="231">
        <v>137705</v>
      </c>
      <c r="EX220" s="231">
        <v>-1603</v>
      </c>
      <c r="EY220" s="229">
        <v>-1.1599999999999999E-2</v>
      </c>
      <c r="EZ220" s="229">
        <v>0.57620000000000005</v>
      </c>
      <c r="FA220" s="227" t="s">
        <v>555</v>
      </c>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BX330-CB330</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J7" sqref="J7"/>
    </sheetView>
  </sheetViews>
  <sheetFormatPr defaultColWidth="13.7109375" defaultRowHeight="15" x14ac:dyDescent="0.25"/>
  <cols>
    <col min="1" max="1" width="23.85546875" customWidth="1"/>
    <col min="2" max="2" width="12"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615</v>
      </c>
      <c r="B2" s="226">
        <v>46129</v>
      </c>
      <c r="C2" s="230">
        <v>10130684</v>
      </c>
      <c r="D2" s="230">
        <v>1532573</v>
      </c>
      <c r="E2" s="230">
        <v>10069042</v>
      </c>
      <c r="F2" s="230">
        <v>1521791</v>
      </c>
      <c r="G2" s="230">
        <v>61642</v>
      </c>
      <c r="H2" s="230">
        <v>10782</v>
      </c>
      <c r="I2" s="230">
        <v>13590194</v>
      </c>
      <c r="J2" s="230">
        <v>1384166</v>
      </c>
      <c r="K2" s="230">
        <v>412590</v>
      </c>
      <c r="L2" s="230">
        <v>68439</v>
      </c>
      <c r="M2" s="230">
        <v>14002784</v>
      </c>
      <c r="N2" s="230">
        <v>1452605</v>
      </c>
      <c r="O2" s="61"/>
      <c r="P2" s="61"/>
      <c r="Q2" s="61"/>
      <c r="R2" s="61"/>
      <c r="S2" s="61"/>
      <c r="U2" t="s">
        <v>453</v>
      </c>
      <c r="V2">
        <f>SUM('Data Vlaue (Cr)'!CD:CD)</f>
        <v>519797</v>
      </c>
      <c r="W2" t="s">
        <v>454</v>
      </c>
    </row>
    <row r="3" spans="1:23" ht="17.25" thickBot="1" x14ac:dyDescent="0.3">
      <c r="A3" s="227" t="s">
        <v>616</v>
      </c>
      <c r="B3" s="226">
        <v>46129</v>
      </c>
      <c r="C3" s="230">
        <v>3060</v>
      </c>
      <c r="D3" s="228">
        <v>519</v>
      </c>
      <c r="E3" s="230">
        <v>2073</v>
      </c>
      <c r="F3" s="228">
        <v>351</v>
      </c>
      <c r="G3" s="228">
        <v>987</v>
      </c>
      <c r="H3" s="228">
        <v>167</v>
      </c>
      <c r="I3" s="230">
        <v>61116</v>
      </c>
      <c r="J3" s="230">
        <v>10312</v>
      </c>
      <c r="K3" s="228">
        <v>291</v>
      </c>
      <c r="L3" s="228">
        <v>134</v>
      </c>
      <c r="M3" s="230">
        <v>61407</v>
      </c>
      <c r="N3" s="230">
        <v>10446</v>
      </c>
      <c r="O3" s="61"/>
      <c r="P3" s="61"/>
      <c r="Q3" s="61"/>
      <c r="R3" s="61"/>
      <c r="S3" s="61"/>
      <c r="U3" t="s">
        <v>453</v>
      </c>
      <c r="V3">
        <f>SUM('Data shares'!CC:CC)</f>
        <v>15294023798</v>
      </c>
      <c r="W3" t="s">
        <v>455</v>
      </c>
    </row>
    <row r="4" spans="1:23" ht="17.25" thickBot="1" x14ac:dyDescent="0.3">
      <c r="A4" s="227" t="s">
        <v>617</v>
      </c>
      <c r="B4" s="226">
        <v>46129</v>
      </c>
      <c r="C4" s="230">
        <v>270195</v>
      </c>
      <c r="D4" s="230">
        <v>46007</v>
      </c>
      <c r="E4" s="230">
        <v>261979</v>
      </c>
      <c r="F4" s="230">
        <v>44453</v>
      </c>
      <c r="G4" s="230">
        <v>8216</v>
      </c>
      <c r="H4" s="230">
        <v>1554</v>
      </c>
      <c r="I4" s="230">
        <v>475729</v>
      </c>
      <c r="J4" s="230">
        <v>80046</v>
      </c>
      <c r="K4" s="230">
        <v>24462</v>
      </c>
      <c r="L4" s="230">
        <v>4835</v>
      </c>
      <c r="M4" s="230">
        <v>500191</v>
      </c>
      <c r="N4" s="230">
        <v>84881</v>
      </c>
      <c r="O4" s="61"/>
      <c r="P4" s="61"/>
      <c r="Q4" s="61"/>
      <c r="R4" s="61"/>
      <c r="S4" s="61"/>
    </row>
    <row r="5" spans="1:23" ht="17.25" thickBot="1" x14ac:dyDescent="0.3">
      <c r="A5" s="227" t="s">
        <v>618</v>
      </c>
      <c r="B5" s="226">
        <v>46129</v>
      </c>
      <c r="C5" s="228">
        <v>32</v>
      </c>
      <c r="D5" s="228">
        <v>5</v>
      </c>
      <c r="E5" s="228">
        <v>41</v>
      </c>
      <c r="F5" s="228">
        <v>7</v>
      </c>
      <c r="G5" s="228">
        <v>-9</v>
      </c>
      <c r="H5" s="228">
        <v>-1</v>
      </c>
      <c r="I5" s="228">
        <v>144</v>
      </c>
      <c r="J5" s="228">
        <v>23</v>
      </c>
      <c r="K5" s="228">
        <v>25</v>
      </c>
      <c r="L5" s="228">
        <v>4</v>
      </c>
      <c r="M5" s="228">
        <v>169</v>
      </c>
      <c r="N5" s="228">
        <v>27</v>
      </c>
      <c r="O5" s="61"/>
      <c r="P5" s="61"/>
      <c r="Q5" s="61"/>
      <c r="R5" s="61"/>
      <c r="S5" s="61"/>
    </row>
    <row r="6" spans="1:23" ht="17.25" thickBot="1" x14ac:dyDescent="0.3">
      <c r="A6" s="227" t="s">
        <v>619</v>
      </c>
      <c r="B6" s="226">
        <v>46129</v>
      </c>
      <c r="C6" s="230">
        <v>3716</v>
      </c>
      <c r="D6" s="228">
        <v>597</v>
      </c>
      <c r="E6" s="230">
        <v>3603</v>
      </c>
      <c r="F6" s="228">
        <v>574</v>
      </c>
      <c r="G6" s="228">
        <v>113</v>
      </c>
      <c r="H6" s="228">
        <v>23</v>
      </c>
      <c r="I6" s="230">
        <v>5361</v>
      </c>
      <c r="J6" s="228">
        <v>847</v>
      </c>
      <c r="K6" s="228">
        <v>3</v>
      </c>
      <c r="L6" s="228">
        <v>6</v>
      </c>
      <c r="M6" s="230">
        <v>5364</v>
      </c>
      <c r="N6" s="228">
        <v>854</v>
      </c>
      <c r="O6" s="61"/>
      <c r="P6" s="61"/>
      <c r="Q6" s="61"/>
      <c r="R6" s="61"/>
      <c r="S6" s="61"/>
    </row>
    <row r="7" spans="1:23" ht="17.25" thickBot="1" x14ac:dyDescent="0.3">
      <c r="A7" s="227" t="s">
        <v>620</v>
      </c>
      <c r="B7" s="226">
        <v>46129</v>
      </c>
      <c r="C7" s="230">
        <v>15415</v>
      </c>
      <c r="D7" s="230">
        <v>2477</v>
      </c>
      <c r="E7" s="230">
        <v>7379</v>
      </c>
      <c r="F7" s="230">
        <v>1199</v>
      </c>
      <c r="G7" s="230">
        <v>8036</v>
      </c>
      <c r="H7" s="230">
        <v>1278</v>
      </c>
      <c r="I7" s="230">
        <v>335771</v>
      </c>
      <c r="J7" s="230">
        <v>53745</v>
      </c>
      <c r="K7" s="230">
        <v>-8780</v>
      </c>
      <c r="L7" s="228">
        <v>-973</v>
      </c>
      <c r="M7" s="230">
        <v>326991</v>
      </c>
      <c r="N7" s="230">
        <v>52772</v>
      </c>
    </row>
    <row r="8" spans="1:23" ht="17.25" thickBot="1" x14ac:dyDescent="0.3">
      <c r="A8" s="227" t="s">
        <v>621</v>
      </c>
      <c r="B8" s="226">
        <v>46129</v>
      </c>
      <c r="C8" s="230">
        <v>4657335</v>
      </c>
      <c r="D8" s="230">
        <v>738000</v>
      </c>
      <c r="E8" s="230">
        <v>4631462</v>
      </c>
      <c r="F8" s="230">
        <v>733795</v>
      </c>
      <c r="G8" s="230">
        <v>25873</v>
      </c>
      <c r="H8" s="230">
        <v>4205</v>
      </c>
      <c r="I8" s="230">
        <v>2343073</v>
      </c>
      <c r="J8" s="230">
        <v>374006</v>
      </c>
      <c r="K8" s="230">
        <v>173531</v>
      </c>
      <c r="L8" s="230">
        <v>30396</v>
      </c>
      <c r="M8" s="230">
        <v>2516604</v>
      </c>
      <c r="N8" s="230">
        <v>404402</v>
      </c>
    </row>
    <row r="9" spans="1:23" ht="17.25" thickBot="1" x14ac:dyDescent="0.3">
      <c r="A9" s="227" t="s">
        <v>622</v>
      </c>
      <c r="B9" s="226">
        <v>46129</v>
      </c>
      <c r="C9" s="228">
        <v>827</v>
      </c>
      <c r="D9" s="228">
        <v>137</v>
      </c>
      <c r="E9" s="230">
        <v>1145</v>
      </c>
      <c r="F9" s="228">
        <v>189</v>
      </c>
      <c r="G9" s="228">
        <v>-318</v>
      </c>
      <c r="H9" s="228">
        <v>-53</v>
      </c>
      <c r="I9" s="230">
        <v>27134</v>
      </c>
      <c r="J9" s="230">
        <v>4455</v>
      </c>
      <c r="K9" s="228">
        <v>-308</v>
      </c>
      <c r="L9" s="228">
        <v>4</v>
      </c>
      <c r="M9" s="230">
        <v>26826</v>
      </c>
      <c r="N9" s="230">
        <v>4458</v>
      </c>
    </row>
    <row r="10" spans="1:23" ht="17.25" thickBot="1" x14ac:dyDescent="0.3">
      <c r="A10" s="227" t="s">
        <v>623</v>
      </c>
      <c r="B10" s="226">
        <v>46129</v>
      </c>
      <c r="C10" s="230">
        <v>44352</v>
      </c>
      <c r="D10" s="230">
        <v>7245</v>
      </c>
      <c r="E10" s="230">
        <v>45860</v>
      </c>
      <c r="F10" s="230">
        <v>7457</v>
      </c>
      <c r="G10" s="230">
        <v>-1508</v>
      </c>
      <c r="H10" s="228">
        <v>-213</v>
      </c>
      <c r="I10" s="230">
        <v>37062</v>
      </c>
      <c r="J10" s="230">
        <v>6086</v>
      </c>
      <c r="K10" s="230">
        <v>3142</v>
      </c>
      <c r="L10" s="228">
        <v>591</v>
      </c>
      <c r="M10" s="230">
        <v>40204</v>
      </c>
      <c r="N10" s="230">
        <v>6677</v>
      </c>
    </row>
    <row r="11" spans="1:23" ht="17.25" thickBot="1" x14ac:dyDescent="0.3">
      <c r="A11" s="227" t="s">
        <v>624</v>
      </c>
      <c r="B11" s="226">
        <v>46129</v>
      </c>
      <c r="C11" s="230">
        <v>11444</v>
      </c>
      <c r="D11" s="230">
        <v>1807</v>
      </c>
      <c r="E11" s="230">
        <v>4091</v>
      </c>
      <c r="F11" s="228">
        <v>646</v>
      </c>
      <c r="G11" s="230">
        <v>7353</v>
      </c>
      <c r="H11" s="230">
        <v>1161</v>
      </c>
      <c r="I11" s="230">
        <v>246827</v>
      </c>
      <c r="J11" s="230">
        <v>38860</v>
      </c>
      <c r="K11" s="230">
        <v>-8801</v>
      </c>
      <c r="L11" s="230">
        <v>-1118</v>
      </c>
      <c r="M11" s="230">
        <v>238026</v>
      </c>
      <c r="N11" s="230">
        <v>37742</v>
      </c>
    </row>
    <row r="12" spans="1:23" ht="17.25" thickBot="1" x14ac:dyDescent="0.3">
      <c r="A12" s="227" t="s">
        <v>625</v>
      </c>
      <c r="B12" s="226">
        <v>46129</v>
      </c>
      <c r="C12" s="230">
        <v>4338882</v>
      </c>
      <c r="D12" s="230">
        <v>684118</v>
      </c>
      <c r="E12" s="230">
        <v>4319556</v>
      </c>
      <c r="F12" s="230">
        <v>681229</v>
      </c>
      <c r="G12" s="230">
        <v>19326</v>
      </c>
      <c r="H12" s="230">
        <v>2889</v>
      </c>
      <c r="I12" s="230">
        <v>1824552</v>
      </c>
      <c r="J12" s="230">
        <v>286963</v>
      </c>
      <c r="K12" s="230">
        <v>145706</v>
      </c>
      <c r="L12" s="230">
        <v>24925</v>
      </c>
      <c r="M12" s="230">
        <v>1970258</v>
      </c>
      <c r="N12" s="230">
        <v>311888</v>
      </c>
    </row>
    <row r="13" spans="1:23" ht="17.25" thickBot="1" x14ac:dyDescent="0.3">
      <c r="A13" s="227" t="s">
        <v>626</v>
      </c>
      <c r="B13" s="226">
        <v>46129</v>
      </c>
      <c r="C13" s="228">
        <v>52</v>
      </c>
      <c r="D13" s="228">
        <v>9</v>
      </c>
      <c r="E13" s="228">
        <v>29</v>
      </c>
      <c r="F13" s="228">
        <v>5</v>
      </c>
      <c r="G13" s="228">
        <v>23</v>
      </c>
      <c r="H13" s="228">
        <v>4</v>
      </c>
      <c r="I13" s="228">
        <v>550</v>
      </c>
      <c r="J13" s="228">
        <v>95</v>
      </c>
      <c r="K13" s="228">
        <v>13</v>
      </c>
      <c r="L13" s="228">
        <v>4</v>
      </c>
      <c r="M13" s="228">
        <v>563</v>
      </c>
      <c r="N13" s="228">
        <v>99</v>
      </c>
    </row>
    <row r="14" spans="1:23" ht="17.25" thickBot="1" x14ac:dyDescent="0.3">
      <c r="A14" s="227" t="s">
        <v>627</v>
      </c>
      <c r="B14" s="226">
        <v>46129</v>
      </c>
      <c r="C14" s="228">
        <v>190</v>
      </c>
      <c r="D14" s="228">
        <v>34</v>
      </c>
      <c r="E14" s="228">
        <v>464</v>
      </c>
      <c r="F14" s="228">
        <v>82</v>
      </c>
      <c r="G14" s="228">
        <v>-274</v>
      </c>
      <c r="H14" s="228">
        <v>-48</v>
      </c>
      <c r="I14" s="228">
        <v>369</v>
      </c>
      <c r="J14" s="228">
        <v>64</v>
      </c>
      <c r="K14" s="228">
        <v>218</v>
      </c>
      <c r="L14" s="228">
        <v>39</v>
      </c>
      <c r="M14" s="228">
        <v>587</v>
      </c>
      <c r="N14" s="228">
        <v>103</v>
      </c>
    </row>
    <row r="15" spans="1:23" ht="17.25" thickBot="1" x14ac:dyDescent="0.3">
      <c r="A15" s="227" t="s">
        <v>628</v>
      </c>
      <c r="B15" s="226">
        <v>46129</v>
      </c>
      <c r="C15" s="230">
        <v>391077</v>
      </c>
      <c r="D15" s="230">
        <v>25658</v>
      </c>
      <c r="E15" s="230">
        <v>380918</v>
      </c>
      <c r="F15" s="230">
        <v>24658</v>
      </c>
      <c r="G15" s="230">
        <v>10159</v>
      </c>
      <c r="H15" s="230">
        <v>1000</v>
      </c>
      <c r="I15" s="230">
        <v>7270548</v>
      </c>
      <c r="J15" s="230">
        <v>464418</v>
      </c>
      <c r="K15" s="228">
        <v>-443</v>
      </c>
      <c r="L15" s="230">
        <v>3741</v>
      </c>
      <c r="M15" s="230">
        <v>7270105</v>
      </c>
      <c r="N15" s="230">
        <v>468159</v>
      </c>
    </row>
    <row r="16" spans="1:23" ht="17.25" thickBot="1" x14ac:dyDescent="0.3">
      <c r="A16" s="227" t="s">
        <v>629</v>
      </c>
      <c r="B16" s="226">
        <v>46129</v>
      </c>
      <c r="C16" s="230">
        <v>394107</v>
      </c>
      <c r="D16" s="230">
        <v>25960</v>
      </c>
      <c r="E16" s="230">
        <v>410442</v>
      </c>
      <c r="F16" s="230">
        <v>27145</v>
      </c>
      <c r="G16" s="230">
        <v>-16335</v>
      </c>
      <c r="H16" s="230">
        <v>-1185</v>
      </c>
      <c r="I16" s="230">
        <v>961958</v>
      </c>
      <c r="J16" s="230">
        <v>64245</v>
      </c>
      <c r="K16" s="230">
        <v>83531</v>
      </c>
      <c r="L16" s="230">
        <v>5852</v>
      </c>
      <c r="M16" s="230">
        <v>1045489</v>
      </c>
      <c r="N16" s="230">
        <v>70097</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7"/>
  <sheetViews>
    <sheetView zoomScale="85" zoomScaleNormal="85" workbookViewId="0">
      <pane ySplit="6" topLeftCell="A188" activePane="bottomLeft" state="frozen"/>
      <selection activeCell="E46" sqref="E46"/>
      <selection pane="bottomLeft" activeCell="A7" sqref="A7:A225"/>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58" t="s">
        <v>325</v>
      </c>
      <c r="B3" s="259"/>
      <c r="C3" s="259"/>
      <c r="D3" s="259"/>
      <c r="E3" s="259"/>
      <c r="F3" s="259"/>
      <c r="G3" s="259"/>
      <c r="H3" s="259"/>
      <c r="I3" s="259"/>
      <c r="J3" s="259"/>
      <c r="K3" s="259"/>
      <c r="L3" s="259"/>
      <c r="M3" s="259"/>
      <c r="N3" s="259"/>
      <c r="O3" s="259"/>
      <c r="P3" s="259"/>
      <c r="Q3" s="260"/>
    </row>
    <row r="4" spans="1:17" s="64" customFormat="1" x14ac:dyDescent="0.25">
      <c r="A4" s="261"/>
      <c r="B4" s="261" t="s">
        <v>308</v>
      </c>
      <c r="C4" s="261"/>
      <c r="D4" s="263"/>
      <c r="E4" s="263"/>
      <c r="F4" s="261" t="s">
        <v>326</v>
      </c>
      <c r="G4" s="261"/>
      <c r="H4" s="261"/>
      <c r="I4" s="261" t="s">
        <v>327</v>
      </c>
      <c r="J4" s="261"/>
      <c r="K4" s="261"/>
      <c r="L4" s="261" t="s">
        <v>311</v>
      </c>
      <c r="M4" s="261"/>
      <c r="N4" s="261"/>
      <c r="O4" s="261"/>
      <c r="P4" s="261"/>
      <c r="Q4" s="261"/>
    </row>
    <row r="5" spans="1:17" s="64" customFormat="1" x14ac:dyDescent="0.25">
      <c r="A5" s="262"/>
      <c r="B5" s="73" t="s">
        <v>312</v>
      </c>
      <c r="C5" s="262" t="s">
        <v>313</v>
      </c>
      <c r="D5" s="265"/>
      <c r="E5" s="265"/>
      <c r="F5" s="262" t="s">
        <v>314</v>
      </c>
      <c r="G5" s="262"/>
      <c r="H5" s="262"/>
      <c r="I5" s="262" t="s">
        <v>315</v>
      </c>
      <c r="J5" s="262"/>
      <c r="K5" s="262"/>
      <c r="L5" s="262" t="s">
        <v>316</v>
      </c>
      <c r="M5" s="262"/>
      <c r="N5" s="262"/>
      <c r="O5" s="262" t="s">
        <v>317</v>
      </c>
      <c r="P5" s="262"/>
      <c r="Q5" s="262"/>
    </row>
    <row r="6" spans="1:17" s="72" customFormat="1" ht="33.75" x14ac:dyDescent="0.25">
      <c r="A6" s="71" t="s">
        <v>557</v>
      </c>
      <c r="B6" s="66">
        <f>'Snapshot (Value)'!C10</f>
        <v>46129</v>
      </c>
      <c r="C6" s="66">
        <f>'Snapshot (Value)'!D10</f>
        <v>46129</v>
      </c>
      <c r="D6" s="71" t="s">
        <v>322</v>
      </c>
      <c r="E6" s="71" t="s">
        <v>328</v>
      </c>
      <c r="F6" s="66">
        <f>C6</f>
        <v>46129</v>
      </c>
      <c r="G6" s="71" t="s">
        <v>322</v>
      </c>
      <c r="H6" s="71" t="s">
        <v>328</v>
      </c>
      <c r="I6" s="66">
        <f>C6</f>
        <v>46129</v>
      </c>
      <c r="J6" s="71" t="s">
        <v>322</v>
      </c>
      <c r="K6" s="71" t="s">
        <v>328</v>
      </c>
      <c r="L6" s="66">
        <f>C6</f>
        <v>46129</v>
      </c>
      <c r="M6" s="71" t="s">
        <v>322</v>
      </c>
      <c r="N6" s="71" t="s">
        <v>328</v>
      </c>
      <c r="O6" s="66">
        <f>C6</f>
        <v>46129</v>
      </c>
      <c r="P6" s="71" t="s">
        <v>322</v>
      </c>
      <c r="Q6" s="71" t="s">
        <v>328</v>
      </c>
    </row>
    <row r="7" spans="1:17" x14ac:dyDescent="0.25">
      <c r="A7" s="97" t="str">
        <f>'Data Vlaue (Cr)'!C2</f>
        <v>360ONE</v>
      </c>
      <c r="B7" s="140">
        <f>VLOOKUP($A7,'Data shares'!$C:$FB,7)</f>
        <v>1113.3</v>
      </c>
      <c r="C7" s="140">
        <f>VLOOKUP($A7,'Data shares'!$C:$FB,3)</f>
        <v>1114.6500000000001</v>
      </c>
      <c r="D7" s="140">
        <f>VLOOKUP($A7,'Data shares'!$C:$FB,4)</f>
        <v>1074.8499999999999</v>
      </c>
      <c r="E7" s="50">
        <f>(C7-D7)/D7*100</f>
        <v>3.7028422570591419</v>
      </c>
      <c r="F7" s="49">
        <f>VLOOKUP($A7,'Data shares'!$C:$FB,98)</f>
        <v>9868000</v>
      </c>
      <c r="G7" s="49">
        <f>VLOOKUP($A7,'Data shares'!$C:$FB,99)</f>
        <v>8999000</v>
      </c>
      <c r="H7" s="50">
        <f>(F7-G7)/G7*100</f>
        <v>9.6566285142793635</v>
      </c>
      <c r="I7" s="49">
        <f>VLOOKUP($A7,'Data shares'!$C:$FB,66)</f>
        <v>10467500</v>
      </c>
      <c r="J7" s="49">
        <f>VLOOKUP($A7,'Data shares'!$C:$FB,67)</f>
        <v>5524000</v>
      </c>
      <c r="K7" s="50">
        <f>(I7-J7)/I7*100</f>
        <v>47.227131597802725</v>
      </c>
      <c r="L7" s="50">
        <f>VLOOKUP($A7,'Data shares'!$C:$FB,118)</f>
        <v>1.23</v>
      </c>
      <c r="M7" s="50">
        <f>VLOOKUP($A7,'Data shares'!$C:$FB,119)</f>
        <v>1.27</v>
      </c>
      <c r="N7" s="50">
        <f>VLOOKUP($A7,'Data shares'!$C:$FB,121)*100</f>
        <v>-3.15</v>
      </c>
      <c r="O7" s="50">
        <f>VLOOKUP($A7,'Data shares'!$C:$FB,124)</f>
        <v>0.54</v>
      </c>
      <c r="P7" s="50">
        <f>VLOOKUP($A7,'Data shares'!$C:$FB,125)</f>
        <v>0.98</v>
      </c>
      <c r="Q7" s="50">
        <f>VLOOKUP($A7,'Data shares'!$C:$FB,127)*100</f>
        <v>-44.9</v>
      </c>
    </row>
    <row r="8" spans="1:17" x14ac:dyDescent="0.25">
      <c r="A8" s="97" t="str">
        <f>'Data Vlaue (Cr)'!C3</f>
        <v>ABB</v>
      </c>
      <c r="B8" s="140">
        <f>VLOOKUP($A8,'Data shares'!$C:$FB,7)</f>
        <v>7029.5</v>
      </c>
      <c r="C8" s="140">
        <f>VLOOKUP($A8,'Data shares'!$C:$FB,3)</f>
        <v>7037</v>
      </c>
      <c r="D8" s="140">
        <f>VLOOKUP($A8,'Data shares'!$C:$FB,4)</f>
        <v>6885</v>
      </c>
      <c r="E8" s="50">
        <f t="shared" ref="E8:E71" si="0">(C8-D8)/D8*100</f>
        <v>2.2076978939724037</v>
      </c>
      <c r="F8" s="49">
        <f>VLOOKUP($A8,'Data shares'!$C:$FB,98)</f>
        <v>4534125</v>
      </c>
      <c r="G8" s="49">
        <f>VLOOKUP($A8,'Data shares'!$C:$FB,99)</f>
        <v>4419125</v>
      </c>
      <c r="H8" s="50">
        <f t="shared" ref="H8:H71" si="1">(F8-G8)/G8*100</f>
        <v>2.6023251209232598</v>
      </c>
      <c r="I8" s="49">
        <f>VLOOKUP($A8,'Data shares'!$C:$FB,66)</f>
        <v>6812125</v>
      </c>
      <c r="J8" s="49">
        <f>VLOOKUP($A8,'Data shares'!$C:$FB,67)</f>
        <v>4500125</v>
      </c>
      <c r="K8" s="50">
        <f t="shared" ref="K8:K71" si="2">(I8-J8)/I8*100</f>
        <v>33.939482907315998</v>
      </c>
      <c r="L8" s="50">
        <f>VLOOKUP($A8,'Data shares'!$C:$FB,118)</f>
        <v>1.1299999999999999</v>
      </c>
      <c r="M8" s="50">
        <f>VLOOKUP($A8,'Data shares'!$C:$FB,119)</f>
        <v>1.07</v>
      </c>
      <c r="N8" s="50">
        <f>VLOOKUP($A8,'Data shares'!$C:$FB,121)*100</f>
        <v>5.6099999999999994</v>
      </c>
      <c r="O8" s="50">
        <f>VLOOKUP($A8,'Data shares'!$C:$FB,124)</f>
        <v>0.48</v>
      </c>
      <c r="P8" s="50">
        <f>VLOOKUP($A8,'Data shares'!$C:$FB,125)</f>
        <v>0.82</v>
      </c>
      <c r="Q8" s="50">
        <f>VLOOKUP($A8,'Data shares'!$C:$FB,127)*100</f>
        <v>-41.46</v>
      </c>
    </row>
    <row r="9" spans="1:17" x14ac:dyDescent="0.25">
      <c r="A9" s="97" t="str">
        <f>'Data Vlaue (Cr)'!C4</f>
        <v>ABCAPITAL</v>
      </c>
      <c r="B9" s="140">
        <f>VLOOKUP($A9,'Data shares'!$C:$FB,7)</f>
        <v>340.4</v>
      </c>
      <c r="C9" s="140">
        <f>VLOOKUP($A9,'Data shares'!$C:$FB,3)</f>
        <v>340.8</v>
      </c>
      <c r="D9" s="140">
        <f>VLOOKUP($A9,'Data shares'!$C:$FB,4)</f>
        <v>338.05</v>
      </c>
      <c r="E9" s="50">
        <f t="shared" si="0"/>
        <v>0.81348912882709656</v>
      </c>
      <c r="F9" s="49">
        <f>VLOOKUP($A9,'Data shares'!$C:$FB,98)</f>
        <v>70075500</v>
      </c>
      <c r="G9" s="49">
        <f>VLOOKUP($A9,'Data shares'!$C:$FB,99)</f>
        <v>64266100</v>
      </c>
      <c r="H9" s="50">
        <f t="shared" si="1"/>
        <v>9.0396025276156475</v>
      </c>
      <c r="I9" s="49">
        <f>VLOOKUP($A9,'Data shares'!$C:$FB,66)</f>
        <v>72828300</v>
      </c>
      <c r="J9" s="49">
        <f>VLOOKUP($A9,'Data shares'!$C:$FB,67)</f>
        <v>33752800</v>
      </c>
      <c r="K9" s="50">
        <f t="shared" si="2"/>
        <v>53.654279998297362</v>
      </c>
      <c r="L9" s="50">
        <f>VLOOKUP($A9,'Data shares'!$C:$FB,118)</f>
        <v>0.61</v>
      </c>
      <c r="M9" s="50">
        <f>VLOOKUP($A9,'Data shares'!$C:$FB,119)</f>
        <v>0.78</v>
      </c>
      <c r="N9" s="50">
        <f>VLOOKUP($A9,'Data shares'!$C:$FB,121)*100</f>
        <v>-21.790000000000003</v>
      </c>
      <c r="O9" s="50">
        <f>VLOOKUP($A9,'Data shares'!$C:$FB,124)</f>
        <v>0.24</v>
      </c>
      <c r="P9" s="50">
        <f>VLOOKUP($A9,'Data shares'!$C:$FB,125)</f>
        <v>0.6</v>
      </c>
      <c r="Q9" s="50">
        <f>VLOOKUP($A9,'Data shares'!$C:$FB,127)*100</f>
        <v>-60</v>
      </c>
    </row>
    <row r="10" spans="1:17" x14ac:dyDescent="0.25">
      <c r="A10" s="97" t="str">
        <f>'Data Vlaue (Cr)'!C5</f>
        <v>ADANIENSOL</v>
      </c>
      <c r="B10" s="140">
        <f>VLOOKUP($A10,'Data shares'!$C:$FB,7)</f>
        <v>1259.8</v>
      </c>
      <c r="C10" s="140">
        <f>VLOOKUP($A10,'Data shares'!$C:$FB,3)</f>
        <v>1261.7</v>
      </c>
      <c r="D10" s="140">
        <f>VLOOKUP($A10,'Data shares'!$C:$FB,4)</f>
        <v>1227.75</v>
      </c>
      <c r="E10" s="50">
        <f t="shared" si="0"/>
        <v>2.7652209326002888</v>
      </c>
      <c r="F10" s="49">
        <f>VLOOKUP($A10,'Data shares'!$C:$FB,98)</f>
        <v>29965275</v>
      </c>
      <c r="G10" s="49">
        <f>VLOOKUP($A10,'Data shares'!$C:$FB,99)</f>
        <v>27986175</v>
      </c>
      <c r="H10" s="50">
        <f t="shared" si="1"/>
        <v>7.0717059405224187</v>
      </c>
      <c r="I10" s="49">
        <f>VLOOKUP($A10,'Data shares'!$C:$FB,66)</f>
        <v>26327700</v>
      </c>
      <c r="J10" s="49">
        <f>VLOOKUP($A10,'Data shares'!$C:$FB,67)</f>
        <v>20003625</v>
      </c>
      <c r="K10" s="50">
        <f t="shared" si="2"/>
        <v>24.020613270433802</v>
      </c>
      <c r="L10" s="50">
        <f>VLOOKUP($A10,'Data shares'!$C:$FB,118)</f>
        <v>0.69</v>
      </c>
      <c r="M10" s="50">
        <f>VLOOKUP($A10,'Data shares'!$C:$FB,119)</f>
        <v>0.7</v>
      </c>
      <c r="N10" s="50">
        <f>VLOOKUP($A10,'Data shares'!$C:$FB,121)*100</f>
        <v>-1.43</v>
      </c>
      <c r="O10" s="50">
        <f>VLOOKUP($A10,'Data shares'!$C:$FB,124)</f>
        <v>0.55000000000000004</v>
      </c>
      <c r="P10" s="50">
        <f>VLOOKUP($A10,'Data shares'!$C:$FB,125)</f>
        <v>0.42</v>
      </c>
      <c r="Q10" s="50">
        <f>VLOOKUP($A10,'Data shares'!$C:$FB,127)*100</f>
        <v>30.95</v>
      </c>
    </row>
    <row r="11" spans="1:17" x14ac:dyDescent="0.25">
      <c r="A11" s="97" t="str">
        <f>'Data Vlaue (Cr)'!C6</f>
        <v>ADANIENT</v>
      </c>
      <c r="B11" s="140">
        <f>VLOOKUP($A11,'Data shares'!$C:$FB,7)</f>
        <v>2218.3000000000002</v>
      </c>
      <c r="C11" s="140">
        <f>VLOOKUP($A11,'Data shares'!$C:$FB,3)</f>
        <v>2224.9</v>
      </c>
      <c r="D11" s="140">
        <f>VLOOKUP($A11,'Data shares'!$C:$FB,4)</f>
        <v>2211.1</v>
      </c>
      <c r="E11" s="50">
        <f t="shared" si="0"/>
        <v>0.6241237393152812</v>
      </c>
      <c r="F11" s="49">
        <f>VLOOKUP($A11,'Data shares'!$C:$FB,98)</f>
        <v>31390692</v>
      </c>
      <c r="G11" s="49">
        <f>VLOOKUP($A11,'Data shares'!$C:$FB,99)</f>
        <v>30746736</v>
      </c>
      <c r="H11" s="50">
        <f t="shared" si="1"/>
        <v>2.0943881652998875</v>
      </c>
      <c r="I11" s="49">
        <f>VLOOKUP($A11,'Data shares'!$C:$FB,66)</f>
        <v>24423978</v>
      </c>
      <c r="J11" s="49">
        <f>VLOOKUP($A11,'Data shares'!$C:$FB,67)</f>
        <v>21239115</v>
      </c>
      <c r="K11" s="50">
        <f t="shared" si="2"/>
        <v>13.039902836466688</v>
      </c>
      <c r="L11" s="50">
        <f>VLOOKUP($A11,'Data shares'!$C:$FB,118)</f>
        <v>0.94</v>
      </c>
      <c r="M11" s="50">
        <f>VLOOKUP($A11,'Data shares'!$C:$FB,119)</f>
        <v>0.99</v>
      </c>
      <c r="N11" s="50">
        <f>VLOOKUP($A11,'Data shares'!$C:$FB,121)*100</f>
        <v>-5.0500000000000007</v>
      </c>
      <c r="O11" s="50">
        <f>VLOOKUP($A11,'Data shares'!$C:$FB,124)</f>
        <v>0.48</v>
      </c>
      <c r="P11" s="50">
        <f>VLOOKUP($A11,'Data shares'!$C:$FB,125)</f>
        <v>0.47</v>
      </c>
      <c r="Q11" s="50">
        <f>VLOOKUP($A11,'Data shares'!$C:$FB,127)*100</f>
        <v>2.13</v>
      </c>
    </row>
    <row r="12" spans="1:17" x14ac:dyDescent="0.25">
      <c r="A12" s="97" t="str">
        <f>'Data Vlaue (Cr)'!C7</f>
        <v>ADANIGREEN</v>
      </c>
      <c r="B12" s="140">
        <f>VLOOKUP($A12,'Data shares'!$C:$FB,7)</f>
        <v>1127.3</v>
      </c>
      <c r="C12" s="140">
        <f>VLOOKUP($A12,'Data shares'!$C:$FB,3)</f>
        <v>1129.1500000000001</v>
      </c>
      <c r="D12" s="140">
        <f>VLOOKUP($A12,'Data shares'!$C:$FB,4)</f>
        <v>1122.3</v>
      </c>
      <c r="E12" s="50">
        <f t="shared" si="0"/>
        <v>0.61035373785976443</v>
      </c>
      <c r="F12" s="49">
        <f>VLOOKUP($A12,'Data shares'!$C:$FB,98)</f>
        <v>36141600</v>
      </c>
      <c r="G12" s="49">
        <f>VLOOKUP($A12,'Data shares'!$C:$FB,99)</f>
        <v>35676600</v>
      </c>
      <c r="H12" s="50">
        <f t="shared" si="1"/>
        <v>1.303375321639394</v>
      </c>
      <c r="I12" s="49">
        <f>VLOOKUP($A12,'Data shares'!$C:$FB,66)</f>
        <v>24160800</v>
      </c>
      <c r="J12" s="49">
        <f>VLOOKUP($A12,'Data shares'!$C:$FB,67)</f>
        <v>23554800</v>
      </c>
      <c r="K12" s="50">
        <f t="shared" si="2"/>
        <v>2.5081950928777195</v>
      </c>
      <c r="L12" s="50">
        <f>VLOOKUP($A12,'Data shares'!$C:$FB,118)</f>
        <v>0.84</v>
      </c>
      <c r="M12" s="50">
        <f>VLOOKUP($A12,'Data shares'!$C:$FB,119)</f>
        <v>0.86</v>
      </c>
      <c r="N12" s="50">
        <f>VLOOKUP($A12,'Data shares'!$C:$FB,121)*100</f>
        <v>-2.33</v>
      </c>
      <c r="O12" s="50">
        <f>VLOOKUP($A12,'Data shares'!$C:$FB,124)</f>
        <v>0.5</v>
      </c>
      <c r="P12" s="50">
        <f>VLOOKUP($A12,'Data shares'!$C:$FB,125)</f>
        <v>0.54</v>
      </c>
      <c r="Q12" s="50">
        <f>VLOOKUP($A12,'Data shares'!$C:$FB,127)*100</f>
        <v>-7.41</v>
      </c>
    </row>
    <row r="13" spans="1:17" x14ac:dyDescent="0.25">
      <c r="A13" s="97" t="str">
        <f>'Data Vlaue (Cr)'!C8</f>
        <v>ADANIPORTS</v>
      </c>
      <c r="B13" s="140">
        <f>VLOOKUP($A13,'Data shares'!$C:$FB,7)</f>
        <v>1573.4</v>
      </c>
      <c r="C13" s="140">
        <f>VLOOKUP($A13,'Data shares'!$C:$FB,3)</f>
        <v>1573.2</v>
      </c>
      <c r="D13" s="140">
        <f>VLOOKUP($A13,'Data shares'!$C:$FB,4)</f>
        <v>1550.7</v>
      </c>
      <c r="E13" s="50">
        <f t="shared" si="0"/>
        <v>1.4509576320371445</v>
      </c>
      <c r="F13" s="49">
        <f>VLOOKUP($A13,'Data shares'!$C:$FB,98)</f>
        <v>37163525</v>
      </c>
      <c r="G13" s="49">
        <f>VLOOKUP($A13,'Data shares'!$C:$FB,99)</f>
        <v>35401275</v>
      </c>
      <c r="H13" s="50">
        <f t="shared" si="1"/>
        <v>4.9779280548511311</v>
      </c>
      <c r="I13" s="49">
        <f>VLOOKUP($A13,'Data shares'!$C:$FB,66)</f>
        <v>41377250</v>
      </c>
      <c r="J13" s="49">
        <f>VLOOKUP($A13,'Data shares'!$C:$FB,67)</f>
        <v>44639075</v>
      </c>
      <c r="K13" s="50">
        <f t="shared" si="2"/>
        <v>-7.8831362644931691</v>
      </c>
      <c r="L13" s="50">
        <f>VLOOKUP($A13,'Data shares'!$C:$FB,118)</f>
        <v>0.84</v>
      </c>
      <c r="M13" s="50">
        <f>VLOOKUP($A13,'Data shares'!$C:$FB,119)</f>
        <v>0.84</v>
      </c>
      <c r="N13" s="50">
        <f>VLOOKUP($A13,'Data shares'!$C:$FB,121)*100</f>
        <v>0</v>
      </c>
      <c r="O13" s="50">
        <f>VLOOKUP($A13,'Data shares'!$C:$FB,124)</f>
        <v>0.48</v>
      </c>
      <c r="P13" s="50">
        <f>VLOOKUP($A13,'Data shares'!$C:$FB,125)</f>
        <v>0.43</v>
      </c>
      <c r="Q13" s="50">
        <f>VLOOKUP($A13,'Data shares'!$C:$FB,127)*100</f>
        <v>11.63</v>
      </c>
    </row>
    <row r="14" spans="1:17" x14ac:dyDescent="0.25">
      <c r="A14" s="97" t="str">
        <f>'Data Vlaue (Cr)'!C9</f>
        <v>ADANIPOWER</v>
      </c>
      <c r="B14" s="140">
        <f>VLOOKUP($A14,'Data shares'!$C:$FB,7)</f>
        <v>198.5</v>
      </c>
      <c r="C14" s="140">
        <f>VLOOKUP($A14,'Data shares'!$C:$FB,3)</f>
        <v>199.23</v>
      </c>
      <c r="D14" s="140">
        <f>VLOOKUP($A14,'Data shares'!$C:$FB,4)</f>
        <v>193.68</v>
      </c>
      <c r="E14" s="50">
        <f>(C14-D14)/D14*100</f>
        <v>2.8655514250309699</v>
      </c>
      <c r="F14" s="49">
        <f>VLOOKUP($A14,'Data shares'!$C:$FB,98)</f>
        <v>134811250</v>
      </c>
      <c r="G14" s="49">
        <f>VLOOKUP($A14,'Data shares'!$C:$FB,99)</f>
        <v>116329950</v>
      </c>
      <c r="H14" s="50">
        <f t="shared" si="1"/>
        <v>15.886966340138544</v>
      </c>
      <c r="I14" s="49">
        <f>VLOOKUP($A14,'Data shares'!$C:$FB,66)</f>
        <v>240729050</v>
      </c>
      <c r="J14" s="49">
        <f>VLOOKUP($A14,'Data shares'!$C:$FB,67)</f>
        <v>190585300</v>
      </c>
      <c r="K14" s="50">
        <f t="shared" si="2"/>
        <v>20.829953842296973</v>
      </c>
      <c r="L14" s="50">
        <f>VLOOKUP($A14,'Data shares'!$C:$FB,118)</f>
        <v>0.74</v>
      </c>
      <c r="M14" s="50">
        <f>VLOOKUP($A14,'Data shares'!$C:$FB,119)</f>
        <v>0.64</v>
      </c>
      <c r="N14" s="50">
        <f>VLOOKUP($A14,'Data shares'!$C:$FB,121)*100</f>
        <v>15.620000000000001</v>
      </c>
      <c r="O14" s="50">
        <f>VLOOKUP($A14,'Data shares'!$C:$FB,124)</f>
        <v>0.37</v>
      </c>
      <c r="P14" s="50">
        <f>VLOOKUP($A14,'Data shares'!$C:$FB,125)</f>
        <v>0.35</v>
      </c>
      <c r="Q14" s="50">
        <f>VLOOKUP($A14,'Data shares'!$C:$FB,127)*100</f>
        <v>5.71</v>
      </c>
    </row>
    <row r="15" spans="1:17" x14ac:dyDescent="0.25">
      <c r="A15" s="97" t="str">
        <f>'Data Vlaue (Cr)'!C10</f>
        <v>ALKEM</v>
      </c>
      <c r="B15" s="140">
        <f>VLOOKUP($A15,'Data shares'!$C:$FB,7)</f>
        <v>5582</v>
      </c>
      <c r="C15" s="140">
        <f>VLOOKUP($A15,'Data shares'!$C:$FB,3)</f>
        <v>5579</v>
      </c>
      <c r="D15" s="140">
        <f>VLOOKUP($A15,'Data shares'!$C:$FB,4)</f>
        <v>5565.5</v>
      </c>
      <c r="E15" s="50">
        <f t="shared" si="0"/>
        <v>0.24256580720510285</v>
      </c>
      <c r="F15" s="49">
        <f>VLOOKUP($A15,'Data shares'!$C:$FB,98)</f>
        <v>1606750</v>
      </c>
      <c r="G15" s="49">
        <f>VLOOKUP($A15,'Data shares'!$C:$FB,99)</f>
        <v>1557125</v>
      </c>
      <c r="H15" s="50">
        <f t="shared" si="1"/>
        <v>3.1869631532471701</v>
      </c>
      <c r="I15" s="49">
        <f>VLOOKUP($A15,'Data shares'!$C:$FB,66)</f>
        <v>479000</v>
      </c>
      <c r="J15" s="49">
        <f>VLOOKUP($A15,'Data shares'!$C:$FB,67)</f>
        <v>717125</v>
      </c>
      <c r="K15" s="50">
        <f t="shared" si="2"/>
        <v>-49.71294363256785</v>
      </c>
      <c r="L15" s="50">
        <f>VLOOKUP($A15,'Data shares'!$C:$FB,118)</f>
        <v>0.54</v>
      </c>
      <c r="M15" s="50">
        <f>VLOOKUP($A15,'Data shares'!$C:$FB,119)</f>
        <v>0.6</v>
      </c>
      <c r="N15" s="50">
        <f>VLOOKUP($A15,'Data shares'!$C:$FB,121)*100</f>
        <v>-10</v>
      </c>
      <c r="O15" s="50">
        <f>VLOOKUP($A15,'Data shares'!$C:$FB,124)</f>
        <v>0.33</v>
      </c>
      <c r="P15" s="50">
        <f>VLOOKUP($A15,'Data shares'!$C:$FB,125)</f>
        <v>0.36</v>
      </c>
      <c r="Q15" s="50">
        <f>VLOOKUP($A15,'Data shares'!$C:$FB,127)*100</f>
        <v>-8.33</v>
      </c>
    </row>
    <row r="16" spans="1:17" x14ac:dyDescent="0.25">
      <c r="A16" s="97" t="str">
        <f>'Data Vlaue (Cr)'!C11</f>
        <v>AMBER</v>
      </c>
      <c r="B16" s="140">
        <f>VLOOKUP($A16,'Data shares'!$C:$FB,7)</f>
        <v>7958.5</v>
      </c>
      <c r="C16" s="140">
        <f>VLOOKUP($A16,'Data shares'!$C:$FB,3)</f>
        <v>7941.5</v>
      </c>
      <c r="D16" s="140">
        <f>VLOOKUP($A16,'Data shares'!$C:$FB,4)</f>
        <v>7734.5</v>
      </c>
      <c r="E16" s="50">
        <f t="shared" si="0"/>
        <v>2.6763203827008857</v>
      </c>
      <c r="F16" s="49">
        <f>VLOOKUP($A16,'Data shares'!$C:$FB,98)</f>
        <v>3063900</v>
      </c>
      <c r="G16" s="49">
        <f>VLOOKUP($A16,'Data shares'!$C:$FB,99)</f>
        <v>3005000</v>
      </c>
      <c r="H16" s="50">
        <f t="shared" si="1"/>
        <v>1.9600665557404326</v>
      </c>
      <c r="I16" s="49">
        <f>VLOOKUP($A16,'Data shares'!$C:$FB,66)</f>
        <v>4127900</v>
      </c>
      <c r="J16" s="49">
        <f>VLOOKUP($A16,'Data shares'!$C:$FB,67)</f>
        <v>5948600</v>
      </c>
      <c r="K16" s="50">
        <f t="shared" si="2"/>
        <v>-44.107173138884178</v>
      </c>
      <c r="L16" s="50">
        <f>VLOOKUP($A16,'Data shares'!$C:$FB,118)</f>
        <v>0.78</v>
      </c>
      <c r="M16" s="50">
        <f>VLOOKUP($A16,'Data shares'!$C:$FB,119)</f>
        <v>0.74</v>
      </c>
      <c r="N16" s="50">
        <f>VLOOKUP($A16,'Data shares'!$C:$FB,121)*100</f>
        <v>5.41</v>
      </c>
      <c r="O16" s="50">
        <f>VLOOKUP($A16,'Data shares'!$C:$FB,124)</f>
        <v>0.55000000000000004</v>
      </c>
      <c r="P16" s="50">
        <f>VLOOKUP($A16,'Data shares'!$C:$FB,125)</f>
        <v>0.44</v>
      </c>
      <c r="Q16" s="50">
        <f>VLOOKUP($A16,'Data shares'!$C:$FB,127)*100</f>
        <v>25</v>
      </c>
    </row>
    <row r="17" spans="1:17" x14ac:dyDescent="0.25">
      <c r="A17" s="97" t="str">
        <f>'Data Vlaue (Cr)'!C12</f>
        <v>AMBUJACEM</v>
      </c>
      <c r="B17" s="140">
        <f>VLOOKUP($A17,'Data shares'!$C:$FB,7)</f>
        <v>459</v>
      </c>
      <c r="C17" s="140">
        <f>VLOOKUP($A17,'Data shares'!$C:$FB,3)</f>
        <v>458.8</v>
      </c>
      <c r="D17" s="140">
        <f>VLOOKUP($A17,'Data shares'!$C:$FB,4)</f>
        <v>459.45</v>
      </c>
      <c r="E17" s="50">
        <f t="shared" si="0"/>
        <v>-0.14147350092501412</v>
      </c>
      <c r="F17" s="49">
        <f>VLOOKUP($A17,'Data shares'!$C:$FB,98)</f>
        <v>80276700</v>
      </c>
      <c r="G17" s="49">
        <f>VLOOKUP($A17,'Data shares'!$C:$FB,99)</f>
        <v>80506650</v>
      </c>
      <c r="H17" s="50">
        <f t="shared" si="1"/>
        <v>-0.28562857850873191</v>
      </c>
      <c r="I17" s="49">
        <f>VLOOKUP($A17,'Data shares'!$C:$FB,66)</f>
        <v>14400750</v>
      </c>
      <c r="J17" s="49">
        <f>VLOOKUP($A17,'Data shares'!$C:$FB,67)</f>
        <v>20598900</v>
      </c>
      <c r="K17" s="50">
        <f t="shared" si="2"/>
        <v>-43.040466642362382</v>
      </c>
      <c r="L17" s="50">
        <f>VLOOKUP($A17,'Data shares'!$C:$FB,118)</f>
        <v>0.94</v>
      </c>
      <c r="M17" s="50">
        <f>VLOOKUP($A17,'Data shares'!$C:$FB,119)</f>
        <v>0.94</v>
      </c>
      <c r="N17" s="50">
        <f>VLOOKUP($A17,'Data shares'!$C:$FB,121)*100</f>
        <v>0</v>
      </c>
      <c r="O17" s="50">
        <f>VLOOKUP($A17,'Data shares'!$C:$FB,124)</f>
        <v>0.56000000000000005</v>
      </c>
      <c r="P17" s="50">
        <f>VLOOKUP($A17,'Data shares'!$C:$FB,125)</f>
        <v>0.55000000000000004</v>
      </c>
      <c r="Q17" s="50">
        <f>VLOOKUP($A17,'Data shares'!$C:$FB,127)*100</f>
        <v>1.82</v>
      </c>
    </row>
    <row r="18" spans="1:17" x14ac:dyDescent="0.25">
      <c r="A18" s="97" t="str">
        <f>'Data Vlaue (Cr)'!C13</f>
        <v>ANGELONE</v>
      </c>
      <c r="B18" s="140">
        <f>VLOOKUP($A18,'Data shares'!$C:$FB,7)</f>
        <v>322.47000000000003</v>
      </c>
      <c r="C18" s="140">
        <f>VLOOKUP($A18,'Data shares'!$C:$FB,3)</f>
        <v>322.60000000000002</v>
      </c>
      <c r="D18" s="140">
        <f>VLOOKUP($A18,'Data shares'!$C:$FB,4)</f>
        <v>289.8</v>
      </c>
      <c r="E18" s="50">
        <f t="shared" si="0"/>
        <v>11.318150448585234</v>
      </c>
      <c r="F18" s="49">
        <f>VLOOKUP($A18,'Data shares'!$C:$FB,98)</f>
        <v>104005000</v>
      </c>
      <c r="G18" s="49">
        <f>VLOOKUP($A18,'Data shares'!$C:$FB,99)</f>
        <v>82192500</v>
      </c>
      <c r="H18" s="50">
        <f t="shared" si="1"/>
        <v>26.538309456458926</v>
      </c>
      <c r="I18" s="49">
        <f>VLOOKUP($A18,'Data shares'!$C:$FB,66)</f>
        <v>688607500</v>
      </c>
      <c r="J18" s="49">
        <f>VLOOKUP($A18,'Data shares'!$C:$FB,67)</f>
        <v>139002500</v>
      </c>
      <c r="K18" s="50">
        <f t="shared" si="2"/>
        <v>79.813972400823403</v>
      </c>
      <c r="L18" s="50">
        <f>VLOOKUP($A18,'Data shares'!$C:$FB,118)</f>
        <v>1.23</v>
      </c>
      <c r="M18" s="50">
        <f>VLOOKUP($A18,'Data shares'!$C:$FB,119)</f>
        <v>0.72</v>
      </c>
      <c r="N18" s="50">
        <f>VLOOKUP($A18,'Data shares'!$C:$FB,121)*100</f>
        <v>70.83</v>
      </c>
      <c r="O18" s="50">
        <f>VLOOKUP($A18,'Data shares'!$C:$FB,124)</f>
        <v>0.48</v>
      </c>
      <c r="P18" s="50">
        <f>VLOOKUP($A18,'Data shares'!$C:$FB,125)</f>
        <v>0.78</v>
      </c>
      <c r="Q18" s="50">
        <f>VLOOKUP($A18,'Data shares'!$C:$FB,127)*100</f>
        <v>-38.46</v>
      </c>
    </row>
    <row r="19" spans="1:17" x14ac:dyDescent="0.25">
      <c r="A19" s="97" t="str">
        <f>'Data Vlaue (Cr)'!C14</f>
        <v>APLAPOLLO</v>
      </c>
      <c r="B19" s="140">
        <f>VLOOKUP($A19,'Data shares'!$C:$FB,7)</f>
        <v>2105.6999999999998</v>
      </c>
      <c r="C19" s="140">
        <f>VLOOKUP($A19,'Data shares'!$C:$FB,3)</f>
        <v>2105.9</v>
      </c>
      <c r="D19" s="140">
        <f>VLOOKUP($A19,'Data shares'!$C:$FB,4)</f>
        <v>2053.1</v>
      </c>
      <c r="E19" s="50">
        <f t="shared" si="0"/>
        <v>2.5717208124299931</v>
      </c>
      <c r="F19" s="49">
        <f>VLOOKUP($A19,'Data shares'!$C:$FB,98)</f>
        <v>7244300</v>
      </c>
      <c r="G19" s="49">
        <f>VLOOKUP($A19,'Data shares'!$C:$FB,99)</f>
        <v>7146650</v>
      </c>
      <c r="H19" s="50">
        <f t="shared" si="1"/>
        <v>1.3663744551643078</v>
      </c>
      <c r="I19" s="49">
        <f>VLOOKUP($A19,'Data shares'!$C:$FB,66)</f>
        <v>5713400</v>
      </c>
      <c r="J19" s="49">
        <f>VLOOKUP($A19,'Data shares'!$C:$FB,67)</f>
        <v>3523100</v>
      </c>
      <c r="K19" s="50">
        <f t="shared" si="2"/>
        <v>38.336192109777016</v>
      </c>
      <c r="L19" s="50">
        <f>VLOOKUP($A19,'Data shares'!$C:$FB,118)</f>
        <v>0.67</v>
      </c>
      <c r="M19" s="50">
        <f>VLOOKUP($A19,'Data shares'!$C:$FB,119)</f>
        <v>0.7</v>
      </c>
      <c r="N19" s="50">
        <f>VLOOKUP($A19,'Data shares'!$C:$FB,121)*100</f>
        <v>-4.29</v>
      </c>
      <c r="O19" s="50">
        <f>VLOOKUP($A19,'Data shares'!$C:$FB,124)</f>
        <v>0.28000000000000003</v>
      </c>
      <c r="P19" s="50">
        <f>VLOOKUP($A19,'Data shares'!$C:$FB,125)</f>
        <v>0.3</v>
      </c>
      <c r="Q19" s="50">
        <f>VLOOKUP($A19,'Data shares'!$C:$FB,127)*100</f>
        <v>-6.67</v>
      </c>
    </row>
    <row r="20" spans="1:17" x14ac:dyDescent="0.25">
      <c r="A20" s="97" t="str">
        <f>'Data Vlaue (Cr)'!C15</f>
        <v>APOLLOHOSP</v>
      </c>
      <c r="B20" s="140">
        <f>VLOOKUP($A20,'Data shares'!$C:$FB,7)</f>
        <v>7699</v>
      </c>
      <c r="C20" s="140">
        <f>VLOOKUP($A20,'Data shares'!$C:$FB,3)</f>
        <v>7698</v>
      </c>
      <c r="D20" s="140">
        <f>VLOOKUP($A20,'Data shares'!$C:$FB,4)</f>
        <v>7556</v>
      </c>
      <c r="E20" s="50">
        <f t="shared" si="0"/>
        <v>1.8793012175754367</v>
      </c>
      <c r="F20" s="49">
        <f>VLOOKUP($A20,'Data shares'!$C:$FB,98)</f>
        <v>4065750</v>
      </c>
      <c r="G20" s="49">
        <f>VLOOKUP($A20,'Data shares'!$C:$FB,99)</f>
        <v>4045750</v>
      </c>
      <c r="H20" s="50">
        <f t="shared" si="1"/>
        <v>0.49434591855650989</v>
      </c>
      <c r="I20" s="49">
        <f>VLOOKUP($A20,'Data shares'!$C:$FB,66)</f>
        <v>4238875</v>
      </c>
      <c r="J20" s="49">
        <f>VLOOKUP($A20,'Data shares'!$C:$FB,67)</f>
        <v>3909750</v>
      </c>
      <c r="K20" s="50">
        <f t="shared" si="2"/>
        <v>7.7644422163899618</v>
      </c>
      <c r="L20" s="50">
        <f>VLOOKUP($A20,'Data shares'!$C:$FB,118)</f>
        <v>0.91</v>
      </c>
      <c r="M20" s="50">
        <f>VLOOKUP($A20,'Data shares'!$C:$FB,119)</f>
        <v>0.84</v>
      </c>
      <c r="N20" s="50">
        <f>VLOOKUP($A20,'Data shares'!$C:$FB,121)*100</f>
        <v>8.33</v>
      </c>
      <c r="O20" s="50">
        <f>VLOOKUP($A20,'Data shares'!$C:$FB,124)</f>
        <v>0.37</v>
      </c>
      <c r="P20" s="50">
        <f>VLOOKUP($A20,'Data shares'!$C:$FB,125)</f>
        <v>0.57999999999999996</v>
      </c>
      <c r="Q20" s="50">
        <f>VLOOKUP($A20,'Data shares'!$C:$FB,127)*100</f>
        <v>-36.21</v>
      </c>
    </row>
    <row r="21" spans="1:17" x14ac:dyDescent="0.25">
      <c r="A21" s="97" t="str">
        <f>'Data Vlaue (Cr)'!C16</f>
        <v>ASHOKLEY</v>
      </c>
      <c r="B21" s="140">
        <f>VLOOKUP($A21,'Data shares'!$C:$FB,7)</f>
        <v>174.78</v>
      </c>
      <c r="C21" s="140">
        <f>VLOOKUP($A21,'Data shares'!$C:$FB,3)</f>
        <v>174.97</v>
      </c>
      <c r="D21" s="140">
        <f>VLOOKUP($A21,'Data shares'!$C:$FB,4)</f>
        <v>176.3</v>
      </c>
      <c r="E21" s="50">
        <f t="shared" si="0"/>
        <v>-0.75439591605219081</v>
      </c>
      <c r="F21" s="49">
        <f>VLOOKUP($A21,'Data shares'!$C:$FB,98)</f>
        <v>298470000</v>
      </c>
      <c r="G21" s="49">
        <f>VLOOKUP($A21,'Data shares'!$C:$FB,99)</f>
        <v>293785000</v>
      </c>
      <c r="H21" s="50">
        <f t="shared" si="1"/>
        <v>1.5947036097826641</v>
      </c>
      <c r="I21" s="49">
        <f>VLOOKUP($A21,'Data shares'!$C:$FB,66)</f>
        <v>152315000</v>
      </c>
      <c r="J21" s="49">
        <f>VLOOKUP($A21,'Data shares'!$C:$FB,67)</f>
        <v>129295000</v>
      </c>
      <c r="K21" s="50">
        <f t="shared" si="2"/>
        <v>15.113416275481731</v>
      </c>
      <c r="L21" s="50">
        <f>VLOOKUP($A21,'Data shares'!$C:$FB,118)</f>
        <v>0.74</v>
      </c>
      <c r="M21" s="50">
        <f>VLOOKUP($A21,'Data shares'!$C:$FB,119)</f>
        <v>0.76</v>
      </c>
      <c r="N21" s="50">
        <f>VLOOKUP($A21,'Data shares'!$C:$FB,121)*100</f>
        <v>-2.63</v>
      </c>
      <c r="O21" s="50">
        <f>VLOOKUP($A21,'Data shares'!$C:$FB,124)</f>
        <v>0.56999999999999995</v>
      </c>
      <c r="P21" s="50">
        <f>VLOOKUP($A21,'Data shares'!$C:$FB,125)</f>
        <v>0.66</v>
      </c>
      <c r="Q21" s="50">
        <f>VLOOKUP($A21,'Data shares'!$C:$FB,127)*100</f>
        <v>-13.639999999999999</v>
      </c>
    </row>
    <row r="22" spans="1:17" x14ac:dyDescent="0.25">
      <c r="A22" s="97" t="str">
        <f>'Data Vlaue (Cr)'!C17</f>
        <v>ASIANPAINT</v>
      </c>
      <c r="B22" s="140">
        <f>VLOOKUP($A22,'Data shares'!$C:$FB,7)</f>
        <v>2464</v>
      </c>
      <c r="C22" s="140">
        <f>VLOOKUP($A22,'Data shares'!$C:$FB,3)</f>
        <v>2464.3000000000002</v>
      </c>
      <c r="D22" s="140">
        <f>VLOOKUP($A22,'Data shares'!$C:$FB,4)</f>
        <v>2442.4</v>
      </c>
      <c r="E22" s="50">
        <f t="shared" si="0"/>
        <v>0.8966590239109109</v>
      </c>
      <c r="F22" s="49">
        <f>VLOOKUP($A22,'Data shares'!$C:$FB,98)</f>
        <v>24184500</v>
      </c>
      <c r="G22" s="49">
        <f>VLOOKUP($A22,'Data shares'!$C:$FB,99)</f>
        <v>23750500</v>
      </c>
      <c r="H22" s="50">
        <f t="shared" si="1"/>
        <v>1.8273299509484011</v>
      </c>
      <c r="I22" s="49">
        <f>VLOOKUP($A22,'Data shares'!$C:$FB,66)</f>
        <v>18909250</v>
      </c>
      <c r="J22" s="49">
        <f>VLOOKUP($A22,'Data shares'!$C:$FB,67)</f>
        <v>11771750</v>
      </c>
      <c r="K22" s="50">
        <f t="shared" si="2"/>
        <v>37.746076655605059</v>
      </c>
      <c r="L22" s="50">
        <f>VLOOKUP($A22,'Data shares'!$C:$FB,118)</f>
        <v>1.1499999999999999</v>
      </c>
      <c r="M22" s="50">
        <f>VLOOKUP($A22,'Data shares'!$C:$FB,119)</f>
        <v>1.34</v>
      </c>
      <c r="N22" s="50">
        <f>VLOOKUP($A22,'Data shares'!$C:$FB,121)*100</f>
        <v>-14.180000000000001</v>
      </c>
      <c r="O22" s="50">
        <f>VLOOKUP($A22,'Data shares'!$C:$FB,124)</f>
        <v>0.7</v>
      </c>
      <c r="P22" s="50">
        <f>VLOOKUP($A22,'Data shares'!$C:$FB,125)</f>
        <v>0.82</v>
      </c>
      <c r="Q22" s="50">
        <f>VLOOKUP($A22,'Data shares'!$C:$FB,127)*100</f>
        <v>-14.63</v>
      </c>
    </row>
    <row r="23" spans="1:17" x14ac:dyDescent="0.25">
      <c r="A23" s="97" t="str">
        <f>'Data Vlaue (Cr)'!C18</f>
        <v>ASTRAL</v>
      </c>
      <c r="B23" s="140">
        <f>VLOOKUP($A23,'Data shares'!$C:$FB,7)</f>
        <v>1605</v>
      </c>
      <c r="C23" s="140">
        <f>VLOOKUP($A23,'Data shares'!$C:$FB,3)</f>
        <v>1544.7</v>
      </c>
      <c r="D23" s="140">
        <f>VLOOKUP($A23,'Data shares'!$C:$FB,4)</f>
        <v>1525.5</v>
      </c>
      <c r="E23" s="50">
        <f t="shared" si="0"/>
        <v>1.2586037364798457</v>
      </c>
      <c r="F23" s="49">
        <f>VLOOKUP($A23,'Data shares'!$C:$FB,98)</f>
        <v>20852625</v>
      </c>
      <c r="G23" s="49">
        <f>VLOOKUP($A23,'Data shares'!$C:$FB,99)</f>
        <v>20590400</v>
      </c>
      <c r="H23" s="50">
        <f t="shared" si="1"/>
        <v>1.2735303830911493</v>
      </c>
      <c r="I23" s="49">
        <f>VLOOKUP($A23,'Data shares'!$C:$FB,66)</f>
        <v>17834275</v>
      </c>
      <c r="J23" s="49">
        <f>VLOOKUP($A23,'Data shares'!$C:$FB,67)</f>
        <v>36042975</v>
      </c>
      <c r="K23" s="50">
        <f t="shared" si="2"/>
        <v>-102.09946857946287</v>
      </c>
      <c r="L23" s="50">
        <f>VLOOKUP($A23,'Data shares'!$C:$FB,118)</f>
        <v>0.59</v>
      </c>
      <c r="M23" s="50">
        <f>VLOOKUP($A23,'Data shares'!$C:$FB,119)</f>
        <v>0.51</v>
      </c>
      <c r="N23" s="50">
        <f>VLOOKUP($A23,'Data shares'!$C:$FB,121)*100</f>
        <v>15.690000000000001</v>
      </c>
      <c r="O23" s="50">
        <f>VLOOKUP($A23,'Data shares'!$C:$FB,124)</f>
        <v>0.49</v>
      </c>
      <c r="P23" s="50">
        <f>VLOOKUP($A23,'Data shares'!$C:$FB,125)</f>
        <v>0.55000000000000004</v>
      </c>
      <c r="Q23" s="50">
        <f>VLOOKUP($A23,'Data shares'!$C:$FB,127)*100</f>
        <v>-10.91</v>
      </c>
    </row>
    <row r="24" spans="1:17" x14ac:dyDescent="0.25">
      <c r="A24" s="97" t="str">
        <f>'Data Vlaue (Cr)'!C19</f>
        <v>AUBANK</v>
      </c>
      <c r="B24" s="140">
        <f>VLOOKUP($A24,'Data shares'!$C:$FB,7)</f>
        <v>990.6</v>
      </c>
      <c r="C24" s="140">
        <f>VLOOKUP($A24,'Data shares'!$C:$FB,3)</f>
        <v>993.2</v>
      </c>
      <c r="D24" s="140">
        <f>VLOOKUP($A24,'Data shares'!$C:$FB,4)</f>
        <v>987</v>
      </c>
      <c r="E24" s="50">
        <f t="shared" si="0"/>
        <v>0.6281661600810583</v>
      </c>
      <c r="F24" s="49">
        <f>VLOOKUP($A24,'Data shares'!$C:$FB,98)</f>
        <v>36954000</v>
      </c>
      <c r="G24" s="49">
        <f>VLOOKUP($A24,'Data shares'!$C:$FB,99)</f>
        <v>37200000</v>
      </c>
      <c r="H24" s="50">
        <f t="shared" si="1"/>
        <v>-0.66129032258064513</v>
      </c>
      <c r="I24" s="49">
        <f>VLOOKUP($A24,'Data shares'!$C:$FB,66)</f>
        <v>11682000</v>
      </c>
      <c r="J24" s="49">
        <f>VLOOKUP($A24,'Data shares'!$C:$FB,67)</f>
        <v>11947000</v>
      </c>
      <c r="K24" s="50">
        <f t="shared" si="2"/>
        <v>-2.2684471837014208</v>
      </c>
      <c r="L24" s="50">
        <f>VLOOKUP($A24,'Data shares'!$C:$FB,118)</f>
        <v>0.8</v>
      </c>
      <c r="M24" s="50">
        <f>VLOOKUP($A24,'Data shares'!$C:$FB,119)</f>
        <v>0.84</v>
      </c>
      <c r="N24" s="50">
        <f>VLOOKUP($A24,'Data shares'!$C:$FB,121)*100</f>
        <v>-4.7600000000000007</v>
      </c>
      <c r="O24" s="50">
        <f>VLOOKUP($A24,'Data shares'!$C:$FB,124)</f>
        <v>0.75</v>
      </c>
      <c r="P24" s="50">
        <f>VLOOKUP($A24,'Data shares'!$C:$FB,125)</f>
        <v>0.87</v>
      </c>
      <c r="Q24" s="50">
        <f>VLOOKUP($A24,'Data shares'!$C:$FB,127)*100</f>
        <v>-13.79</v>
      </c>
    </row>
    <row r="25" spans="1:17" x14ac:dyDescent="0.25">
      <c r="A25" s="97" t="str">
        <f>'Data Vlaue (Cr)'!C20</f>
        <v>AUROPHARMA</v>
      </c>
      <c r="B25" s="140">
        <f>VLOOKUP($A25,'Data shares'!$C:$FB,7)</f>
        <v>1386</v>
      </c>
      <c r="C25" s="140">
        <f>VLOOKUP($A25,'Data shares'!$C:$FB,3)</f>
        <v>1388.6</v>
      </c>
      <c r="D25" s="140">
        <f>VLOOKUP($A25,'Data shares'!$C:$FB,4)</f>
        <v>1385.4</v>
      </c>
      <c r="E25" s="50">
        <f t="shared" si="0"/>
        <v>0.23098022231845083</v>
      </c>
      <c r="F25" s="49">
        <f>VLOOKUP($A25,'Data shares'!$C:$FB,98)</f>
        <v>27563800</v>
      </c>
      <c r="G25" s="49">
        <f>VLOOKUP($A25,'Data shares'!$C:$FB,99)</f>
        <v>27651250</v>
      </c>
      <c r="H25" s="50">
        <f t="shared" si="1"/>
        <v>-0.31626056688214821</v>
      </c>
      <c r="I25" s="49">
        <f>VLOOKUP($A25,'Data shares'!$C:$FB,66)</f>
        <v>7662600</v>
      </c>
      <c r="J25" s="49">
        <f>VLOOKUP($A25,'Data shares'!$C:$FB,67)</f>
        <v>8284650</v>
      </c>
      <c r="K25" s="50">
        <f t="shared" si="2"/>
        <v>-8.1180017226528864</v>
      </c>
      <c r="L25" s="50">
        <f>VLOOKUP($A25,'Data shares'!$C:$FB,118)</f>
        <v>0.7</v>
      </c>
      <c r="M25" s="50">
        <f>VLOOKUP($A25,'Data shares'!$C:$FB,119)</f>
        <v>0.72</v>
      </c>
      <c r="N25" s="50">
        <f>VLOOKUP($A25,'Data shares'!$C:$FB,121)*100</f>
        <v>-2.78</v>
      </c>
      <c r="O25" s="50">
        <f>VLOOKUP($A25,'Data shares'!$C:$FB,124)</f>
        <v>0.67</v>
      </c>
      <c r="P25" s="50">
        <f>VLOOKUP($A25,'Data shares'!$C:$FB,125)</f>
        <v>0.56999999999999995</v>
      </c>
      <c r="Q25" s="50">
        <f>VLOOKUP($A25,'Data shares'!$C:$FB,127)*100</f>
        <v>17.54</v>
      </c>
    </row>
    <row r="26" spans="1:17" x14ac:dyDescent="0.25">
      <c r="A26" s="97" t="str">
        <f>'Data Vlaue (Cr)'!C21</f>
        <v>AXISBANK</v>
      </c>
      <c r="B26" s="140">
        <f>VLOOKUP($A26,'Data shares'!$C:$FB,7)</f>
        <v>1359.1</v>
      </c>
      <c r="C26" s="140">
        <f>VLOOKUP($A26,'Data shares'!$C:$FB,3)</f>
        <v>1363.3</v>
      </c>
      <c r="D26" s="140">
        <f>VLOOKUP($A26,'Data shares'!$C:$FB,4)</f>
        <v>1350.4</v>
      </c>
      <c r="E26" s="50">
        <f t="shared" si="0"/>
        <v>0.95527251184833117</v>
      </c>
      <c r="F26" s="49">
        <f>VLOOKUP($A26,'Data shares'!$C:$FB,98)</f>
        <v>95240000</v>
      </c>
      <c r="G26" s="49">
        <f>VLOOKUP($A26,'Data shares'!$C:$FB,99)</f>
        <v>94147500</v>
      </c>
      <c r="H26" s="50">
        <f t="shared" si="1"/>
        <v>1.1604131814440108</v>
      </c>
      <c r="I26" s="49">
        <f>VLOOKUP($A26,'Data shares'!$C:$FB,66)</f>
        <v>34241250</v>
      </c>
      <c r="J26" s="49">
        <f>VLOOKUP($A26,'Data shares'!$C:$FB,67)</f>
        <v>38991250</v>
      </c>
      <c r="K26" s="50">
        <f t="shared" si="2"/>
        <v>-13.872157120432227</v>
      </c>
      <c r="L26" s="50">
        <f>VLOOKUP($A26,'Data shares'!$C:$FB,118)</f>
        <v>0.84</v>
      </c>
      <c r="M26" s="50">
        <f>VLOOKUP($A26,'Data shares'!$C:$FB,119)</f>
        <v>0.81</v>
      </c>
      <c r="N26" s="50">
        <f>VLOOKUP($A26,'Data shares'!$C:$FB,121)*100</f>
        <v>3.6999999999999997</v>
      </c>
      <c r="O26" s="50">
        <f>VLOOKUP($A26,'Data shares'!$C:$FB,124)</f>
        <v>0.69</v>
      </c>
      <c r="P26" s="50">
        <f>VLOOKUP($A26,'Data shares'!$C:$FB,125)</f>
        <v>0.88</v>
      </c>
      <c r="Q26" s="50">
        <f>VLOOKUP($A26,'Data shares'!$C:$FB,127)*100</f>
        <v>-21.59</v>
      </c>
    </row>
    <row r="27" spans="1:17" x14ac:dyDescent="0.25">
      <c r="A27" s="97" t="str">
        <f>'Data Vlaue (Cr)'!C22</f>
        <v>BAJAJ-AUTO</v>
      </c>
      <c r="B27" s="140">
        <f>VLOOKUP($A27,'Data shares'!$C:$FB,7)</f>
        <v>9773.5</v>
      </c>
      <c r="C27" s="140">
        <f>VLOOKUP($A27,'Data shares'!$C:$FB,3)</f>
        <v>9761.5</v>
      </c>
      <c r="D27" s="140">
        <f>VLOOKUP($A27,'Data shares'!$C:$FB,4)</f>
        <v>9853</v>
      </c>
      <c r="E27" s="50">
        <f t="shared" si="0"/>
        <v>-0.9286511722318076</v>
      </c>
      <c r="F27" s="49">
        <f>VLOOKUP($A27,'Data shares'!$C:$FB,98)</f>
        <v>5486775</v>
      </c>
      <c r="G27" s="49">
        <f>VLOOKUP($A27,'Data shares'!$C:$FB,99)</f>
        <v>5306850</v>
      </c>
      <c r="H27" s="50">
        <f t="shared" si="1"/>
        <v>3.390429350744792</v>
      </c>
      <c r="I27" s="49">
        <f>VLOOKUP($A27,'Data shares'!$C:$FB,66)</f>
        <v>2426100</v>
      </c>
      <c r="J27" s="49">
        <f>VLOOKUP($A27,'Data shares'!$C:$FB,67)</f>
        <v>3010275</v>
      </c>
      <c r="K27" s="50">
        <f t="shared" si="2"/>
        <v>-24.078768393718313</v>
      </c>
      <c r="L27" s="50">
        <f>VLOOKUP($A27,'Data shares'!$C:$FB,118)</f>
        <v>0.89</v>
      </c>
      <c r="M27" s="50">
        <f>VLOOKUP($A27,'Data shares'!$C:$FB,119)</f>
        <v>1</v>
      </c>
      <c r="N27" s="50">
        <f>VLOOKUP($A27,'Data shares'!$C:$FB,121)*100</f>
        <v>-11</v>
      </c>
      <c r="O27" s="50">
        <f>VLOOKUP($A27,'Data shares'!$C:$FB,124)</f>
        <v>0.67</v>
      </c>
      <c r="P27" s="50">
        <f>VLOOKUP($A27,'Data shares'!$C:$FB,125)</f>
        <v>0.59</v>
      </c>
      <c r="Q27" s="50">
        <f>VLOOKUP($A27,'Data shares'!$C:$FB,127)*100</f>
        <v>13.56</v>
      </c>
    </row>
    <row r="28" spans="1:17" x14ac:dyDescent="0.25">
      <c r="A28" s="97" t="str">
        <f>'Data Vlaue (Cr)'!C23</f>
        <v>BAJAJFINSV</v>
      </c>
      <c r="B28" s="140">
        <f>VLOOKUP($A28,'Data shares'!$C:$FB,7)</f>
        <v>1838.9</v>
      </c>
      <c r="C28" s="140">
        <f>VLOOKUP($A28,'Data shares'!$C:$FB,3)</f>
        <v>1839.4</v>
      </c>
      <c r="D28" s="140">
        <f>VLOOKUP($A28,'Data shares'!$C:$FB,4)</f>
        <v>1829.8</v>
      </c>
      <c r="E28" s="50">
        <f t="shared" si="0"/>
        <v>0.52464750245929259</v>
      </c>
      <c r="F28" s="49">
        <f>VLOOKUP($A28,'Data shares'!$C:$FB,98)</f>
        <v>18279500</v>
      </c>
      <c r="G28" s="49">
        <f>VLOOKUP($A28,'Data shares'!$C:$FB,99)</f>
        <v>18369500</v>
      </c>
      <c r="H28" s="50">
        <f t="shared" si="1"/>
        <v>-0.48994256784343615</v>
      </c>
      <c r="I28" s="49">
        <f>VLOOKUP($A28,'Data shares'!$C:$FB,66)</f>
        <v>3670250</v>
      </c>
      <c r="J28" s="49">
        <f>VLOOKUP($A28,'Data shares'!$C:$FB,67)</f>
        <v>8345250</v>
      </c>
      <c r="K28" s="50">
        <f t="shared" si="2"/>
        <v>-127.37551937878891</v>
      </c>
      <c r="L28" s="50">
        <f>VLOOKUP($A28,'Data shares'!$C:$FB,118)</f>
        <v>1.02</v>
      </c>
      <c r="M28" s="50">
        <f>VLOOKUP($A28,'Data shares'!$C:$FB,119)</f>
        <v>1</v>
      </c>
      <c r="N28" s="50">
        <f>VLOOKUP($A28,'Data shares'!$C:$FB,121)*100</f>
        <v>2</v>
      </c>
      <c r="O28" s="50">
        <f>VLOOKUP($A28,'Data shares'!$C:$FB,124)</f>
        <v>0.66</v>
      </c>
      <c r="P28" s="50">
        <f>VLOOKUP($A28,'Data shares'!$C:$FB,125)</f>
        <v>0.44</v>
      </c>
      <c r="Q28" s="50">
        <f>VLOOKUP($A28,'Data shares'!$C:$FB,127)*100</f>
        <v>50</v>
      </c>
    </row>
    <row r="29" spans="1:17" x14ac:dyDescent="0.25">
      <c r="A29" s="97" t="str">
        <f>'Data Vlaue (Cr)'!C24</f>
        <v>BAJAJHLDNG</v>
      </c>
      <c r="B29" s="140">
        <f>VLOOKUP($A29,'Data shares'!$C:$FB,7)</f>
        <v>10355.5</v>
      </c>
      <c r="C29" s="140">
        <f>VLOOKUP($A29,'Data shares'!$C:$FB,3)</f>
        <v>10358</v>
      </c>
      <c r="D29" s="140">
        <f>VLOOKUP($A29,'Data shares'!$C:$FB,4)</f>
        <v>10206.5</v>
      </c>
      <c r="E29" s="50">
        <f t="shared" si="0"/>
        <v>1.4843482094743545</v>
      </c>
      <c r="F29" s="49">
        <f>VLOOKUP($A29,'Data shares'!$C:$FB,98)</f>
        <v>426000</v>
      </c>
      <c r="G29" s="49">
        <f>VLOOKUP($A29,'Data shares'!$C:$FB,99)</f>
        <v>434000</v>
      </c>
      <c r="H29" s="50">
        <f t="shared" si="1"/>
        <v>-1.8433179723502304</v>
      </c>
      <c r="I29" s="49">
        <f>VLOOKUP($A29,'Data shares'!$C:$FB,66)</f>
        <v>252400</v>
      </c>
      <c r="J29" s="49">
        <f>VLOOKUP($A29,'Data shares'!$C:$FB,67)</f>
        <v>322900</v>
      </c>
      <c r="K29" s="50">
        <f t="shared" si="2"/>
        <v>-27.931854199683041</v>
      </c>
      <c r="L29" s="50">
        <f>VLOOKUP($A29,'Data shares'!$C:$FB,118)</f>
        <v>0.55000000000000004</v>
      </c>
      <c r="M29" s="50">
        <f>VLOOKUP($A29,'Data shares'!$C:$FB,119)</f>
        <v>0.48</v>
      </c>
      <c r="N29" s="50">
        <f>VLOOKUP($A29,'Data shares'!$C:$FB,121)*100</f>
        <v>14.580000000000002</v>
      </c>
      <c r="O29" s="50">
        <f>VLOOKUP($A29,'Data shares'!$C:$FB,124)</f>
        <v>1.5</v>
      </c>
      <c r="P29" s="50">
        <f>VLOOKUP($A29,'Data shares'!$C:$FB,125)</f>
        <v>0.16</v>
      </c>
      <c r="Q29" s="50">
        <f>VLOOKUP($A29,'Data shares'!$C:$FB,127)*100</f>
        <v>837.5</v>
      </c>
    </row>
    <row r="30" spans="1:17" x14ac:dyDescent="0.25">
      <c r="A30" s="97" t="str">
        <f>'Data Vlaue (Cr)'!C25</f>
        <v>BAJFINANCE</v>
      </c>
      <c r="B30" s="176">
        <f>VLOOKUP($A30,'Data shares'!$C:$FB,7)</f>
        <v>908.25</v>
      </c>
      <c r="C30" s="176">
        <f>VLOOKUP($A30,'Data shares'!$C:$FB,3)</f>
        <v>910.95</v>
      </c>
      <c r="D30" s="176">
        <f>VLOOKUP($A30,'Data shares'!$C:$FB,4)</f>
        <v>908.85</v>
      </c>
      <c r="E30" s="50">
        <f t="shared" si="0"/>
        <v>0.23106123122627747</v>
      </c>
      <c r="F30" s="49">
        <f>VLOOKUP($A30,'Data shares'!$C:$FB,98)</f>
        <v>109996500</v>
      </c>
      <c r="G30" s="49">
        <f>VLOOKUP($A30,'Data shares'!$C:$FB,99)</f>
        <v>109245750</v>
      </c>
      <c r="H30" s="50">
        <f t="shared" si="1"/>
        <v>0.68721208834210934</v>
      </c>
      <c r="I30" s="49">
        <f>VLOOKUP($A30,'Data shares'!$C:$FB,66)</f>
        <v>27449250</v>
      </c>
      <c r="J30" s="49">
        <f>VLOOKUP($A30,'Data shares'!$C:$FB,67)</f>
        <v>56044500</v>
      </c>
      <c r="K30" s="50">
        <f t="shared" si="2"/>
        <v>-104.17497745840049</v>
      </c>
      <c r="L30" s="50">
        <f>VLOOKUP($A30,'Data shares'!$C:$FB,118)</f>
        <v>0.78</v>
      </c>
      <c r="M30" s="50">
        <f>VLOOKUP($A30,'Data shares'!$C:$FB,119)</f>
        <v>0.79</v>
      </c>
      <c r="N30" s="50">
        <f>VLOOKUP($A30,'Data shares'!$C:$FB,121)*100</f>
        <v>-1.27</v>
      </c>
      <c r="O30" s="50">
        <f>VLOOKUP($A30,'Data shares'!$C:$FB,124)</f>
        <v>0.63</v>
      </c>
      <c r="P30" s="50">
        <f>VLOOKUP($A30,'Data shares'!$C:$FB,125)</f>
        <v>0.56999999999999995</v>
      </c>
      <c r="Q30" s="50">
        <f>VLOOKUP($A30,'Data shares'!$C:$FB,127)*100</f>
        <v>10.530000000000001</v>
      </c>
    </row>
    <row r="31" spans="1:17" x14ac:dyDescent="0.25">
      <c r="A31" s="97" t="str">
        <f>'Data Vlaue (Cr)'!C26</f>
        <v>BANDHANBNK</v>
      </c>
      <c r="B31" s="140">
        <f>VLOOKUP($A31,'Data shares'!$C:$FB,7)</f>
        <v>174.47</v>
      </c>
      <c r="C31" s="140">
        <f>VLOOKUP($A31,'Data shares'!$C:$FB,3)</f>
        <v>175.02</v>
      </c>
      <c r="D31" s="140">
        <f>VLOOKUP($A31,'Data shares'!$C:$FB,4)</f>
        <v>174.35</v>
      </c>
      <c r="E31" s="50">
        <f t="shared" si="0"/>
        <v>0.38428448523086661</v>
      </c>
      <c r="F31" s="49">
        <f>VLOOKUP($A31,'Data shares'!$C:$FB,98)</f>
        <v>135511200</v>
      </c>
      <c r="G31" s="49">
        <f>VLOOKUP($A31,'Data shares'!$C:$FB,99)</f>
        <v>134438400</v>
      </c>
      <c r="H31" s="50">
        <f t="shared" si="1"/>
        <v>0.79798628963153384</v>
      </c>
      <c r="I31" s="49">
        <f>VLOOKUP($A31,'Data shares'!$C:$FB,66)</f>
        <v>42001200</v>
      </c>
      <c r="J31" s="49">
        <f>VLOOKUP($A31,'Data shares'!$C:$FB,67)</f>
        <v>44218800</v>
      </c>
      <c r="K31" s="50">
        <f t="shared" si="2"/>
        <v>-5.2798491471672238</v>
      </c>
      <c r="L31" s="50">
        <f>VLOOKUP($A31,'Data shares'!$C:$FB,118)</f>
        <v>0.77</v>
      </c>
      <c r="M31" s="50">
        <f>VLOOKUP($A31,'Data shares'!$C:$FB,119)</f>
        <v>0.78</v>
      </c>
      <c r="N31" s="50">
        <f>VLOOKUP($A31,'Data shares'!$C:$FB,121)*100</f>
        <v>-1.28</v>
      </c>
      <c r="O31" s="50">
        <f>VLOOKUP($A31,'Data shares'!$C:$FB,124)</f>
        <v>0.74</v>
      </c>
      <c r="P31" s="50">
        <f>VLOOKUP($A31,'Data shares'!$C:$FB,125)</f>
        <v>0.75</v>
      </c>
      <c r="Q31" s="50">
        <f>VLOOKUP($A31,'Data shares'!$C:$FB,127)*100</f>
        <v>-1.3299999999999998</v>
      </c>
    </row>
    <row r="32" spans="1:17" x14ac:dyDescent="0.25">
      <c r="A32" s="97" t="str">
        <f>'Data Vlaue (Cr)'!C27</f>
        <v>BANKBARODA</v>
      </c>
      <c r="B32" s="140">
        <f>VLOOKUP($A32,'Data shares'!$C:$FB,7)</f>
        <v>280.44</v>
      </c>
      <c r="C32" s="140">
        <f>VLOOKUP($A32,'Data shares'!$C:$FB,3)</f>
        <v>281.16000000000003</v>
      </c>
      <c r="D32" s="140">
        <f>VLOOKUP($A32,'Data shares'!$C:$FB,4)</f>
        <v>279.62</v>
      </c>
      <c r="E32" s="50">
        <f t="shared" si="0"/>
        <v>0.5507474429583078</v>
      </c>
      <c r="F32" s="49">
        <f>VLOOKUP($A32,'Data shares'!$C:$FB,98)</f>
        <v>183991275</v>
      </c>
      <c r="G32" s="49">
        <f>VLOOKUP($A32,'Data shares'!$C:$FB,99)</f>
        <v>182821275</v>
      </c>
      <c r="H32" s="50">
        <f t="shared" si="1"/>
        <v>0.63996928147448928</v>
      </c>
      <c r="I32" s="49">
        <f>VLOOKUP($A32,'Data shares'!$C:$FB,66)</f>
        <v>84333600</v>
      </c>
      <c r="J32" s="49">
        <f>VLOOKUP($A32,'Data shares'!$C:$FB,67)</f>
        <v>66257100</v>
      </c>
      <c r="K32" s="50">
        <f t="shared" si="2"/>
        <v>21.43451720310766</v>
      </c>
      <c r="L32" s="50">
        <f>VLOOKUP($A32,'Data shares'!$C:$FB,118)</f>
        <v>0.95</v>
      </c>
      <c r="M32" s="50">
        <f>VLOOKUP($A32,'Data shares'!$C:$FB,119)</f>
        <v>0.94</v>
      </c>
      <c r="N32" s="50">
        <f>VLOOKUP($A32,'Data shares'!$C:$FB,121)*100</f>
        <v>1.06</v>
      </c>
      <c r="O32" s="50">
        <f>VLOOKUP($A32,'Data shares'!$C:$FB,124)</f>
        <v>0.71</v>
      </c>
      <c r="P32" s="50">
        <f>VLOOKUP($A32,'Data shares'!$C:$FB,125)</f>
        <v>0.63</v>
      </c>
      <c r="Q32" s="50">
        <f>VLOOKUP($A32,'Data shares'!$C:$FB,127)*100</f>
        <v>12.7</v>
      </c>
    </row>
    <row r="33" spans="1:17" x14ac:dyDescent="0.25">
      <c r="A33" s="97" t="str">
        <f>'Data Vlaue (Cr)'!C28</f>
        <v>BANKINDIA</v>
      </c>
      <c r="B33" s="140">
        <f>VLOOKUP($A33,'Data shares'!$C:$FB,7)</f>
        <v>148.1</v>
      </c>
      <c r="C33" s="140">
        <f>VLOOKUP($A33,'Data shares'!$C:$FB,3)</f>
        <v>148.28</v>
      </c>
      <c r="D33" s="140">
        <f>VLOOKUP($A33,'Data shares'!$C:$FB,4)</f>
        <v>149.19999999999999</v>
      </c>
      <c r="E33" s="50">
        <f t="shared" si="0"/>
        <v>-0.61662198391420087</v>
      </c>
      <c r="F33" s="49">
        <f>VLOOKUP($A33,'Data shares'!$C:$FB,98)</f>
        <v>104499200</v>
      </c>
      <c r="G33" s="49">
        <f>VLOOKUP($A33,'Data shares'!$C:$FB,99)</f>
        <v>102715600</v>
      </c>
      <c r="H33" s="50">
        <f t="shared" si="1"/>
        <v>1.7364450969472991</v>
      </c>
      <c r="I33" s="49">
        <f>VLOOKUP($A33,'Data shares'!$C:$FB,66)</f>
        <v>49228400</v>
      </c>
      <c r="J33" s="49">
        <f>VLOOKUP($A33,'Data shares'!$C:$FB,67)</f>
        <v>50096800</v>
      </c>
      <c r="K33" s="50">
        <f t="shared" si="2"/>
        <v>-1.7640223935776911</v>
      </c>
      <c r="L33" s="50">
        <f>VLOOKUP($A33,'Data shares'!$C:$FB,118)</f>
        <v>0.87</v>
      </c>
      <c r="M33" s="50">
        <f>VLOOKUP($A33,'Data shares'!$C:$FB,119)</f>
        <v>0.97</v>
      </c>
      <c r="N33" s="50">
        <f>VLOOKUP($A33,'Data shares'!$C:$FB,121)*100</f>
        <v>-10.31</v>
      </c>
      <c r="O33" s="50">
        <f>VLOOKUP($A33,'Data shares'!$C:$FB,124)</f>
        <v>0.48</v>
      </c>
      <c r="P33" s="50">
        <f>VLOOKUP($A33,'Data shares'!$C:$FB,125)</f>
        <v>0.63</v>
      </c>
      <c r="Q33" s="50">
        <f>VLOOKUP($A33,'Data shares'!$C:$FB,127)*100</f>
        <v>-23.810000000000002</v>
      </c>
    </row>
    <row r="34" spans="1:17" x14ac:dyDescent="0.25">
      <c r="A34" s="97" t="str">
        <f>'Data Vlaue (Cr)'!C29</f>
        <v>BANKNIFTY</v>
      </c>
      <c r="B34" s="140">
        <f>VLOOKUP($A34,'Data shares'!$C:$FB,7)</f>
        <v>56565.7</v>
      </c>
      <c r="C34" s="140">
        <f>VLOOKUP($A34,'Data shares'!$C:$FB,3)</f>
        <v>56666.8</v>
      </c>
      <c r="D34" s="140">
        <f>VLOOKUP($A34,'Data shares'!$C:$FB,4)</f>
        <v>56209.2</v>
      </c>
      <c r="E34" s="50">
        <f t="shared" si="0"/>
        <v>0.81410160614277705</v>
      </c>
      <c r="F34" s="49">
        <f>VLOOKUP($A34,'Data shares'!$C:$FB,98)</f>
        <v>41114100</v>
      </c>
      <c r="G34" s="49">
        <f>VLOOKUP($A34,'Data shares'!$C:$FB,99)</f>
        <v>38696730</v>
      </c>
      <c r="H34" s="50">
        <f t="shared" si="1"/>
        <v>6.2469619525990954</v>
      </c>
      <c r="I34" s="49">
        <f>VLOOKUP($A34,'Data shares'!$C:$FB,66)</f>
        <v>77146710</v>
      </c>
      <c r="J34" s="49">
        <f>VLOOKUP($A34,'Data shares'!$C:$FB,67)</f>
        <v>78456330</v>
      </c>
      <c r="K34" s="50">
        <f t="shared" si="2"/>
        <v>-1.6975707713264767</v>
      </c>
      <c r="L34" s="50">
        <f>VLOOKUP($A34,'Data shares'!$C:$FB,118)</f>
        <v>0.93</v>
      </c>
      <c r="M34" s="50">
        <f>VLOOKUP($A34,'Data shares'!$C:$FB,119)</f>
        <v>0.87</v>
      </c>
      <c r="N34" s="50">
        <f>VLOOKUP($A34,'Data shares'!$C:$FB,121)*100</f>
        <v>6.9</v>
      </c>
      <c r="O34" s="50">
        <f>VLOOKUP($A34,'Data shares'!$C:$FB,124)</f>
        <v>0.88</v>
      </c>
      <c r="P34" s="50">
        <f>VLOOKUP($A34,'Data shares'!$C:$FB,125)</f>
        <v>0.95</v>
      </c>
      <c r="Q34" s="50">
        <f>VLOOKUP($A34,'Data shares'!$C:$FB,127)*100</f>
        <v>-7.37</v>
      </c>
    </row>
    <row r="35" spans="1:17" x14ac:dyDescent="0.25">
      <c r="A35" s="97" t="str">
        <f>'Data Vlaue (Cr)'!C30</f>
        <v>BDL</v>
      </c>
      <c r="B35" s="140">
        <f>VLOOKUP($A35,'Data shares'!$C:$FB,7)</f>
        <v>1380.7</v>
      </c>
      <c r="C35" s="140">
        <f>VLOOKUP($A35,'Data shares'!$C:$FB,3)</f>
        <v>1380.8</v>
      </c>
      <c r="D35" s="140">
        <f>VLOOKUP($A35,'Data shares'!$C:$FB,4)</f>
        <v>1359.7</v>
      </c>
      <c r="E35" s="50">
        <f t="shared" si="0"/>
        <v>1.5518128999043839</v>
      </c>
      <c r="F35" s="49">
        <f>VLOOKUP($A35,'Data shares'!$C:$FB,98)</f>
        <v>9924600</v>
      </c>
      <c r="G35" s="49">
        <f>VLOOKUP($A35,'Data shares'!$C:$FB,99)</f>
        <v>9950150</v>
      </c>
      <c r="H35" s="50">
        <f t="shared" si="1"/>
        <v>-0.25678004854198178</v>
      </c>
      <c r="I35" s="49">
        <f>VLOOKUP($A35,'Data shares'!$C:$FB,66)</f>
        <v>10328150</v>
      </c>
      <c r="J35" s="49">
        <f>VLOOKUP($A35,'Data shares'!$C:$FB,67)</f>
        <v>8837500</v>
      </c>
      <c r="K35" s="50">
        <f t="shared" si="2"/>
        <v>14.432884882578195</v>
      </c>
      <c r="L35" s="50">
        <f>VLOOKUP($A35,'Data shares'!$C:$FB,118)</f>
        <v>0.8</v>
      </c>
      <c r="M35" s="50">
        <f>VLOOKUP($A35,'Data shares'!$C:$FB,119)</f>
        <v>0.74</v>
      </c>
      <c r="N35" s="50">
        <f>VLOOKUP($A35,'Data shares'!$C:$FB,121)*100</f>
        <v>8.1100000000000012</v>
      </c>
      <c r="O35" s="50">
        <f>VLOOKUP($A35,'Data shares'!$C:$FB,124)</f>
        <v>0.52</v>
      </c>
      <c r="P35" s="50">
        <f>VLOOKUP($A35,'Data shares'!$C:$FB,125)</f>
        <v>0.48</v>
      </c>
      <c r="Q35" s="50">
        <f>VLOOKUP($A35,'Data shares'!$C:$FB,127)*100</f>
        <v>8.33</v>
      </c>
    </row>
    <row r="36" spans="1:17" x14ac:dyDescent="0.25">
      <c r="A36" s="97" t="str">
        <f>'Data Vlaue (Cr)'!C31</f>
        <v>BEL</v>
      </c>
      <c r="B36" s="140">
        <f>VLOOKUP($A36,'Data shares'!$C:$FB,7)</f>
        <v>462.75</v>
      </c>
      <c r="C36" s="140">
        <f>VLOOKUP($A36,'Data shares'!$C:$FB,3)</f>
        <v>462.9</v>
      </c>
      <c r="D36" s="140">
        <f>VLOOKUP($A36,'Data shares'!$C:$FB,4)</f>
        <v>456.55</v>
      </c>
      <c r="E36" s="50">
        <f t="shared" si="0"/>
        <v>1.3908662797064868</v>
      </c>
      <c r="F36" s="49">
        <f>VLOOKUP($A36,'Data shares'!$C:$FB,98)</f>
        <v>179190900</v>
      </c>
      <c r="G36" s="49">
        <f>VLOOKUP($A36,'Data shares'!$C:$FB,99)</f>
        <v>176531850</v>
      </c>
      <c r="H36" s="50">
        <f t="shared" si="1"/>
        <v>1.506272097641304</v>
      </c>
      <c r="I36" s="49">
        <f>VLOOKUP($A36,'Data shares'!$C:$FB,66)</f>
        <v>128812875</v>
      </c>
      <c r="J36" s="49">
        <f>VLOOKUP($A36,'Data shares'!$C:$FB,67)</f>
        <v>118390425</v>
      </c>
      <c r="K36" s="50">
        <f t="shared" si="2"/>
        <v>8.0911554842635098</v>
      </c>
      <c r="L36" s="50">
        <f>VLOOKUP($A36,'Data shares'!$C:$FB,118)</f>
        <v>0.75</v>
      </c>
      <c r="M36" s="50">
        <f>VLOOKUP($A36,'Data shares'!$C:$FB,119)</f>
        <v>0.71</v>
      </c>
      <c r="N36" s="50">
        <f>VLOOKUP($A36,'Data shares'!$C:$FB,121)*100</f>
        <v>5.63</v>
      </c>
      <c r="O36" s="50">
        <f>VLOOKUP($A36,'Data shares'!$C:$FB,124)</f>
        <v>0.5</v>
      </c>
      <c r="P36" s="50">
        <f>VLOOKUP($A36,'Data shares'!$C:$FB,125)</f>
        <v>0.47</v>
      </c>
      <c r="Q36" s="50">
        <f>VLOOKUP($A36,'Data shares'!$C:$FB,127)*100</f>
        <v>6.38</v>
      </c>
    </row>
    <row r="37" spans="1:17" x14ac:dyDescent="0.25">
      <c r="A37" s="97" t="str">
        <f>'Data Vlaue (Cr)'!C32</f>
        <v>BHARATFORG</v>
      </c>
      <c r="B37" s="140">
        <f>VLOOKUP($A37,'Data shares'!$C:$FB,7)</f>
        <v>1860.5</v>
      </c>
      <c r="C37" s="140">
        <f>VLOOKUP($A37,'Data shares'!$C:$FB,3)</f>
        <v>1858.1</v>
      </c>
      <c r="D37" s="140">
        <f>VLOOKUP($A37,'Data shares'!$C:$FB,4)</f>
        <v>1847.3</v>
      </c>
      <c r="E37" s="50">
        <f t="shared" si="0"/>
        <v>0.58463703783900578</v>
      </c>
      <c r="F37" s="49">
        <f>VLOOKUP($A37,'Data shares'!$C:$FB,98)</f>
        <v>13310500</v>
      </c>
      <c r="G37" s="49">
        <f>VLOOKUP($A37,'Data shares'!$C:$FB,99)</f>
        <v>13161000</v>
      </c>
      <c r="H37" s="50">
        <f t="shared" si="1"/>
        <v>1.1359319200668643</v>
      </c>
      <c r="I37" s="49">
        <f>VLOOKUP($A37,'Data shares'!$C:$FB,66)</f>
        <v>7707000</v>
      </c>
      <c r="J37" s="49">
        <f>VLOOKUP($A37,'Data shares'!$C:$FB,67)</f>
        <v>6984500</v>
      </c>
      <c r="K37" s="50">
        <f t="shared" si="2"/>
        <v>9.3745945244582849</v>
      </c>
      <c r="L37" s="50">
        <f>VLOOKUP($A37,'Data shares'!$C:$FB,118)</f>
        <v>0.61</v>
      </c>
      <c r="M37" s="50">
        <f>VLOOKUP($A37,'Data shares'!$C:$FB,119)</f>
        <v>0.61</v>
      </c>
      <c r="N37" s="50">
        <f>VLOOKUP($A37,'Data shares'!$C:$FB,121)*100</f>
        <v>0</v>
      </c>
      <c r="O37" s="50">
        <f>VLOOKUP($A37,'Data shares'!$C:$FB,124)</f>
        <v>0.64</v>
      </c>
      <c r="P37" s="50">
        <f>VLOOKUP($A37,'Data shares'!$C:$FB,125)</f>
        <v>0.53</v>
      </c>
      <c r="Q37" s="50">
        <f>VLOOKUP($A37,'Data shares'!$C:$FB,127)*100</f>
        <v>20.75</v>
      </c>
    </row>
    <row r="38" spans="1:17" x14ac:dyDescent="0.25">
      <c r="A38" s="97" t="str">
        <f>'Data Vlaue (Cr)'!C33</f>
        <v>BHARTIARTL</v>
      </c>
      <c r="B38" s="140">
        <f>VLOOKUP($A38,'Data shares'!$C:$FB,7)</f>
        <v>1846.9</v>
      </c>
      <c r="C38" s="140">
        <f>VLOOKUP($A38,'Data shares'!$C:$FB,3)</f>
        <v>1849</v>
      </c>
      <c r="D38" s="140">
        <f>VLOOKUP($A38,'Data shares'!$C:$FB,4)</f>
        <v>1844</v>
      </c>
      <c r="E38" s="50">
        <f t="shared" si="0"/>
        <v>0.27114967462039047</v>
      </c>
      <c r="F38" s="49">
        <f>VLOOKUP($A38,'Data shares'!$C:$FB,98)</f>
        <v>82734550</v>
      </c>
      <c r="G38" s="49">
        <f>VLOOKUP($A38,'Data shares'!$C:$FB,99)</f>
        <v>81975500</v>
      </c>
      <c r="H38" s="50">
        <f t="shared" si="1"/>
        <v>0.92594738671920274</v>
      </c>
      <c r="I38" s="49">
        <f>VLOOKUP($A38,'Data shares'!$C:$FB,66)</f>
        <v>26877400</v>
      </c>
      <c r="J38" s="49">
        <f>VLOOKUP($A38,'Data shares'!$C:$FB,67)</f>
        <v>42978000</v>
      </c>
      <c r="K38" s="50">
        <f t="shared" si="2"/>
        <v>-59.903859748338753</v>
      </c>
      <c r="L38" s="50">
        <f>VLOOKUP($A38,'Data shares'!$C:$FB,118)</f>
        <v>0.61</v>
      </c>
      <c r="M38" s="50">
        <f>VLOOKUP($A38,'Data shares'!$C:$FB,119)</f>
        <v>0.61</v>
      </c>
      <c r="N38" s="50">
        <f>VLOOKUP($A38,'Data shares'!$C:$FB,121)*100</f>
        <v>0</v>
      </c>
      <c r="O38" s="50">
        <f>VLOOKUP($A38,'Data shares'!$C:$FB,124)</f>
        <v>0.47</v>
      </c>
      <c r="P38" s="50">
        <f>VLOOKUP($A38,'Data shares'!$C:$FB,125)</f>
        <v>0.43</v>
      </c>
      <c r="Q38" s="50">
        <f>VLOOKUP($A38,'Data shares'!$C:$FB,127)*100</f>
        <v>9.3000000000000007</v>
      </c>
    </row>
    <row r="39" spans="1:17" x14ac:dyDescent="0.25">
      <c r="A39" s="97" t="str">
        <f>'Data Vlaue (Cr)'!C34</f>
        <v>BHEL</v>
      </c>
      <c r="B39" s="140">
        <f>VLOOKUP($A39,'Data shares'!$C:$FB,7)</f>
        <v>316.79000000000002</v>
      </c>
      <c r="C39" s="140">
        <f>VLOOKUP($A39,'Data shares'!$C:$FB,3)</f>
        <v>317.22000000000003</v>
      </c>
      <c r="D39" s="140">
        <f>VLOOKUP($A39,'Data shares'!$C:$FB,4)</f>
        <v>309.98</v>
      </c>
      <c r="E39" s="50">
        <f t="shared" si="0"/>
        <v>2.3356345570682011</v>
      </c>
      <c r="F39" s="49">
        <f>VLOOKUP($A39,'Data shares'!$C:$FB,98)</f>
        <v>182316750</v>
      </c>
      <c r="G39" s="49">
        <f>VLOOKUP($A39,'Data shares'!$C:$FB,99)</f>
        <v>181132875</v>
      </c>
      <c r="H39" s="50">
        <f t="shared" si="1"/>
        <v>0.65359477124183007</v>
      </c>
      <c r="I39" s="49">
        <f>VLOOKUP($A39,'Data shares'!$C:$FB,66)</f>
        <v>274824375</v>
      </c>
      <c r="J39" s="49">
        <f>VLOOKUP($A39,'Data shares'!$C:$FB,67)</f>
        <v>261040500</v>
      </c>
      <c r="K39" s="50">
        <f t="shared" si="2"/>
        <v>5.0155212760876831</v>
      </c>
      <c r="L39" s="50">
        <f>VLOOKUP($A39,'Data shares'!$C:$FB,118)</f>
        <v>0.88</v>
      </c>
      <c r="M39" s="50">
        <f>VLOOKUP($A39,'Data shares'!$C:$FB,119)</f>
        <v>0.91</v>
      </c>
      <c r="N39" s="50">
        <f>VLOOKUP($A39,'Data shares'!$C:$FB,121)*100</f>
        <v>-3.3000000000000003</v>
      </c>
      <c r="O39" s="50">
        <f>VLOOKUP($A39,'Data shares'!$C:$FB,124)</f>
        <v>0.6</v>
      </c>
      <c r="P39" s="50">
        <f>VLOOKUP($A39,'Data shares'!$C:$FB,125)</f>
        <v>0.43</v>
      </c>
      <c r="Q39" s="50">
        <f>VLOOKUP($A39,'Data shares'!$C:$FB,127)*100</f>
        <v>39.53</v>
      </c>
    </row>
    <row r="40" spans="1:17" x14ac:dyDescent="0.25">
      <c r="A40" s="97" t="str">
        <f>'Data Vlaue (Cr)'!C35</f>
        <v>BIOCON</v>
      </c>
      <c r="B40" s="140">
        <f>VLOOKUP($A40,'Data shares'!$C:$FB,7)</f>
        <v>358.1</v>
      </c>
      <c r="C40" s="140">
        <f>VLOOKUP($A40,'Data shares'!$C:$FB,3)</f>
        <v>358.45</v>
      </c>
      <c r="D40" s="140">
        <f>VLOOKUP($A40,'Data shares'!$C:$FB,4)</f>
        <v>350.8</v>
      </c>
      <c r="E40" s="50">
        <f t="shared" si="0"/>
        <v>2.1807297605473139</v>
      </c>
      <c r="F40" s="49">
        <f>VLOOKUP($A40,'Data shares'!$C:$FB,98)</f>
        <v>76672500</v>
      </c>
      <c r="G40" s="49">
        <f>VLOOKUP($A40,'Data shares'!$C:$FB,99)</f>
        <v>77332500</v>
      </c>
      <c r="H40" s="50">
        <f t="shared" si="1"/>
        <v>-0.8534574726020755</v>
      </c>
      <c r="I40" s="49">
        <f>VLOOKUP($A40,'Data shares'!$C:$FB,66)</f>
        <v>83432500</v>
      </c>
      <c r="J40" s="49">
        <f>VLOOKUP($A40,'Data shares'!$C:$FB,67)</f>
        <v>31670000</v>
      </c>
      <c r="K40" s="50">
        <f t="shared" si="2"/>
        <v>62.04117100650226</v>
      </c>
      <c r="L40" s="50">
        <f>VLOOKUP($A40,'Data shares'!$C:$FB,118)</f>
        <v>0.64</v>
      </c>
      <c r="M40" s="50">
        <f>VLOOKUP($A40,'Data shares'!$C:$FB,119)</f>
        <v>0.64</v>
      </c>
      <c r="N40" s="50">
        <f>VLOOKUP($A40,'Data shares'!$C:$FB,121)*100</f>
        <v>0</v>
      </c>
      <c r="O40" s="50">
        <f>VLOOKUP($A40,'Data shares'!$C:$FB,124)</f>
        <v>0.24</v>
      </c>
      <c r="P40" s="50">
        <f>VLOOKUP($A40,'Data shares'!$C:$FB,125)</f>
        <v>0.38</v>
      </c>
      <c r="Q40" s="50">
        <f>VLOOKUP($A40,'Data shares'!$C:$FB,127)*100</f>
        <v>-36.840000000000003</v>
      </c>
    </row>
    <row r="41" spans="1:17" x14ac:dyDescent="0.25">
      <c r="A41" s="97" t="str">
        <f>'Data Vlaue (Cr)'!C36</f>
        <v>BLUESTARCO</v>
      </c>
      <c r="B41" s="140">
        <f>VLOOKUP($A41,'Data shares'!$C:$FB,7)</f>
        <v>1866.1</v>
      </c>
      <c r="C41" s="140">
        <f>VLOOKUP($A41,'Data shares'!$C:$FB,3)</f>
        <v>1856.5</v>
      </c>
      <c r="D41" s="140">
        <f>VLOOKUP($A41,'Data shares'!$C:$FB,4)</f>
        <v>1839.5</v>
      </c>
      <c r="E41" s="50">
        <f t="shared" si="0"/>
        <v>0.92416417504756732</v>
      </c>
      <c r="F41" s="49">
        <f>VLOOKUP($A41,'Data shares'!$C:$FB,98)</f>
        <v>6087250</v>
      </c>
      <c r="G41" s="49">
        <f>VLOOKUP($A41,'Data shares'!$C:$FB,99)</f>
        <v>5751850</v>
      </c>
      <c r="H41" s="50">
        <f t="shared" si="1"/>
        <v>5.8311673635439032</v>
      </c>
      <c r="I41" s="49">
        <f>VLOOKUP($A41,'Data shares'!$C:$FB,66)</f>
        <v>4043325</v>
      </c>
      <c r="J41" s="49">
        <f>VLOOKUP($A41,'Data shares'!$C:$FB,67)</f>
        <v>10647000</v>
      </c>
      <c r="K41" s="50">
        <f t="shared" si="2"/>
        <v>-163.32288401253919</v>
      </c>
      <c r="L41" s="50">
        <f>VLOOKUP($A41,'Data shares'!$C:$FB,118)</f>
        <v>0.63</v>
      </c>
      <c r="M41" s="50">
        <f>VLOOKUP($A41,'Data shares'!$C:$FB,119)</f>
        <v>0.61</v>
      </c>
      <c r="N41" s="50">
        <f>VLOOKUP($A41,'Data shares'!$C:$FB,121)*100</f>
        <v>3.2800000000000002</v>
      </c>
      <c r="O41" s="50">
        <f>VLOOKUP($A41,'Data shares'!$C:$FB,124)</f>
        <v>0.52</v>
      </c>
      <c r="P41" s="50">
        <f>VLOOKUP($A41,'Data shares'!$C:$FB,125)</f>
        <v>0.3</v>
      </c>
      <c r="Q41" s="50">
        <f>VLOOKUP($A41,'Data shares'!$C:$FB,127)*100</f>
        <v>73.33</v>
      </c>
    </row>
    <row r="42" spans="1:17" x14ac:dyDescent="0.25">
      <c r="A42" s="97" t="str">
        <f>'Data Vlaue (Cr)'!C37</f>
        <v>BOSCHLTD</v>
      </c>
      <c r="B42" s="140">
        <f>VLOOKUP($A42,'Data shares'!$C:$FB,7)</f>
        <v>37505</v>
      </c>
      <c r="C42" s="140">
        <f>VLOOKUP($A42,'Data shares'!$C:$FB,3)</f>
        <v>37580</v>
      </c>
      <c r="D42" s="140">
        <f>VLOOKUP($A42,'Data shares'!$C:$FB,4)</f>
        <v>37570</v>
      </c>
      <c r="E42" s="50">
        <f t="shared" si="0"/>
        <v>2.6616981634282673E-2</v>
      </c>
      <c r="F42" s="49">
        <f>VLOOKUP($A42,'Data shares'!$C:$FB,98)</f>
        <v>752925</v>
      </c>
      <c r="G42" s="49">
        <f>VLOOKUP($A42,'Data shares'!$C:$FB,99)</f>
        <v>758825</v>
      </c>
      <c r="H42" s="50">
        <f t="shared" si="1"/>
        <v>-0.77751787302737785</v>
      </c>
      <c r="I42" s="49">
        <f>VLOOKUP($A42,'Data shares'!$C:$FB,66)</f>
        <v>871700</v>
      </c>
      <c r="J42" s="49">
        <f>VLOOKUP($A42,'Data shares'!$C:$FB,67)</f>
        <v>539250</v>
      </c>
      <c r="K42" s="50">
        <f t="shared" si="2"/>
        <v>38.138120913158197</v>
      </c>
      <c r="L42" s="50">
        <f>VLOOKUP($A42,'Data shares'!$C:$FB,118)</f>
        <v>0.89</v>
      </c>
      <c r="M42" s="50">
        <f>VLOOKUP($A42,'Data shares'!$C:$FB,119)</f>
        <v>0.89</v>
      </c>
      <c r="N42" s="50">
        <f>VLOOKUP($A42,'Data shares'!$C:$FB,121)*100</f>
        <v>0</v>
      </c>
      <c r="O42" s="50">
        <f>VLOOKUP($A42,'Data shares'!$C:$FB,124)</f>
        <v>3.76</v>
      </c>
      <c r="P42" s="50">
        <f>VLOOKUP($A42,'Data shares'!$C:$FB,125)</f>
        <v>1.05</v>
      </c>
      <c r="Q42" s="50">
        <f>VLOOKUP($A42,'Data shares'!$C:$FB,127)*100</f>
        <v>258.10000000000002</v>
      </c>
    </row>
    <row r="43" spans="1:17" x14ac:dyDescent="0.25">
      <c r="A43" s="97" t="str">
        <f>'Data Vlaue (Cr)'!C38</f>
        <v>BPCL</v>
      </c>
      <c r="B43" s="140">
        <f>VLOOKUP($A43,'Data shares'!$C:$FB,7)</f>
        <v>312.10000000000002</v>
      </c>
      <c r="C43" s="140">
        <f>VLOOKUP($A43,'Data shares'!$C:$FB,3)</f>
        <v>313.05</v>
      </c>
      <c r="D43" s="140">
        <f>VLOOKUP($A43,'Data shares'!$C:$FB,4)</f>
        <v>308.85000000000002</v>
      </c>
      <c r="E43" s="50">
        <f t="shared" si="0"/>
        <v>1.3598834385624052</v>
      </c>
      <c r="F43" s="49">
        <f>VLOOKUP($A43,'Data shares'!$C:$FB,98)</f>
        <v>97555125</v>
      </c>
      <c r="G43" s="49">
        <f>VLOOKUP($A43,'Data shares'!$C:$FB,99)</f>
        <v>96905350</v>
      </c>
      <c r="H43" s="50">
        <f t="shared" si="1"/>
        <v>0.67052541474748295</v>
      </c>
      <c r="I43" s="49">
        <f>VLOOKUP($A43,'Data shares'!$C:$FB,66)</f>
        <v>59779300</v>
      </c>
      <c r="J43" s="49">
        <f>VLOOKUP($A43,'Data shares'!$C:$FB,67)</f>
        <v>45820000</v>
      </c>
      <c r="K43" s="50">
        <f t="shared" si="2"/>
        <v>23.351394211708733</v>
      </c>
      <c r="L43" s="50">
        <f>VLOOKUP($A43,'Data shares'!$C:$FB,118)</f>
        <v>0.88</v>
      </c>
      <c r="M43" s="50">
        <f>VLOOKUP($A43,'Data shares'!$C:$FB,119)</f>
        <v>0.88</v>
      </c>
      <c r="N43" s="50">
        <f>VLOOKUP($A43,'Data shares'!$C:$FB,121)*100</f>
        <v>0</v>
      </c>
      <c r="O43" s="50">
        <f>VLOOKUP($A43,'Data shares'!$C:$FB,124)</f>
        <v>0.48</v>
      </c>
      <c r="P43" s="50">
        <f>VLOOKUP($A43,'Data shares'!$C:$FB,125)</f>
        <v>0.59</v>
      </c>
      <c r="Q43" s="50">
        <f>VLOOKUP($A43,'Data shares'!$C:$FB,127)*100</f>
        <v>-18.64</v>
      </c>
    </row>
    <row r="44" spans="1:17" x14ac:dyDescent="0.25">
      <c r="A44" s="97" t="str">
        <f>'Data Vlaue (Cr)'!C39</f>
        <v>BRITANNIA</v>
      </c>
      <c r="B44" s="140">
        <f>VLOOKUP($A44,'Data shares'!$C:$FB,7)</f>
        <v>5735.5</v>
      </c>
      <c r="C44" s="140">
        <f>VLOOKUP($A44,'Data shares'!$C:$FB,3)</f>
        <v>5737.5</v>
      </c>
      <c r="D44" s="140">
        <f>VLOOKUP($A44,'Data shares'!$C:$FB,4)</f>
        <v>5588</v>
      </c>
      <c r="E44" s="50">
        <f t="shared" si="0"/>
        <v>2.6753758052970653</v>
      </c>
      <c r="F44" s="49">
        <f>VLOOKUP($A44,'Data shares'!$C:$FB,98)</f>
        <v>3963250</v>
      </c>
      <c r="G44" s="49">
        <f>VLOOKUP($A44,'Data shares'!$C:$FB,99)</f>
        <v>3866875</v>
      </c>
      <c r="H44" s="50">
        <f t="shared" si="1"/>
        <v>2.4923226119282367</v>
      </c>
      <c r="I44" s="49">
        <f>VLOOKUP($A44,'Data shares'!$C:$FB,66)</f>
        <v>3647000</v>
      </c>
      <c r="J44" s="49">
        <f>VLOOKUP($A44,'Data shares'!$C:$FB,67)</f>
        <v>2099625</v>
      </c>
      <c r="K44" s="50">
        <f t="shared" si="2"/>
        <v>42.4287085275569</v>
      </c>
      <c r="L44" s="50">
        <f>VLOOKUP($A44,'Data shares'!$C:$FB,118)</f>
        <v>1.06</v>
      </c>
      <c r="M44" s="50">
        <f>VLOOKUP($A44,'Data shares'!$C:$FB,119)</f>
        <v>0.93</v>
      </c>
      <c r="N44" s="50">
        <f>VLOOKUP($A44,'Data shares'!$C:$FB,121)*100</f>
        <v>13.98</v>
      </c>
      <c r="O44" s="50">
        <f>VLOOKUP($A44,'Data shares'!$C:$FB,124)</f>
        <v>0.28000000000000003</v>
      </c>
      <c r="P44" s="50">
        <f>VLOOKUP($A44,'Data shares'!$C:$FB,125)</f>
        <v>0.43</v>
      </c>
      <c r="Q44" s="50">
        <f>VLOOKUP($A44,'Data shares'!$C:$FB,127)*100</f>
        <v>-34.880000000000003</v>
      </c>
    </row>
    <row r="45" spans="1:17" x14ac:dyDescent="0.25">
      <c r="A45" s="97" t="str">
        <f>'Data Vlaue (Cr)'!C40</f>
        <v>BSE</v>
      </c>
      <c r="B45" s="140">
        <f>VLOOKUP($A45,'Data shares'!$C:$FB,7)</f>
        <v>3531.5</v>
      </c>
      <c r="C45" s="140">
        <f>VLOOKUP($A45,'Data shares'!$C:$FB,3)</f>
        <v>3540.9</v>
      </c>
      <c r="D45" s="140">
        <f>VLOOKUP($A45,'Data shares'!$C:$FB,4)</f>
        <v>3443.3</v>
      </c>
      <c r="E45" s="50">
        <f t="shared" si="0"/>
        <v>2.8344901693143179</v>
      </c>
      <c r="F45" s="49">
        <f>VLOOKUP($A45,'Data shares'!$C:$FB,98)</f>
        <v>27006375</v>
      </c>
      <c r="G45" s="49">
        <f>VLOOKUP($A45,'Data shares'!$C:$FB,99)</f>
        <v>24174375</v>
      </c>
      <c r="H45" s="50">
        <f t="shared" si="1"/>
        <v>11.714884045606142</v>
      </c>
      <c r="I45" s="49">
        <f>VLOOKUP($A45,'Data shares'!$C:$FB,66)</f>
        <v>64996500</v>
      </c>
      <c r="J45" s="49">
        <f>VLOOKUP($A45,'Data shares'!$C:$FB,67)</f>
        <v>33629250</v>
      </c>
      <c r="K45" s="50">
        <f t="shared" si="2"/>
        <v>48.259906302647067</v>
      </c>
      <c r="L45" s="50">
        <f>VLOOKUP($A45,'Data shares'!$C:$FB,118)</f>
        <v>1.32</v>
      </c>
      <c r="M45" s="50">
        <f>VLOOKUP($A45,'Data shares'!$C:$FB,119)</f>
        <v>1.29</v>
      </c>
      <c r="N45" s="50">
        <f>VLOOKUP($A45,'Data shares'!$C:$FB,121)*100</f>
        <v>2.33</v>
      </c>
      <c r="O45" s="50">
        <f>VLOOKUP($A45,'Data shares'!$C:$FB,124)</f>
        <v>0.77</v>
      </c>
      <c r="P45" s="50">
        <f>VLOOKUP($A45,'Data shares'!$C:$FB,125)</f>
        <v>0.89</v>
      </c>
      <c r="Q45" s="50">
        <f>VLOOKUP($A45,'Data shares'!$C:$FB,127)*100</f>
        <v>-13.48</v>
      </c>
    </row>
    <row r="46" spans="1:17" x14ac:dyDescent="0.25">
      <c r="A46" s="97" t="str">
        <f>'Data Vlaue (Cr)'!C41</f>
        <v>CAMS</v>
      </c>
      <c r="B46" s="140">
        <f>VLOOKUP($A46,'Data shares'!$C:$FB,7)</f>
        <v>750.15</v>
      </c>
      <c r="C46" s="140">
        <f>VLOOKUP($A46,'Data shares'!$C:$FB,3)</f>
        <v>752.35</v>
      </c>
      <c r="D46" s="140">
        <f>VLOOKUP($A46,'Data shares'!$C:$FB,4)</f>
        <v>738.1</v>
      </c>
      <c r="E46" s="50">
        <f t="shared" si="0"/>
        <v>1.930632705595448</v>
      </c>
      <c r="F46" s="49">
        <f>VLOOKUP($A46,'Data shares'!$C:$FB,98)</f>
        <v>13125750</v>
      </c>
      <c r="G46" s="49">
        <f>VLOOKUP($A46,'Data shares'!$C:$FB,99)</f>
        <v>12075750</v>
      </c>
      <c r="H46" s="50">
        <f t="shared" si="1"/>
        <v>8.6951121048382074</v>
      </c>
      <c r="I46" s="49">
        <f>VLOOKUP($A46,'Data shares'!$C:$FB,66)</f>
        <v>12684750</v>
      </c>
      <c r="J46" s="49">
        <f>VLOOKUP($A46,'Data shares'!$C:$FB,67)</f>
        <v>7265250</v>
      </c>
      <c r="K46" s="50">
        <f t="shared" si="2"/>
        <v>42.724531425530657</v>
      </c>
      <c r="L46" s="50">
        <f>VLOOKUP($A46,'Data shares'!$C:$FB,118)</f>
        <v>0.85</v>
      </c>
      <c r="M46" s="50">
        <f>VLOOKUP($A46,'Data shares'!$C:$FB,119)</f>
        <v>0.77</v>
      </c>
      <c r="N46" s="50">
        <f>VLOOKUP($A46,'Data shares'!$C:$FB,121)*100</f>
        <v>10.39</v>
      </c>
      <c r="O46" s="50">
        <f>VLOOKUP($A46,'Data shares'!$C:$FB,124)</f>
        <v>0.49</v>
      </c>
      <c r="P46" s="50">
        <f>VLOOKUP($A46,'Data shares'!$C:$FB,125)</f>
        <v>0.52</v>
      </c>
      <c r="Q46" s="50">
        <f>VLOOKUP($A46,'Data shares'!$C:$FB,127)*100</f>
        <v>-5.7700000000000005</v>
      </c>
    </row>
    <row r="47" spans="1:17" x14ac:dyDescent="0.25">
      <c r="A47" s="97" t="str">
        <f>'Data Vlaue (Cr)'!C42</f>
        <v>CANBK</v>
      </c>
      <c r="B47" s="140">
        <f>VLOOKUP($A47,'Data shares'!$C:$FB,7)</f>
        <v>142.37</v>
      </c>
      <c r="C47" s="140">
        <f>VLOOKUP($A47,'Data shares'!$C:$FB,3)</f>
        <v>142.61000000000001</v>
      </c>
      <c r="D47" s="140">
        <f>VLOOKUP($A47,'Data shares'!$C:$FB,4)</f>
        <v>141.46</v>
      </c>
      <c r="E47" s="50">
        <f t="shared" si="0"/>
        <v>0.8129506574296661</v>
      </c>
      <c r="F47" s="49">
        <f>VLOOKUP($A47,'Data shares'!$C:$FB,98)</f>
        <v>343608750</v>
      </c>
      <c r="G47" s="49">
        <f>VLOOKUP($A47,'Data shares'!$C:$FB,99)</f>
        <v>341833500</v>
      </c>
      <c r="H47" s="50">
        <f t="shared" si="1"/>
        <v>0.51933177994549984</v>
      </c>
      <c r="I47" s="49">
        <f>VLOOKUP($A47,'Data shares'!$C:$FB,66)</f>
        <v>153555750</v>
      </c>
      <c r="J47" s="49">
        <f>VLOOKUP($A47,'Data shares'!$C:$FB,67)</f>
        <v>126474750</v>
      </c>
      <c r="K47" s="50">
        <f t="shared" si="2"/>
        <v>17.635940041320495</v>
      </c>
      <c r="L47" s="50">
        <f>VLOOKUP($A47,'Data shares'!$C:$FB,118)</f>
        <v>0.93</v>
      </c>
      <c r="M47" s="50">
        <f>VLOOKUP($A47,'Data shares'!$C:$FB,119)</f>
        <v>0.93</v>
      </c>
      <c r="N47" s="50">
        <f>VLOOKUP($A47,'Data shares'!$C:$FB,121)*100</f>
        <v>0</v>
      </c>
      <c r="O47" s="50">
        <f>VLOOKUP($A47,'Data shares'!$C:$FB,124)</f>
        <v>0.56999999999999995</v>
      </c>
      <c r="P47" s="50">
        <f>VLOOKUP($A47,'Data shares'!$C:$FB,125)</f>
        <v>0.79</v>
      </c>
      <c r="Q47" s="50">
        <f>VLOOKUP($A47,'Data shares'!$C:$FB,127)*100</f>
        <v>-27.85</v>
      </c>
    </row>
    <row r="48" spans="1:17" x14ac:dyDescent="0.25">
      <c r="A48" s="97" t="str">
        <f>'Data Vlaue (Cr)'!C43</f>
        <v>CDSL</v>
      </c>
      <c r="B48" s="140">
        <f>VLOOKUP($A48,'Data shares'!$C:$FB,7)</f>
        <v>1393.2</v>
      </c>
      <c r="C48" s="140">
        <f>VLOOKUP($A48,'Data shares'!$C:$FB,3)</f>
        <v>1396.1</v>
      </c>
      <c r="D48" s="140">
        <f>VLOOKUP($A48,'Data shares'!$C:$FB,4)</f>
        <v>1372.3</v>
      </c>
      <c r="E48" s="50">
        <f t="shared" si="0"/>
        <v>1.7343146542301215</v>
      </c>
      <c r="F48" s="49">
        <f>VLOOKUP($A48,'Data shares'!$C:$FB,98)</f>
        <v>20244500</v>
      </c>
      <c r="G48" s="49">
        <f>VLOOKUP($A48,'Data shares'!$C:$FB,99)</f>
        <v>19744325</v>
      </c>
      <c r="H48" s="50">
        <f t="shared" si="1"/>
        <v>2.5332595568600089</v>
      </c>
      <c r="I48" s="49">
        <f>VLOOKUP($A48,'Data shares'!$C:$FB,66)</f>
        <v>19797525</v>
      </c>
      <c r="J48" s="49">
        <f>VLOOKUP($A48,'Data shares'!$C:$FB,67)</f>
        <v>14911675</v>
      </c>
      <c r="K48" s="50">
        <f t="shared" si="2"/>
        <v>24.679094987883587</v>
      </c>
      <c r="L48" s="50">
        <f>VLOOKUP($A48,'Data shares'!$C:$FB,118)</f>
        <v>0.91</v>
      </c>
      <c r="M48" s="50">
        <f>VLOOKUP($A48,'Data shares'!$C:$FB,119)</f>
        <v>0.89</v>
      </c>
      <c r="N48" s="50">
        <f>VLOOKUP($A48,'Data shares'!$C:$FB,121)*100</f>
        <v>2.25</v>
      </c>
      <c r="O48" s="50">
        <f>VLOOKUP($A48,'Data shares'!$C:$FB,124)</f>
        <v>0.56999999999999995</v>
      </c>
      <c r="P48" s="50">
        <f>VLOOKUP($A48,'Data shares'!$C:$FB,125)</f>
        <v>0.56000000000000005</v>
      </c>
      <c r="Q48" s="50">
        <f>VLOOKUP($A48,'Data shares'!$C:$FB,127)*100</f>
        <v>1.79</v>
      </c>
    </row>
    <row r="49" spans="1:17" x14ac:dyDescent="0.25">
      <c r="A49" s="97" t="str">
        <f>'Data Vlaue (Cr)'!C44</f>
        <v>CGPOWER</v>
      </c>
      <c r="B49" s="140">
        <f>VLOOKUP($A49,'Data shares'!$C:$FB,7)</f>
        <v>774.8</v>
      </c>
      <c r="C49" s="140">
        <f>VLOOKUP($A49,'Data shares'!$C:$FB,3)</f>
        <v>774.65</v>
      </c>
      <c r="D49" s="140">
        <f>VLOOKUP($A49,'Data shares'!$C:$FB,4)</f>
        <v>757.85</v>
      </c>
      <c r="E49" s="50">
        <f t="shared" si="0"/>
        <v>2.2167975192980078</v>
      </c>
      <c r="F49" s="49">
        <f>VLOOKUP($A49,'Data shares'!$C:$FB,98)</f>
        <v>26677250</v>
      </c>
      <c r="G49" s="49">
        <f>VLOOKUP($A49,'Data shares'!$C:$FB,99)</f>
        <v>27094600</v>
      </c>
      <c r="H49" s="50">
        <f t="shared" si="1"/>
        <v>-1.5403438323503575</v>
      </c>
      <c r="I49" s="49">
        <f>VLOOKUP($A49,'Data shares'!$C:$FB,66)</f>
        <v>21726000</v>
      </c>
      <c r="J49" s="49">
        <f>VLOOKUP($A49,'Data shares'!$C:$FB,67)</f>
        <v>22654200</v>
      </c>
      <c r="K49" s="50">
        <f t="shared" si="2"/>
        <v>-4.272300469483568</v>
      </c>
      <c r="L49" s="50">
        <f>VLOOKUP($A49,'Data shares'!$C:$FB,118)</f>
        <v>0.64</v>
      </c>
      <c r="M49" s="50">
        <f>VLOOKUP($A49,'Data shares'!$C:$FB,119)</f>
        <v>0.59</v>
      </c>
      <c r="N49" s="50">
        <f>VLOOKUP($A49,'Data shares'!$C:$FB,121)*100</f>
        <v>8.4699999999999989</v>
      </c>
      <c r="O49" s="50">
        <f>VLOOKUP($A49,'Data shares'!$C:$FB,124)</f>
        <v>0.32</v>
      </c>
      <c r="P49" s="50">
        <f>VLOOKUP($A49,'Data shares'!$C:$FB,125)</f>
        <v>0.31</v>
      </c>
      <c r="Q49" s="50">
        <f>VLOOKUP($A49,'Data shares'!$C:$FB,127)*100</f>
        <v>3.2300000000000004</v>
      </c>
    </row>
    <row r="50" spans="1:17" x14ac:dyDescent="0.25">
      <c r="A50" s="97" t="str">
        <f>'Data Vlaue (Cr)'!C45</f>
        <v>CHOLAFIN</v>
      </c>
      <c r="B50" s="140">
        <f>VLOOKUP($A50,'Data shares'!$C:$FB,7)</f>
        <v>1579</v>
      </c>
      <c r="C50" s="140">
        <f>VLOOKUP($A50,'Data shares'!$C:$FB,3)</f>
        <v>1578.4</v>
      </c>
      <c r="D50" s="140">
        <f>VLOOKUP($A50,'Data shares'!$C:$FB,4)</f>
        <v>1572.1</v>
      </c>
      <c r="E50" s="50">
        <f t="shared" si="0"/>
        <v>0.40073786654794108</v>
      </c>
      <c r="F50" s="49">
        <f>VLOOKUP($A50,'Data shares'!$C:$FB,98)</f>
        <v>28711250</v>
      </c>
      <c r="G50" s="49">
        <f>VLOOKUP($A50,'Data shares'!$C:$FB,99)</f>
        <v>28508750</v>
      </c>
      <c r="H50" s="50">
        <f t="shared" si="1"/>
        <v>0.71030823869864512</v>
      </c>
      <c r="I50" s="49">
        <f>VLOOKUP($A50,'Data shares'!$C:$FB,66)</f>
        <v>11315625</v>
      </c>
      <c r="J50" s="49">
        <f>VLOOKUP($A50,'Data shares'!$C:$FB,67)</f>
        <v>22619375</v>
      </c>
      <c r="K50" s="50">
        <f t="shared" si="2"/>
        <v>-99.895056614194971</v>
      </c>
      <c r="L50" s="50">
        <f>VLOOKUP($A50,'Data shares'!$C:$FB,118)</f>
        <v>0.86</v>
      </c>
      <c r="M50" s="50">
        <f>VLOOKUP($A50,'Data shares'!$C:$FB,119)</f>
        <v>0.86</v>
      </c>
      <c r="N50" s="50">
        <f>VLOOKUP($A50,'Data shares'!$C:$FB,121)*100</f>
        <v>0</v>
      </c>
      <c r="O50" s="50">
        <f>VLOOKUP($A50,'Data shares'!$C:$FB,124)</f>
        <v>0.66</v>
      </c>
      <c r="P50" s="50">
        <f>VLOOKUP($A50,'Data shares'!$C:$FB,125)</f>
        <v>0.54</v>
      </c>
      <c r="Q50" s="50">
        <f>VLOOKUP($A50,'Data shares'!$C:$FB,127)*100</f>
        <v>22.220000000000002</v>
      </c>
    </row>
    <row r="51" spans="1:17" x14ac:dyDescent="0.25">
      <c r="A51" s="97" t="str">
        <f>'Data Vlaue (Cr)'!C46</f>
        <v>CIPLA</v>
      </c>
      <c r="B51" s="140">
        <f>VLOOKUP($A51,'Data shares'!$C:$FB,7)</f>
        <v>1240.8</v>
      </c>
      <c r="C51" s="140">
        <f>VLOOKUP($A51,'Data shares'!$C:$FB,3)</f>
        <v>1245.0999999999999</v>
      </c>
      <c r="D51" s="140">
        <f>VLOOKUP($A51,'Data shares'!$C:$FB,4)</f>
        <v>1232.0999999999999</v>
      </c>
      <c r="E51" s="50">
        <f t="shared" si="0"/>
        <v>1.0551091632172713</v>
      </c>
      <c r="F51" s="49">
        <f>VLOOKUP($A51,'Data shares'!$C:$FB,98)</f>
        <v>23799375</v>
      </c>
      <c r="G51" s="49">
        <f>VLOOKUP($A51,'Data shares'!$C:$FB,99)</f>
        <v>23753250</v>
      </c>
      <c r="H51" s="50">
        <f t="shared" si="1"/>
        <v>0.19418395377474662</v>
      </c>
      <c r="I51" s="49">
        <f>VLOOKUP($A51,'Data shares'!$C:$FB,66)</f>
        <v>9726375</v>
      </c>
      <c r="J51" s="49">
        <f>VLOOKUP($A51,'Data shares'!$C:$FB,67)</f>
        <v>7447125</v>
      </c>
      <c r="K51" s="50">
        <f t="shared" si="2"/>
        <v>23.433704746115588</v>
      </c>
      <c r="L51" s="50">
        <f>VLOOKUP($A51,'Data shares'!$C:$FB,118)</f>
        <v>0.89</v>
      </c>
      <c r="M51" s="50">
        <f>VLOOKUP($A51,'Data shares'!$C:$FB,119)</f>
        <v>0.82</v>
      </c>
      <c r="N51" s="50">
        <f>VLOOKUP($A51,'Data shares'!$C:$FB,121)*100</f>
        <v>8.5400000000000009</v>
      </c>
      <c r="O51" s="50">
        <f>VLOOKUP($A51,'Data shares'!$C:$FB,124)</f>
        <v>0.37</v>
      </c>
      <c r="P51" s="50">
        <f>VLOOKUP($A51,'Data shares'!$C:$FB,125)</f>
        <v>0.31</v>
      </c>
      <c r="Q51" s="50">
        <f>VLOOKUP($A51,'Data shares'!$C:$FB,127)*100</f>
        <v>19.350000000000001</v>
      </c>
    </row>
    <row r="52" spans="1:17" x14ac:dyDescent="0.25">
      <c r="A52" s="97" t="str">
        <f>'Data Vlaue (Cr)'!C47</f>
        <v>COALINDIA</v>
      </c>
      <c r="B52" s="140">
        <f>VLOOKUP($A52,'Data shares'!$C:$FB,7)</f>
        <v>438.75</v>
      </c>
      <c r="C52" s="140">
        <f>VLOOKUP($A52,'Data shares'!$C:$FB,3)</f>
        <v>439.55</v>
      </c>
      <c r="D52" s="140">
        <f>VLOOKUP($A52,'Data shares'!$C:$FB,4)</f>
        <v>432.35</v>
      </c>
      <c r="E52" s="50">
        <f t="shared" si="0"/>
        <v>1.6653174511391207</v>
      </c>
      <c r="F52" s="49">
        <f>VLOOKUP($A52,'Data shares'!$C:$FB,98)</f>
        <v>142797600</v>
      </c>
      <c r="G52" s="49">
        <f>VLOOKUP($A52,'Data shares'!$C:$FB,99)</f>
        <v>141162750</v>
      </c>
      <c r="H52" s="50">
        <f t="shared" si="1"/>
        <v>1.1581313058862908</v>
      </c>
      <c r="I52" s="49">
        <f>VLOOKUP($A52,'Data shares'!$C:$FB,66)</f>
        <v>95242500</v>
      </c>
      <c r="J52" s="49">
        <f>VLOOKUP($A52,'Data shares'!$C:$FB,67)</f>
        <v>62783100</v>
      </c>
      <c r="K52" s="50">
        <f t="shared" si="2"/>
        <v>34.080793763288447</v>
      </c>
      <c r="L52" s="50">
        <f>VLOOKUP($A52,'Data shares'!$C:$FB,118)</f>
        <v>0.64</v>
      </c>
      <c r="M52" s="50">
        <f>VLOOKUP($A52,'Data shares'!$C:$FB,119)</f>
        <v>0.56999999999999995</v>
      </c>
      <c r="N52" s="50">
        <f>VLOOKUP($A52,'Data shares'!$C:$FB,121)*100</f>
        <v>12.280000000000001</v>
      </c>
      <c r="O52" s="50">
        <f>VLOOKUP($A52,'Data shares'!$C:$FB,124)</f>
        <v>0.6</v>
      </c>
      <c r="P52" s="50">
        <f>VLOOKUP($A52,'Data shares'!$C:$FB,125)</f>
        <v>0.42</v>
      </c>
      <c r="Q52" s="50">
        <f>VLOOKUP($A52,'Data shares'!$C:$FB,127)*100</f>
        <v>42.86</v>
      </c>
    </row>
    <row r="53" spans="1:17" x14ac:dyDescent="0.25">
      <c r="A53" s="97" t="str">
        <f>'Data Vlaue (Cr)'!C48</f>
        <v>COCHINSHIP</v>
      </c>
      <c r="B53" s="140">
        <f>VLOOKUP($A53,'Data shares'!$C:$FB,7)</f>
        <v>1561.1</v>
      </c>
      <c r="C53" s="140">
        <f>VLOOKUP($A53,'Data shares'!$C:$FB,3)</f>
        <v>1566.2</v>
      </c>
      <c r="D53" s="140">
        <f>VLOOKUP($A53,'Data shares'!$C:$FB,4)</f>
        <v>1503.2</v>
      </c>
      <c r="E53" s="50">
        <f t="shared" si="0"/>
        <v>4.1910590739755182</v>
      </c>
      <c r="F53" s="49">
        <f>VLOOKUP($A53,'Data shares'!$C:$FB,98)</f>
        <v>3617600</v>
      </c>
      <c r="G53" s="49">
        <f>VLOOKUP($A53,'Data shares'!$C:$FB,99)</f>
        <v>2913600</v>
      </c>
      <c r="H53" s="50">
        <f t="shared" si="1"/>
        <v>24.162548050521693</v>
      </c>
      <c r="I53" s="49">
        <f>VLOOKUP($A53,'Data shares'!$C:$FB,66)</f>
        <v>12188800</v>
      </c>
      <c r="J53" s="49">
        <f>VLOOKUP($A53,'Data shares'!$C:$FB,67)</f>
        <v>3476800</v>
      </c>
      <c r="K53" s="50">
        <f t="shared" si="2"/>
        <v>71.475452874770284</v>
      </c>
      <c r="L53" s="50">
        <f>VLOOKUP($A53,'Data shares'!$C:$FB,118)</f>
        <v>0.68</v>
      </c>
      <c r="M53" s="50">
        <f>VLOOKUP($A53,'Data shares'!$C:$FB,119)</f>
        <v>0.74</v>
      </c>
      <c r="N53" s="50">
        <f>VLOOKUP($A53,'Data shares'!$C:$FB,121)*100</f>
        <v>-8.1100000000000012</v>
      </c>
      <c r="O53" s="50">
        <f>VLOOKUP($A53,'Data shares'!$C:$FB,124)</f>
        <v>0.19</v>
      </c>
      <c r="P53" s="50">
        <f>VLOOKUP($A53,'Data shares'!$C:$FB,125)</f>
        <v>0.63</v>
      </c>
      <c r="Q53" s="50">
        <f>VLOOKUP($A53,'Data shares'!$C:$FB,127)*100</f>
        <v>-69.84</v>
      </c>
    </row>
    <row r="54" spans="1:17" x14ac:dyDescent="0.25">
      <c r="A54" s="97" t="str">
        <f>'Data Vlaue (Cr)'!C49</f>
        <v>COFORGE</v>
      </c>
      <c r="B54" s="140">
        <f>VLOOKUP($A54,'Data shares'!$C:$FB,7)</f>
        <v>1316.8</v>
      </c>
      <c r="C54" s="140">
        <f>VLOOKUP($A54,'Data shares'!$C:$FB,3)</f>
        <v>1316.8</v>
      </c>
      <c r="D54" s="140">
        <f>VLOOKUP($A54,'Data shares'!$C:$FB,4)</f>
        <v>1313</v>
      </c>
      <c r="E54" s="50">
        <f t="shared" si="0"/>
        <v>0.28941355674028596</v>
      </c>
      <c r="F54" s="49">
        <f>VLOOKUP($A54,'Data shares'!$C:$FB,98)</f>
        <v>30873000</v>
      </c>
      <c r="G54" s="49">
        <f>VLOOKUP($A54,'Data shares'!$C:$FB,99)</f>
        <v>30926250</v>
      </c>
      <c r="H54" s="50">
        <f t="shared" si="1"/>
        <v>-0.17218382442100158</v>
      </c>
      <c r="I54" s="49">
        <f>VLOOKUP($A54,'Data shares'!$C:$FB,66)</f>
        <v>12450750</v>
      </c>
      <c r="J54" s="49">
        <f>VLOOKUP($A54,'Data shares'!$C:$FB,67)</f>
        <v>29673375</v>
      </c>
      <c r="K54" s="50">
        <f t="shared" si="2"/>
        <v>-138.32600445756279</v>
      </c>
      <c r="L54" s="50">
        <f>VLOOKUP($A54,'Data shares'!$C:$FB,118)</f>
        <v>0.65</v>
      </c>
      <c r="M54" s="50">
        <f>VLOOKUP($A54,'Data shares'!$C:$FB,119)</f>
        <v>0.63</v>
      </c>
      <c r="N54" s="50">
        <f>VLOOKUP($A54,'Data shares'!$C:$FB,121)*100</f>
        <v>3.17</v>
      </c>
      <c r="O54" s="50">
        <f>VLOOKUP($A54,'Data shares'!$C:$FB,124)</f>
        <v>0.55000000000000004</v>
      </c>
      <c r="P54" s="50">
        <f>VLOOKUP($A54,'Data shares'!$C:$FB,125)</f>
        <v>0.45</v>
      </c>
      <c r="Q54" s="50">
        <f>VLOOKUP($A54,'Data shares'!$C:$FB,127)*100</f>
        <v>22.220000000000002</v>
      </c>
    </row>
    <row r="55" spans="1:17" x14ac:dyDescent="0.25">
      <c r="A55" s="97" t="str">
        <f>'Data Vlaue (Cr)'!C50</f>
        <v>COLPAL</v>
      </c>
      <c r="B55" s="140">
        <f>VLOOKUP($A55,'Data shares'!$C:$FB,7)</f>
        <v>2106</v>
      </c>
      <c r="C55" s="140">
        <f>VLOOKUP($A55,'Data shares'!$C:$FB,3)</f>
        <v>2109.1999999999998</v>
      </c>
      <c r="D55" s="140">
        <f>VLOOKUP($A55,'Data shares'!$C:$FB,4)</f>
        <v>1982.8</v>
      </c>
      <c r="E55" s="50">
        <f t="shared" si="0"/>
        <v>6.374823481944718</v>
      </c>
      <c r="F55" s="49">
        <f>VLOOKUP($A55,'Data shares'!$C:$FB,98)</f>
        <v>10500075</v>
      </c>
      <c r="G55" s="49">
        <f>VLOOKUP($A55,'Data shares'!$C:$FB,99)</f>
        <v>8819775</v>
      </c>
      <c r="H55" s="50">
        <f t="shared" si="1"/>
        <v>19.05150641598</v>
      </c>
      <c r="I55" s="49">
        <f>VLOOKUP($A55,'Data shares'!$C:$FB,66)</f>
        <v>41450850</v>
      </c>
      <c r="J55" s="49">
        <f>VLOOKUP($A55,'Data shares'!$C:$FB,67)</f>
        <v>5343975</v>
      </c>
      <c r="K55" s="50">
        <f t="shared" si="2"/>
        <v>87.107682954631812</v>
      </c>
      <c r="L55" s="50">
        <f>VLOOKUP($A55,'Data shares'!$C:$FB,118)</f>
        <v>0.73</v>
      </c>
      <c r="M55" s="50">
        <f>VLOOKUP($A55,'Data shares'!$C:$FB,119)</f>
        <v>0.71</v>
      </c>
      <c r="N55" s="50">
        <f>VLOOKUP($A55,'Data shares'!$C:$FB,121)*100</f>
        <v>2.82</v>
      </c>
      <c r="O55" s="50">
        <f>VLOOKUP($A55,'Data shares'!$C:$FB,124)</f>
        <v>0.38</v>
      </c>
      <c r="P55" s="50">
        <f>VLOOKUP($A55,'Data shares'!$C:$FB,125)</f>
        <v>0.34</v>
      </c>
      <c r="Q55" s="50">
        <f>VLOOKUP($A55,'Data shares'!$C:$FB,127)*100</f>
        <v>11.76</v>
      </c>
    </row>
    <row r="56" spans="1:17" x14ac:dyDescent="0.25">
      <c r="A56" s="97" t="str">
        <f>'Data Vlaue (Cr)'!C51</f>
        <v>CONCOR</v>
      </c>
      <c r="B56" s="140">
        <f>VLOOKUP($A56,'Data shares'!$C:$FB,7)</f>
        <v>503.1</v>
      </c>
      <c r="C56" s="140">
        <f>VLOOKUP($A56,'Data shares'!$C:$FB,3)</f>
        <v>504.5</v>
      </c>
      <c r="D56" s="140">
        <f>VLOOKUP($A56,'Data shares'!$C:$FB,4)</f>
        <v>502.55</v>
      </c>
      <c r="E56" s="50">
        <f t="shared" si="0"/>
        <v>0.38802109242861177</v>
      </c>
      <c r="F56" s="49">
        <f>VLOOKUP($A56,'Data shares'!$C:$FB,98)</f>
        <v>37010000</v>
      </c>
      <c r="G56" s="49">
        <f>VLOOKUP($A56,'Data shares'!$C:$FB,99)</f>
        <v>36575000</v>
      </c>
      <c r="H56" s="50">
        <f t="shared" si="1"/>
        <v>1.1893369788106629</v>
      </c>
      <c r="I56" s="49">
        <f>VLOOKUP($A56,'Data shares'!$C:$FB,66)</f>
        <v>14356250</v>
      </c>
      <c r="J56" s="49">
        <f>VLOOKUP($A56,'Data shares'!$C:$FB,67)</f>
        <v>19447500</v>
      </c>
      <c r="K56" s="50">
        <f t="shared" si="2"/>
        <v>-35.46364823683065</v>
      </c>
      <c r="L56" s="50">
        <f>VLOOKUP($A56,'Data shares'!$C:$FB,118)</f>
        <v>0.81</v>
      </c>
      <c r="M56" s="50">
        <f>VLOOKUP($A56,'Data shares'!$C:$FB,119)</f>
        <v>0.77</v>
      </c>
      <c r="N56" s="50">
        <f>VLOOKUP($A56,'Data shares'!$C:$FB,121)*100</f>
        <v>5.19</v>
      </c>
      <c r="O56" s="50">
        <f>VLOOKUP($A56,'Data shares'!$C:$FB,124)</f>
        <v>0.41</v>
      </c>
      <c r="P56" s="50">
        <f>VLOOKUP($A56,'Data shares'!$C:$FB,125)</f>
        <v>0.25</v>
      </c>
      <c r="Q56" s="50">
        <f>VLOOKUP($A56,'Data shares'!$C:$FB,127)*100</f>
        <v>64</v>
      </c>
    </row>
    <row r="57" spans="1:17" x14ac:dyDescent="0.25">
      <c r="A57" s="97" t="str">
        <f>'Data Vlaue (Cr)'!C52</f>
        <v>CROMPTON</v>
      </c>
      <c r="B57" s="140">
        <f>VLOOKUP($A57,'Data shares'!$C:$FB,7)</f>
        <v>261.45</v>
      </c>
      <c r="C57" s="140">
        <f>VLOOKUP($A57,'Data shares'!$C:$FB,3)</f>
        <v>261.39</v>
      </c>
      <c r="D57" s="140">
        <f>VLOOKUP($A57,'Data shares'!$C:$FB,4)</f>
        <v>261.22000000000003</v>
      </c>
      <c r="E57" s="50">
        <f t="shared" si="0"/>
        <v>6.5079243549482829E-2</v>
      </c>
      <c r="F57" s="49">
        <f>VLOOKUP($A57,'Data shares'!$C:$FB,98)</f>
        <v>65597400</v>
      </c>
      <c r="G57" s="49">
        <f>VLOOKUP($A57,'Data shares'!$C:$FB,99)</f>
        <v>65601000</v>
      </c>
      <c r="H57" s="50">
        <f t="shared" si="1"/>
        <v>-5.4877212237618329E-3</v>
      </c>
      <c r="I57" s="49">
        <f>VLOOKUP($A57,'Data shares'!$C:$FB,66)</f>
        <v>30367800</v>
      </c>
      <c r="J57" s="49">
        <f>VLOOKUP($A57,'Data shares'!$C:$FB,67)</f>
        <v>76298400</v>
      </c>
      <c r="K57" s="50">
        <f t="shared" si="2"/>
        <v>-151.24770315926739</v>
      </c>
      <c r="L57" s="50">
        <f>VLOOKUP($A57,'Data shares'!$C:$FB,118)</f>
        <v>0.7</v>
      </c>
      <c r="M57" s="50">
        <f>VLOOKUP($A57,'Data shares'!$C:$FB,119)</f>
        <v>0.8</v>
      </c>
      <c r="N57" s="50">
        <f>VLOOKUP($A57,'Data shares'!$C:$FB,121)*100</f>
        <v>-12.5</v>
      </c>
      <c r="O57" s="50">
        <f>VLOOKUP($A57,'Data shares'!$C:$FB,124)</f>
        <v>0.44</v>
      </c>
      <c r="P57" s="50">
        <f>VLOOKUP($A57,'Data shares'!$C:$FB,125)</f>
        <v>0.34</v>
      </c>
      <c r="Q57" s="50">
        <f>VLOOKUP($A57,'Data shares'!$C:$FB,127)*100</f>
        <v>29.409999999999997</v>
      </c>
    </row>
    <row r="58" spans="1:17" x14ac:dyDescent="0.25">
      <c r="A58" s="97" t="str">
        <f>'Data Vlaue (Cr)'!C53</f>
        <v>CUMMINSIND</v>
      </c>
      <c r="B58" s="140">
        <f>VLOOKUP($A58,'Data shares'!$C:$FB,7)</f>
        <v>5140.8999999999996</v>
      </c>
      <c r="C58" s="140">
        <f>VLOOKUP($A58,'Data shares'!$C:$FB,3)</f>
        <v>5151.7</v>
      </c>
      <c r="D58" s="140">
        <f>VLOOKUP($A58,'Data shares'!$C:$FB,4)</f>
        <v>5056.8</v>
      </c>
      <c r="E58" s="50">
        <f t="shared" si="0"/>
        <v>1.8766809049201003</v>
      </c>
      <c r="F58" s="49">
        <f>VLOOKUP($A58,'Data shares'!$C:$FB,98)</f>
        <v>6232600</v>
      </c>
      <c r="G58" s="49">
        <f>VLOOKUP($A58,'Data shares'!$C:$FB,99)</f>
        <v>5897000</v>
      </c>
      <c r="H58" s="50">
        <f t="shared" si="1"/>
        <v>5.6910293369509919</v>
      </c>
      <c r="I58" s="49">
        <f>VLOOKUP($A58,'Data shares'!$C:$FB,66)</f>
        <v>7538400</v>
      </c>
      <c r="J58" s="49">
        <f>VLOOKUP($A58,'Data shares'!$C:$FB,67)</f>
        <v>3400400</v>
      </c>
      <c r="K58" s="50">
        <f t="shared" si="2"/>
        <v>54.892284834978241</v>
      </c>
      <c r="L58" s="50">
        <f>VLOOKUP($A58,'Data shares'!$C:$FB,118)</f>
        <v>0.69</v>
      </c>
      <c r="M58" s="50">
        <f>VLOOKUP($A58,'Data shares'!$C:$FB,119)</f>
        <v>0.66</v>
      </c>
      <c r="N58" s="50">
        <f>VLOOKUP($A58,'Data shares'!$C:$FB,121)*100</f>
        <v>4.55</v>
      </c>
      <c r="O58" s="50">
        <f>VLOOKUP($A58,'Data shares'!$C:$FB,124)</f>
        <v>0.27</v>
      </c>
      <c r="P58" s="50">
        <f>VLOOKUP($A58,'Data shares'!$C:$FB,125)</f>
        <v>0.46</v>
      </c>
      <c r="Q58" s="50">
        <f>VLOOKUP($A58,'Data shares'!$C:$FB,127)*100</f>
        <v>-41.3</v>
      </c>
    </row>
    <row r="59" spans="1:17" x14ac:dyDescent="0.25">
      <c r="A59" s="97" t="str">
        <f>'Data Vlaue (Cr)'!C54</f>
        <v>DABUR</v>
      </c>
      <c r="B59" s="140">
        <f>VLOOKUP($A59,'Data shares'!$C:$FB,7)</f>
        <v>442.85</v>
      </c>
      <c r="C59" s="140">
        <f>VLOOKUP($A59,'Data shares'!$C:$FB,3)</f>
        <v>442.75</v>
      </c>
      <c r="D59" s="140">
        <f>VLOOKUP($A59,'Data shares'!$C:$FB,4)</f>
        <v>427.45</v>
      </c>
      <c r="E59" s="50">
        <f t="shared" si="0"/>
        <v>3.5793660077202043</v>
      </c>
      <c r="F59" s="49">
        <f>VLOOKUP($A59,'Data shares'!$C:$FB,98)</f>
        <v>50657500</v>
      </c>
      <c r="G59" s="49">
        <f>VLOOKUP($A59,'Data shares'!$C:$FB,99)</f>
        <v>48492500</v>
      </c>
      <c r="H59" s="50">
        <f t="shared" si="1"/>
        <v>4.4646079290611951</v>
      </c>
      <c r="I59" s="49">
        <f>VLOOKUP($A59,'Data shares'!$C:$FB,66)</f>
        <v>58455000</v>
      </c>
      <c r="J59" s="49">
        <f>VLOOKUP($A59,'Data shares'!$C:$FB,67)</f>
        <v>28627500</v>
      </c>
      <c r="K59" s="50">
        <f t="shared" si="2"/>
        <v>51.026430587631509</v>
      </c>
      <c r="L59" s="50">
        <f>VLOOKUP($A59,'Data shares'!$C:$FB,118)</f>
        <v>0.64</v>
      </c>
      <c r="M59" s="50">
        <f>VLOOKUP($A59,'Data shares'!$C:$FB,119)</f>
        <v>0.63</v>
      </c>
      <c r="N59" s="50">
        <f>VLOOKUP($A59,'Data shares'!$C:$FB,121)*100</f>
        <v>1.59</v>
      </c>
      <c r="O59" s="50">
        <f>VLOOKUP($A59,'Data shares'!$C:$FB,124)</f>
        <v>0.3</v>
      </c>
      <c r="P59" s="50">
        <f>VLOOKUP($A59,'Data shares'!$C:$FB,125)</f>
        <v>0.41</v>
      </c>
      <c r="Q59" s="50">
        <f>VLOOKUP($A59,'Data shares'!$C:$FB,127)*100</f>
        <v>-26.83</v>
      </c>
    </row>
    <row r="60" spans="1:17" x14ac:dyDescent="0.25">
      <c r="A60" s="97" t="str">
        <f>'Data Vlaue (Cr)'!C55</f>
        <v>DALBHARAT</v>
      </c>
      <c r="B60" s="140">
        <f>VLOOKUP($A60,'Data shares'!$C:$FB,7)</f>
        <v>1971.7</v>
      </c>
      <c r="C60" s="140">
        <f>VLOOKUP($A60,'Data shares'!$C:$FB,3)</f>
        <v>1978.1</v>
      </c>
      <c r="D60" s="140">
        <f>VLOOKUP($A60,'Data shares'!$C:$FB,4)</f>
        <v>1974.2</v>
      </c>
      <c r="E60" s="50">
        <f t="shared" si="0"/>
        <v>0.1975483740249146</v>
      </c>
      <c r="F60" s="49">
        <f>VLOOKUP($A60,'Data shares'!$C:$FB,98)</f>
        <v>4595825</v>
      </c>
      <c r="G60" s="49">
        <f>VLOOKUP($A60,'Data shares'!$C:$FB,99)</f>
        <v>4517500</v>
      </c>
      <c r="H60" s="50">
        <f t="shared" si="1"/>
        <v>1.7338129496402879</v>
      </c>
      <c r="I60" s="49">
        <f>VLOOKUP($A60,'Data shares'!$C:$FB,66)</f>
        <v>1954225</v>
      </c>
      <c r="J60" s="49">
        <f>VLOOKUP($A60,'Data shares'!$C:$FB,67)</f>
        <v>1823250</v>
      </c>
      <c r="K60" s="50">
        <f t="shared" si="2"/>
        <v>6.7021453517379008</v>
      </c>
      <c r="L60" s="50">
        <f>VLOOKUP($A60,'Data shares'!$C:$FB,118)</f>
        <v>0.99</v>
      </c>
      <c r="M60" s="50">
        <f>VLOOKUP($A60,'Data shares'!$C:$FB,119)</f>
        <v>1.1200000000000001</v>
      </c>
      <c r="N60" s="50">
        <f>VLOOKUP($A60,'Data shares'!$C:$FB,121)*100</f>
        <v>-11.61</v>
      </c>
      <c r="O60" s="50">
        <f>VLOOKUP($A60,'Data shares'!$C:$FB,124)</f>
        <v>0.44</v>
      </c>
      <c r="P60" s="50">
        <f>VLOOKUP($A60,'Data shares'!$C:$FB,125)</f>
        <v>0.43</v>
      </c>
      <c r="Q60" s="50">
        <f>VLOOKUP($A60,'Data shares'!$C:$FB,127)*100</f>
        <v>2.33</v>
      </c>
    </row>
    <row r="61" spans="1:17" x14ac:dyDescent="0.25">
      <c r="A61" s="97" t="str">
        <f>'Data Vlaue (Cr)'!C56</f>
        <v>DELHIVERY</v>
      </c>
      <c r="B61" s="140">
        <f>VLOOKUP($A61,'Data shares'!$C:$FB,7)</f>
        <v>463</v>
      </c>
      <c r="C61" s="140">
        <f>VLOOKUP($A61,'Data shares'!$C:$FB,3)</f>
        <v>464.5</v>
      </c>
      <c r="D61" s="140">
        <f>VLOOKUP($A61,'Data shares'!$C:$FB,4)</f>
        <v>461.15</v>
      </c>
      <c r="E61" s="50">
        <f t="shared" si="0"/>
        <v>0.72644475767104477</v>
      </c>
      <c r="F61" s="49">
        <f>VLOOKUP($A61,'Data shares'!$C:$FB,98)</f>
        <v>51775400</v>
      </c>
      <c r="G61" s="49">
        <f>VLOOKUP($A61,'Data shares'!$C:$FB,99)</f>
        <v>45087675</v>
      </c>
      <c r="H61" s="50">
        <f t="shared" si="1"/>
        <v>14.832712043812416</v>
      </c>
      <c r="I61" s="49">
        <f>VLOOKUP($A61,'Data shares'!$C:$FB,66)</f>
        <v>45093900</v>
      </c>
      <c r="J61" s="49">
        <f>VLOOKUP($A61,'Data shares'!$C:$FB,67)</f>
        <v>19380500</v>
      </c>
      <c r="K61" s="50">
        <f t="shared" si="2"/>
        <v>57.021903184244429</v>
      </c>
      <c r="L61" s="50">
        <f>VLOOKUP($A61,'Data shares'!$C:$FB,118)</f>
        <v>0.39</v>
      </c>
      <c r="M61" s="50">
        <f>VLOOKUP($A61,'Data shares'!$C:$FB,119)</f>
        <v>0.46</v>
      </c>
      <c r="N61" s="50">
        <f>VLOOKUP($A61,'Data shares'!$C:$FB,121)*100</f>
        <v>-15.22</v>
      </c>
      <c r="O61" s="50">
        <f>VLOOKUP($A61,'Data shares'!$C:$FB,124)</f>
        <v>0.22</v>
      </c>
      <c r="P61" s="50">
        <f>VLOOKUP($A61,'Data shares'!$C:$FB,125)</f>
        <v>0.28000000000000003</v>
      </c>
      <c r="Q61" s="50">
        <f>VLOOKUP($A61,'Data shares'!$C:$FB,127)*100</f>
        <v>-21.43</v>
      </c>
    </row>
    <row r="62" spans="1:17" x14ac:dyDescent="0.25">
      <c r="A62" s="97" t="str">
        <f>'Data Vlaue (Cr)'!C57</f>
        <v>DIVISLAB</v>
      </c>
      <c r="B62" s="140">
        <f>VLOOKUP($A62,'Data shares'!$C:$FB,7)</f>
        <v>6229</v>
      </c>
      <c r="C62" s="140">
        <f>VLOOKUP($A62,'Data shares'!$C:$FB,3)</f>
        <v>6238</v>
      </c>
      <c r="D62" s="140">
        <f>VLOOKUP($A62,'Data shares'!$C:$FB,4)</f>
        <v>6292</v>
      </c>
      <c r="E62" s="50">
        <f t="shared" si="0"/>
        <v>-0.85823267641449463</v>
      </c>
      <c r="F62" s="49">
        <f>VLOOKUP($A62,'Data shares'!$C:$FB,98)</f>
        <v>4199800</v>
      </c>
      <c r="G62" s="49">
        <f>VLOOKUP($A62,'Data shares'!$C:$FB,99)</f>
        <v>4131800</v>
      </c>
      <c r="H62" s="50">
        <f t="shared" si="1"/>
        <v>1.6457718185778596</v>
      </c>
      <c r="I62" s="49">
        <f>VLOOKUP($A62,'Data shares'!$C:$FB,66)</f>
        <v>1821300</v>
      </c>
      <c r="J62" s="49">
        <f>VLOOKUP($A62,'Data shares'!$C:$FB,67)</f>
        <v>2842500</v>
      </c>
      <c r="K62" s="50">
        <f t="shared" si="2"/>
        <v>-56.069840224015813</v>
      </c>
      <c r="L62" s="50">
        <f>VLOOKUP($A62,'Data shares'!$C:$FB,118)</f>
        <v>1.05</v>
      </c>
      <c r="M62" s="50">
        <f>VLOOKUP($A62,'Data shares'!$C:$FB,119)</f>
        <v>1.2</v>
      </c>
      <c r="N62" s="50">
        <f>VLOOKUP($A62,'Data shares'!$C:$FB,121)*100</f>
        <v>-12.5</v>
      </c>
      <c r="O62" s="50">
        <f>VLOOKUP($A62,'Data shares'!$C:$FB,124)</f>
        <v>0.56999999999999995</v>
      </c>
      <c r="P62" s="50">
        <f>VLOOKUP($A62,'Data shares'!$C:$FB,125)</f>
        <v>0.47</v>
      </c>
      <c r="Q62" s="50">
        <f>VLOOKUP($A62,'Data shares'!$C:$FB,127)*100</f>
        <v>21.279999999999998</v>
      </c>
    </row>
    <row r="63" spans="1:17" x14ac:dyDescent="0.25">
      <c r="A63" s="97" t="str">
        <f>'Data Vlaue (Cr)'!C58</f>
        <v>DIXON</v>
      </c>
      <c r="B63" s="140">
        <f>VLOOKUP($A63,'Data shares'!$C:$FB,7)</f>
        <v>11371.5</v>
      </c>
      <c r="C63" s="140">
        <f>VLOOKUP($A63,'Data shares'!$C:$FB,3)</f>
        <v>11377.5</v>
      </c>
      <c r="D63" s="140">
        <f>VLOOKUP($A63,'Data shares'!$C:$FB,4)</f>
        <v>11222.5</v>
      </c>
      <c r="E63" s="50">
        <f t="shared" si="0"/>
        <v>1.3811539318333703</v>
      </c>
      <c r="F63" s="49">
        <f>VLOOKUP($A63,'Data shares'!$C:$FB,98)</f>
        <v>6749450</v>
      </c>
      <c r="G63" s="49">
        <f>VLOOKUP($A63,'Data shares'!$C:$FB,99)</f>
        <v>6882000</v>
      </c>
      <c r="H63" s="50">
        <f t="shared" si="1"/>
        <v>-1.9260389421679747</v>
      </c>
      <c r="I63" s="49">
        <f>VLOOKUP($A63,'Data shares'!$C:$FB,66)</f>
        <v>6342150</v>
      </c>
      <c r="J63" s="49">
        <f>VLOOKUP($A63,'Data shares'!$C:$FB,67)</f>
        <v>9423950</v>
      </c>
      <c r="K63" s="50">
        <f t="shared" si="2"/>
        <v>-48.59235432779105</v>
      </c>
      <c r="L63" s="50">
        <f>VLOOKUP($A63,'Data shares'!$C:$FB,118)</f>
        <v>0.74</v>
      </c>
      <c r="M63" s="50">
        <f>VLOOKUP($A63,'Data shares'!$C:$FB,119)</f>
        <v>0.71</v>
      </c>
      <c r="N63" s="50">
        <f>VLOOKUP($A63,'Data shares'!$C:$FB,121)*100</f>
        <v>4.2299999999999995</v>
      </c>
      <c r="O63" s="50">
        <f>VLOOKUP($A63,'Data shares'!$C:$FB,124)</f>
        <v>0.56000000000000005</v>
      </c>
      <c r="P63" s="50">
        <f>VLOOKUP($A63,'Data shares'!$C:$FB,125)</f>
        <v>0.38</v>
      </c>
      <c r="Q63" s="50">
        <f>VLOOKUP($A63,'Data shares'!$C:$FB,127)*100</f>
        <v>47.370000000000005</v>
      </c>
    </row>
    <row r="64" spans="1:17" x14ac:dyDescent="0.25">
      <c r="A64" s="97" t="str">
        <f>'Data Vlaue (Cr)'!C59</f>
        <v>DLF</v>
      </c>
      <c r="B64" s="140">
        <f>VLOOKUP($A64,'Data shares'!$C:$FB,7)</f>
        <v>601.75</v>
      </c>
      <c r="C64" s="140">
        <f>VLOOKUP($A64,'Data shares'!$C:$FB,3)</f>
        <v>601.54999999999995</v>
      </c>
      <c r="D64" s="140">
        <f>VLOOKUP($A64,'Data shares'!$C:$FB,4)</f>
        <v>589.79999999999995</v>
      </c>
      <c r="E64" s="50">
        <f t="shared" si="0"/>
        <v>1.9922007460155988</v>
      </c>
      <c r="F64" s="49">
        <f>VLOOKUP($A64,'Data shares'!$C:$FB,98)</f>
        <v>73074375</v>
      </c>
      <c r="G64" s="49">
        <f>VLOOKUP($A64,'Data shares'!$C:$FB,99)</f>
        <v>74670750</v>
      </c>
      <c r="H64" s="50">
        <f t="shared" si="1"/>
        <v>-2.137885316539609</v>
      </c>
      <c r="I64" s="49">
        <f>VLOOKUP($A64,'Data shares'!$C:$FB,66)</f>
        <v>41220300</v>
      </c>
      <c r="J64" s="49">
        <f>VLOOKUP($A64,'Data shares'!$C:$FB,67)</f>
        <v>25285425</v>
      </c>
      <c r="K64" s="50">
        <f t="shared" si="2"/>
        <v>38.657833640220957</v>
      </c>
      <c r="L64" s="50">
        <f>VLOOKUP($A64,'Data shares'!$C:$FB,118)</f>
        <v>1.08</v>
      </c>
      <c r="M64" s="50">
        <f>VLOOKUP($A64,'Data shares'!$C:$FB,119)</f>
        <v>1.07</v>
      </c>
      <c r="N64" s="50">
        <f>VLOOKUP($A64,'Data shares'!$C:$FB,121)*100</f>
        <v>0.92999999999999994</v>
      </c>
      <c r="O64" s="50">
        <f>VLOOKUP($A64,'Data shares'!$C:$FB,124)</f>
        <v>0.84</v>
      </c>
      <c r="P64" s="50">
        <f>VLOOKUP($A64,'Data shares'!$C:$FB,125)</f>
        <v>0.82</v>
      </c>
      <c r="Q64" s="50">
        <f>VLOOKUP($A64,'Data shares'!$C:$FB,127)*100</f>
        <v>2.44</v>
      </c>
    </row>
    <row r="65" spans="1:17" x14ac:dyDescent="0.25">
      <c r="A65" s="97" t="str">
        <f>'Data Vlaue (Cr)'!C60</f>
        <v>DMART</v>
      </c>
      <c r="B65" s="140">
        <f>VLOOKUP($A65,'Data shares'!$C:$FB,7)</f>
        <v>4628.5</v>
      </c>
      <c r="C65" s="140">
        <f>VLOOKUP($A65,'Data shares'!$C:$FB,3)</f>
        <v>4644.8999999999996</v>
      </c>
      <c r="D65" s="140">
        <f>VLOOKUP($A65,'Data shares'!$C:$FB,4)</f>
        <v>4429</v>
      </c>
      <c r="E65" s="50">
        <f t="shared" si="0"/>
        <v>4.8746895461729434</v>
      </c>
      <c r="F65" s="49">
        <f>VLOOKUP($A65,'Data shares'!$C:$FB,98)</f>
        <v>7862550</v>
      </c>
      <c r="G65" s="49">
        <f>VLOOKUP($A65,'Data shares'!$C:$FB,99)</f>
        <v>7480500</v>
      </c>
      <c r="H65" s="50">
        <f t="shared" si="1"/>
        <v>5.1072789252055344</v>
      </c>
      <c r="I65" s="49">
        <f>VLOOKUP($A65,'Data shares'!$C:$FB,66)</f>
        <v>15516450</v>
      </c>
      <c r="J65" s="49">
        <f>VLOOKUP($A65,'Data shares'!$C:$FB,67)</f>
        <v>4711350</v>
      </c>
      <c r="K65" s="50">
        <f t="shared" si="2"/>
        <v>69.636418123990993</v>
      </c>
      <c r="L65" s="50">
        <f>VLOOKUP($A65,'Data shares'!$C:$FB,118)</f>
        <v>0.96</v>
      </c>
      <c r="M65" s="50">
        <f>VLOOKUP($A65,'Data shares'!$C:$FB,119)</f>
        <v>0.8</v>
      </c>
      <c r="N65" s="50">
        <f>VLOOKUP($A65,'Data shares'!$C:$FB,121)*100</f>
        <v>20</v>
      </c>
      <c r="O65" s="50">
        <f>VLOOKUP($A65,'Data shares'!$C:$FB,124)</f>
        <v>0.45</v>
      </c>
      <c r="P65" s="50">
        <f>VLOOKUP($A65,'Data shares'!$C:$FB,125)</f>
        <v>0.56999999999999995</v>
      </c>
      <c r="Q65" s="50">
        <f>VLOOKUP($A65,'Data shares'!$C:$FB,127)*100</f>
        <v>-21.05</v>
      </c>
    </row>
    <row r="66" spans="1:17" x14ac:dyDescent="0.25">
      <c r="A66" s="97" t="str">
        <f>'Data Vlaue (Cr)'!C61</f>
        <v>DRREDDY</v>
      </c>
      <c r="B66" s="140">
        <f>VLOOKUP($A66,'Data shares'!$C:$FB,7)</f>
        <v>1235.7</v>
      </c>
      <c r="C66" s="140">
        <f>VLOOKUP($A66,'Data shares'!$C:$FB,3)</f>
        <v>1231.8</v>
      </c>
      <c r="D66" s="140">
        <f>VLOOKUP($A66,'Data shares'!$C:$FB,4)</f>
        <v>1221</v>
      </c>
      <c r="E66" s="50">
        <f t="shared" si="0"/>
        <v>0.88452088452088073</v>
      </c>
      <c r="F66" s="49">
        <f>VLOOKUP($A66,'Data shares'!$C:$FB,98)</f>
        <v>26233125</v>
      </c>
      <c r="G66" s="49">
        <f>VLOOKUP($A66,'Data shares'!$C:$FB,99)</f>
        <v>25818750</v>
      </c>
      <c r="H66" s="50">
        <f t="shared" si="1"/>
        <v>1.6049382716049383</v>
      </c>
      <c r="I66" s="49">
        <f>VLOOKUP($A66,'Data shares'!$C:$FB,66)</f>
        <v>15924375</v>
      </c>
      <c r="J66" s="49">
        <f>VLOOKUP($A66,'Data shares'!$C:$FB,67)</f>
        <v>16599375</v>
      </c>
      <c r="K66" s="50">
        <f t="shared" si="2"/>
        <v>-4.2387848816672555</v>
      </c>
      <c r="L66" s="50">
        <f>VLOOKUP($A66,'Data shares'!$C:$FB,118)</f>
        <v>0.71</v>
      </c>
      <c r="M66" s="50">
        <f>VLOOKUP($A66,'Data shares'!$C:$FB,119)</f>
        <v>0.72</v>
      </c>
      <c r="N66" s="50">
        <f>VLOOKUP($A66,'Data shares'!$C:$FB,121)*100</f>
        <v>-1.39</v>
      </c>
      <c r="O66" s="50">
        <f>VLOOKUP($A66,'Data shares'!$C:$FB,124)</f>
        <v>0.42</v>
      </c>
      <c r="P66" s="50">
        <f>VLOOKUP($A66,'Data shares'!$C:$FB,125)</f>
        <v>0.51</v>
      </c>
      <c r="Q66" s="50">
        <f>VLOOKUP($A66,'Data shares'!$C:$FB,127)*100</f>
        <v>-17.649999999999999</v>
      </c>
    </row>
    <row r="67" spans="1:17" x14ac:dyDescent="0.25">
      <c r="A67" s="97" t="str">
        <f>'Data Vlaue (Cr)'!C62</f>
        <v>EICHERMOT</v>
      </c>
      <c r="B67" s="140">
        <f>VLOOKUP($A67,'Data shares'!$C:$FB,7)</f>
        <v>7189.5</v>
      </c>
      <c r="C67" s="140">
        <f>VLOOKUP($A67,'Data shares'!$C:$FB,3)</f>
        <v>7189.5</v>
      </c>
      <c r="D67" s="140">
        <f>VLOOKUP($A67,'Data shares'!$C:$FB,4)</f>
        <v>7132.5</v>
      </c>
      <c r="E67" s="50">
        <f t="shared" si="0"/>
        <v>0.79915878023133546</v>
      </c>
      <c r="F67" s="49">
        <f>VLOOKUP($A67,'Data shares'!$C:$FB,98)</f>
        <v>8195200</v>
      </c>
      <c r="G67" s="49">
        <f>VLOOKUP($A67,'Data shares'!$C:$FB,99)</f>
        <v>8235900</v>
      </c>
      <c r="H67" s="50">
        <f t="shared" si="1"/>
        <v>-0.49417792833812946</v>
      </c>
      <c r="I67" s="49">
        <f>VLOOKUP($A67,'Data shares'!$C:$FB,66)</f>
        <v>4867500</v>
      </c>
      <c r="J67" s="49">
        <f>VLOOKUP($A67,'Data shares'!$C:$FB,67)</f>
        <v>5197000</v>
      </c>
      <c r="K67" s="50">
        <f t="shared" si="2"/>
        <v>-6.769388803287109</v>
      </c>
      <c r="L67" s="50">
        <f>VLOOKUP($A67,'Data shares'!$C:$FB,118)</f>
        <v>0.68</v>
      </c>
      <c r="M67" s="50">
        <f>VLOOKUP($A67,'Data shares'!$C:$FB,119)</f>
        <v>0.67</v>
      </c>
      <c r="N67" s="50">
        <f>VLOOKUP($A67,'Data shares'!$C:$FB,121)*100</f>
        <v>1.49</v>
      </c>
      <c r="O67" s="50">
        <f>VLOOKUP($A67,'Data shares'!$C:$FB,124)</f>
        <v>0.34</v>
      </c>
      <c r="P67" s="50">
        <f>VLOOKUP($A67,'Data shares'!$C:$FB,125)</f>
        <v>0.53</v>
      </c>
      <c r="Q67" s="50">
        <f>VLOOKUP($A67,'Data shares'!$C:$FB,127)*100</f>
        <v>-35.85</v>
      </c>
    </row>
    <row r="68" spans="1:17" x14ac:dyDescent="0.25">
      <c r="A68" s="97" t="str">
        <f>'Data Vlaue (Cr)'!C63</f>
        <v>ETERNAL</v>
      </c>
      <c r="B68" s="140">
        <f>VLOOKUP($A68,'Data shares'!$C:$FB,7)</f>
        <v>252.61</v>
      </c>
      <c r="C68" s="140">
        <f>VLOOKUP($A68,'Data shares'!$C:$FB,3)</f>
        <v>252.59</v>
      </c>
      <c r="D68" s="140">
        <f>VLOOKUP($A68,'Data shares'!$C:$FB,4)</f>
        <v>252.79</v>
      </c>
      <c r="E68" s="50">
        <f t="shared" si="0"/>
        <v>-7.9117053680916427E-2</v>
      </c>
      <c r="F68" s="49">
        <f>VLOOKUP($A68,'Data shares'!$C:$FB,98)</f>
        <v>310545500</v>
      </c>
      <c r="G68" s="49">
        <f>VLOOKUP($A68,'Data shares'!$C:$FB,99)</f>
        <v>313290600</v>
      </c>
      <c r="H68" s="50">
        <f t="shared" si="1"/>
        <v>-0.87621524552603869</v>
      </c>
      <c r="I68" s="49">
        <f>VLOOKUP($A68,'Data shares'!$C:$FB,66)</f>
        <v>164007600</v>
      </c>
      <c r="J68" s="49">
        <f>VLOOKUP($A68,'Data shares'!$C:$FB,67)</f>
        <v>210756750</v>
      </c>
      <c r="K68" s="50">
        <f t="shared" si="2"/>
        <v>-28.504258339247695</v>
      </c>
      <c r="L68" s="50">
        <f>VLOOKUP($A68,'Data shares'!$C:$FB,118)</f>
        <v>0.78</v>
      </c>
      <c r="M68" s="50">
        <f>VLOOKUP($A68,'Data shares'!$C:$FB,119)</f>
        <v>0.79</v>
      </c>
      <c r="N68" s="50">
        <f>VLOOKUP($A68,'Data shares'!$C:$FB,121)*100</f>
        <v>-1.27</v>
      </c>
      <c r="O68" s="50">
        <f>VLOOKUP($A68,'Data shares'!$C:$FB,124)</f>
        <v>0.49</v>
      </c>
      <c r="P68" s="50">
        <f>VLOOKUP($A68,'Data shares'!$C:$FB,125)</f>
        <v>0.43</v>
      </c>
      <c r="Q68" s="50">
        <f>VLOOKUP($A68,'Data shares'!$C:$FB,127)*100</f>
        <v>13.950000000000001</v>
      </c>
    </row>
    <row r="69" spans="1:17" x14ac:dyDescent="0.25">
      <c r="A69" s="97" t="str">
        <f>'Data Vlaue (Cr)'!C64</f>
        <v>EXIDEIND</v>
      </c>
      <c r="B69" s="140">
        <f>VLOOKUP($A69,'Data shares'!$C:$FB,7)</f>
        <v>330</v>
      </c>
      <c r="C69" s="140">
        <f>VLOOKUP($A69,'Data shares'!$C:$FB,3)</f>
        <v>330.25</v>
      </c>
      <c r="D69" s="140">
        <f>VLOOKUP($A69,'Data shares'!$C:$FB,4)</f>
        <v>331.6</v>
      </c>
      <c r="E69" s="50">
        <f t="shared" si="0"/>
        <v>-0.40711700844391518</v>
      </c>
      <c r="F69" s="49">
        <f>VLOOKUP($A69,'Data shares'!$C:$FB,98)</f>
        <v>54329400</v>
      </c>
      <c r="G69" s="49">
        <f>VLOOKUP($A69,'Data shares'!$C:$FB,99)</f>
        <v>53825400</v>
      </c>
      <c r="H69" s="50">
        <f t="shared" si="1"/>
        <v>0.93636090024412266</v>
      </c>
      <c r="I69" s="49">
        <f>VLOOKUP($A69,'Data shares'!$C:$FB,66)</f>
        <v>12105000</v>
      </c>
      <c r="J69" s="49">
        <f>VLOOKUP($A69,'Data shares'!$C:$FB,67)</f>
        <v>12195000</v>
      </c>
      <c r="K69" s="50">
        <f t="shared" si="2"/>
        <v>-0.74349442379182151</v>
      </c>
      <c r="L69" s="50">
        <f>VLOOKUP($A69,'Data shares'!$C:$FB,118)</f>
        <v>0.97</v>
      </c>
      <c r="M69" s="50">
        <f>VLOOKUP($A69,'Data shares'!$C:$FB,119)</f>
        <v>1</v>
      </c>
      <c r="N69" s="50">
        <f>VLOOKUP($A69,'Data shares'!$C:$FB,121)*100</f>
        <v>-3</v>
      </c>
      <c r="O69" s="50">
        <f>VLOOKUP($A69,'Data shares'!$C:$FB,124)</f>
        <v>0.52</v>
      </c>
      <c r="P69" s="50">
        <f>VLOOKUP($A69,'Data shares'!$C:$FB,125)</f>
        <v>0.64</v>
      </c>
      <c r="Q69" s="50">
        <f>VLOOKUP($A69,'Data shares'!$C:$FB,127)*100</f>
        <v>-18.75</v>
      </c>
    </row>
    <row r="70" spans="1:17" x14ac:dyDescent="0.25">
      <c r="A70" s="97" t="str">
        <f>'Data Vlaue (Cr)'!C65</f>
        <v>FEDERALBNK</v>
      </c>
      <c r="B70" s="140">
        <f>VLOOKUP($A70,'Data shares'!$C:$FB,7)</f>
        <v>293.75</v>
      </c>
      <c r="C70" s="140">
        <f>VLOOKUP($A70,'Data shares'!$C:$FB,3)</f>
        <v>293.60000000000002</v>
      </c>
      <c r="D70" s="140">
        <f>VLOOKUP($A70,'Data shares'!$C:$FB,4)</f>
        <v>285.10000000000002</v>
      </c>
      <c r="E70" s="50">
        <f t="shared" si="0"/>
        <v>2.9814100315678709</v>
      </c>
      <c r="F70" s="49">
        <f>VLOOKUP($A70,'Data shares'!$C:$FB,98)</f>
        <v>147745000</v>
      </c>
      <c r="G70" s="49">
        <f>VLOOKUP($A70,'Data shares'!$C:$FB,99)</f>
        <v>150185000</v>
      </c>
      <c r="H70" s="50">
        <f t="shared" si="1"/>
        <v>-1.6246629157372576</v>
      </c>
      <c r="I70" s="49">
        <f>VLOOKUP($A70,'Data shares'!$C:$FB,66)</f>
        <v>123750000</v>
      </c>
      <c r="J70" s="49">
        <f>VLOOKUP($A70,'Data shares'!$C:$FB,67)</f>
        <v>106060000</v>
      </c>
      <c r="K70" s="50">
        <f t="shared" si="2"/>
        <v>14.294949494949494</v>
      </c>
      <c r="L70" s="50">
        <f>VLOOKUP($A70,'Data shares'!$C:$FB,118)</f>
        <v>0.84</v>
      </c>
      <c r="M70" s="50">
        <f>VLOOKUP($A70,'Data shares'!$C:$FB,119)</f>
        <v>0.69</v>
      </c>
      <c r="N70" s="50">
        <f>VLOOKUP($A70,'Data shares'!$C:$FB,121)*100</f>
        <v>21.740000000000002</v>
      </c>
      <c r="O70" s="50">
        <f>VLOOKUP($A70,'Data shares'!$C:$FB,124)</f>
        <v>0.55000000000000004</v>
      </c>
      <c r="P70" s="50">
        <f>VLOOKUP($A70,'Data shares'!$C:$FB,125)</f>
        <v>0.52</v>
      </c>
      <c r="Q70" s="50">
        <f>VLOOKUP($A70,'Data shares'!$C:$FB,127)*100</f>
        <v>5.7700000000000005</v>
      </c>
    </row>
    <row r="71" spans="1:17" x14ac:dyDescent="0.25">
      <c r="A71" s="97" t="str">
        <f>'Data Vlaue (Cr)'!C66</f>
        <v>FINNIFTY</v>
      </c>
      <c r="B71" s="140">
        <f>VLOOKUP($A71,'Data shares'!$C:$FB,7)</f>
        <v>26521.25</v>
      </c>
      <c r="C71" s="140">
        <f>VLOOKUP($A71,'Data shares'!$C:$FB,3)</f>
        <v>26566.3</v>
      </c>
      <c r="D71" s="140">
        <f>VLOOKUP($A71,'Data shares'!$C:$FB,4)</f>
        <v>26392.2</v>
      </c>
      <c r="E71" s="50">
        <f t="shared" si="0"/>
        <v>0.65966459787360865</v>
      </c>
      <c r="F71" s="49">
        <f>VLOOKUP($A71,'Data shares'!$C:$FB,98)</f>
        <v>692040</v>
      </c>
      <c r="G71" s="49">
        <f>VLOOKUP($A71,'Data shares'!$C:$FB,99)</f>
        <v>706020</v>
      </c>
      <c r="H71" s="50">
        <f t="shared" si="1"/>
        <v>-1.9801138777938303</v>
      </c>
      <c r="I71" s="49">
        <f>VLOOKUP($A71,'Data shares'!$C:$FB,66)</f>
        <v>931500</v>
      </c>
      <c r="J71" s="49">
        <f>VLOOKUP($A71,'Data shares'!$C:$FB,67)</f>
        <v>1113000</v>
      </c>
      <c r="K71" s="50">
        <f t="shared" si="2"/>
        <v>-19.484702093397747</v>
      </c>
      <c r="L71" s="50">
        <f>VLOOKUP($A71,'Data shares'!$C:$FB,118)</f>
        <v>0.68</v>
      </c>
      <c r="M71" s="50">
        <f>VLOOKUP($A71,'Data shares'!$C:$FB,119)</f>
        <v>0.7</v>
      </c>
      <c r="N71" s="50">
        <f>VLOOKUP($A71,'Data shares'!$C:$FB,121)*100</f>
        <v>-2.86</v>
      </c>
      <c r="O71" s="50">
        <f>VLOOKUP($A71,'Data shares'!$C:$FB,124)</f>
        <v>0.5</v>
      </c>
      <c r="P71" s="50">
        <f>VLOOKUP($A71,'Data shares'!$C:$FB,125)</f>
        <v>0.75</v>
      </c>
      <c r="Q71" s="50">
        <f>VLOOKUP($A71,'Data shares'!$C:$FB,127)*100</f>
        <v>-33.33</v>
      </c>
    </row>
    <row r="72" spans="1:17" x14ac:dyDescent="0.25">
      <c r="A72" s="97" t="str">
        <f>'Data Vlaue (Cr)'!C67</f>
        <v>FORCEMOT</v>
      </c>
      <c r="B72" s="140">
        <f>VLOOKUP($A72,'Data shares'!$C:$FB,7)</f>
        <v>22378</v>
      </c>
      <c r="C72" s="140">
        <f>VLOOKUP($A72,'Data shares'!$C:$FB,3)</f>
        <v>22371</v>
      </c>
      <c r="D72" s="140">
        <f>VLOOKUP($A72,'Data shares'!$C:$FB,4)</f>
        <v>22574</v>
      </c>
      <c r="E72" s="50">
        <f t="shared" ref="E72:E135" si="3">(C72-D72)/D72*100</f>
        <v>-0.89926464073713119</v>
      </c>
      <c r="F72" s="49">
        <f>VLOOKUP($A72,'Data shares'!$C:$FB,98)</f>
        <v>236500</v>
      </c>
      <c r="G72" s="49">
        <f>VLOOKUP($A72,'Data shares'!$C:$FB,99)</f>
        <v>219800</v>
      </c>
      <c r="H72" s="50">
        <f t="shared" ref="H72:H135" si="4">(F72-G72)/G72*100</f>
        <v>7.5978161965423121</v>
      </c>
      <c r="I72" s="49">
        <f>VLOOKUP($A72,'Data shares'!$C:$FB,66)</f>
        <v>99725</v>
      </c>
      <c r="J72" s="49">
        <f>VLOOKUP($A72,'Data shares'!$C:$FB,67)</f>
        <v>236050</v>
      </c>
      <c r="K72" s="50">
        <f t="shared" ref="K72:K135" si="5">(I72-J72)/I72*100</f>
        <v>-136.70092755076459</v>
      </c>
      <c r="L72" s="50">
        <f>VLOOKUP($A72,'Data shares'!$C:$FB,118)</f>
        <v>0.34</v>
      </c>
      <c r="M72" s="50">
        <f>VLOOKUP($A72,'Data shares'!$C:$FB,119)</f>
        <v>0.36</v>
      </c>
      <c r="N72" s="50">
        <f>VLOOKUP($A72,'Data shares'!$C:$FB,121)*100</f>
        <v>-5.56</v>
      </c>
      <c r="O72" s="50">
        <f>VLOOKUP($A72,'Data shares'!$C:$FB,124)</f>
        <v>0.24</v>
      </c>
      <c r="P72" s="50">
        <f>VLOOKUP($A72,'Data shares'!$C:$FB,125)</f>
        <v>0.16</v>
      </c>
      <c r="Q72" s="50">
        <f>VLOOKUP($A72,'Data shares'!$C:$FB,127)*100</f>
        <v>50</v>
      </c>
    </row>
    <row r="73" spans="1:17" x14ac:dyDescent="0.25">
      <c r="A73" s="97" t="str">
        <f>'Data Vlaue (Cr)'!C68</f>
        <v>FORTIS</v>
      </c>
      <c r="B73" s="140">
        <f>VLOOKUP($A73,'Data shares'!$C:$FB,7)</f>
        <v>890.2</v>
      </c>
      <c r="C73" s="140">
        <f>VLOOKUP($A73,'Data shares'!$C:$FB,3)</f>
        <v>890.9</v>
      </c>
      <c r="D73" s="140">
        <f>VLOOKUP($A73,'Data shares'!$C:$FB,4)</f>
        <v>873.8</v>
      </c>
      <c r="E73" s="50">
        <f t="shared" si="3"/>
        <v>1.9569695582513189</v>
      </c>
      <c r="F73" s="49">
        <f>VLOOKUP($A73,'Data shares'!$C:$FB,98)</f>
        <v>15195425</v>
      </c>
      <c r="G73" s="49">
        <f>VLOOKUP($A73,'Data shares'!$C:$FB,99)</f>
        <v>15107075</v>
      </c>
      <c r="H73" s="50">
        <f t="shared" si="4"/>
        <v>0.58482532191042935</v>
      </c>
      <c r="I73" s="49">
        <f>VLOOKUP($A73,'Data shares'!$C:$FB,66)</f>
        <v>8592425</v>
      </c>
      <c r="J73" s="49">
        <f>VLOOKUP($A73,'Data shares'!$C:$FB,67)</f>
        <v>7055600</v>
      </c>
      <c r="K73" s="50">
        <f t="shared" si="5"/>
        <v>17.885812212501129</v>
      </c>
      <c r="L73" s="50">
        <f>VLOOKUP($A73,'Data shares'!$C:$FB,118)</f>
        <v>0.63</v>
      </c>
      <c r="M73" s="50">
        <f>VLOOKUP($A73,'Data shares'!$C:$FB,119)</f>
        <v>0.7</v>
      </c>
      <c r="N73" s="50">
        <f>VLOOKUP($A73,'Data shares'!$C:$FB,121)*100</f>
        <v>-10</v>
      </c>
      <c r="O73" s="50">
        <f>VLOOKUP($A73,'Data shares'!$C:$FB,124)</f>
        <v>0.46</v>
      </c>
      <c r="P73" s="50">
        <f>VLOOKUP($A73,'Data shares'!$C:$FB,125)</f>
        <v>0.48</v>
      </c>
      <c r="Q73" s="50">
        <f>VLOOKUP($A73,'Data shares'!$C:$FB,127)*100</f>
        <v>-4.17</v>
      </c>
    </row>
    <row r="74" spans="1:17" x14ac:dyDescent="0.25">
      <c r="A74" s="97" t="str">
        <f>'Data Vlaue (Cr)'!C69</f>
        <v>GAIL</v>
      </c>
      <c r="B74" s="140">
        <f>VLOOKUP($A74,'Data shares'!$C:$FB,7)</f>
        <v>157.82</v>
      </c>
      <c r="C74" s="140">
        <f>VLOOKUP($A74,'Data shares'!$C:$FB,3)</f>
        <v>158.33000000000001</v>
      </c>
      <c r="D74" s="140">
        <f>VLOOKUP($A74,'Data shares'!$C:$FB,4)</f>
        <v>158.97</v>
      </c>
      <c r="E74" s="50">
        <f t="shared" si="3"/>
        <v>-0.40259168396551953</v>
      </c>
      <c r="F74" s="49">
        <f>VLOOKUP($A74,'Data shares'!$C:$FB,98)</f>
        <v>138940200</v>
      </c>
      <c r="G74" s="49">
        <f>VLOOKUP($A74,'Data shares'!$C:$FB,99)</f>
        <v>137525850</v>
      </c>
      <c r="H74" s="50">
        <f t="shared" si="4"/>
        <v>1.0284248379486474</v>
      </c>
      <c r="I74" s="49">
        <f>VLOOKUP($A74,'Data shares'!$C:$FB,66)</f>
        <v>35254800</v>
      </c>
      <c r="J74" s="49">
        <f>VLOOKUP($A74,'Data shares'!$C:$FB,67)</f>
        <v>43236900</v>
      </c>
      <c r="K74" s="50">
        <f t="shared" si="5"/>
        <v>-22.641172265904217</v>
      </c>
      <c r="L74" s="50">
        <f>VLOOKUP($A74,'Data shares'!$C:$FB,118)</f>
        <v>1.18</v>
      </c>
      <c r="M74" s="50">
        <f>VLOOKUP($A74,'Data shares'!$C:$FB,119)</f>
        <v>1.21</v>
      </c>
      <c r="N74" s="50">
        <f>VLOOKUP($A74,'Data shares'!$C:$FB,121)*100</f>
        <v>-2.48</v>
      </c>
      <c r="O74" s="50">
        <f>VLOOKUP($A74,'Data shares'!$C:$FB,124)</f>
        <v>0.83</v>
      </c>
      <c r="P74" s="50">
        <f>VLOOKUP($A74,'Data shares'!$C:$FB,125)</f>
        <v>0.66</v>
      </c>
      <c r="Q74" s="50">
        <f>VLOOKUP($A74,'Data shares'!$C:$FB,127)*100</f>
        <v>25.759999999999998</v>
      </c>
    </row>
    <row r="75" spans="1:17" x14ac:dyDescent="0.25">
      <c r="A75" s="97" t="str">
        <f>'Data Vlaue (Cr)'!C70</f>
        <v>GLENMARK</v>
      </c>
      <c r="B75" s="140">
        <f>VLOOKUP($A75,'Data shares'!$C:$FB,7)</f>
        <v>2249.5</v>
      </c>
      <c r="C75" s="140">
        <f>VLOOKUP($A75,'Data shares'!$C:$FB,3)</f>
        <v>2253.8000000000002</v>
      </c>
      <c r="D75" s="140">
        <f>VLOOKUP($A75,'Data shares'!$C:$FB,4)</f>
        <v>2255.6</v>
      </c>
      <c r="E75" s="50">
        <f t="shared" si="3"/>
        <v>-7.9801383223963782E-2</v>
      </c>
      <c r="F75" s="49">
        <f>VLOOKUP($A75,'Data shares'!$C:$FB,98)</f>
        <v>13838250</v>
      </c>
      <c r="G75" s="49">
        <f>VLOOKUP($A75,'Data shares'!$C:$FB,99)</f>
        <v>13198125</v>
      </c>
      <c r="H75" s="50">
        <f t="shared" si="4"/>
        <v>4.8501207557891748</v>
      </c>
      <c r="I75" s="49">
        <f>VLOOKUP($A75,'Data shares'!$C:$FB,66)</f>
        <v>6572625</v>
      </c>
      <c r="J75" s="49">
        <f>VLOOKUP($A75,'Data shares'!$C:$FB,67)</f>
        <v>4926750</v>
      </c>
      <c r="K75" s="50">
        <f t="shared" si="5"/>
        <v>25.041364751526217</v>
      </c>
      <c r="L75" s="50">
        <f>VLOOKUP($A75,'Data shares'!$C:$FB,118)</f>
        <v>0.51</v>
      </c>
      <c r="M75" s="50">
        <f>VLOOKUP($A75,'Data shares'!$C:$FB,119)</f>
        <v>0.62</v>
      </c>
      <c r="N75" s="50">
        <f>VLOOKUP($A75,'Data shares'!$C:$FB,121)*100</f>
        <v>-17.740000000000002</v>
      </c>
      <c r="O75" s="50">
        <f>VLOOKUP($A75,'Data shares'!$C:$FB,124)</f>
        <v>0.32</v>
      </c>
      <c r="P75" s="50">
        <f>VLOOKUP($A75,'Data shares'!$C:$FB,125)</f>
        <v>0.62</v>
      </c>
      <c r="Q75" s="50">
        <f>VLOOKUP($A75,'Data shares'!$C:$FB,127)*100</f>
        <v>-48.39</v>
      </c>
    </row>
    <row r="76" spans="1:17" x14ac:dyDescent="0.25">
      <c r="A76" s="97" t="str">
        <f>'Data Vlaue (Cr)'!C71</f>
        <v>GMRAIRPORT</v>
      </c>
      <c r="B76" s="140">
        <f>VLOOKUP($A76,'Data shares'!$C:$FB,7)</f>
        <v>96.85</v>
      </c>
      <c r="C76" s="140">
        <f>VLOOKUP($A76,'Data shares'!$C:$FB,3)</f>
        <v>97.16</v>
      </c>
      <c r="D76" s="140">
        <f>VLOOKUP($A76,'Data shares'!$C:$FB,4)</f>
        <v>97</v>
      </c>
      <c r="E76" s="50">
        <f t="shared" si="3"/>
        <v>0.16494845360824389</v>
      </c>
      <c r="F76" s="49">
        <f>VLOOKUP($A76,'Data shares'!$C:$FB,98)</f>
        <v>202700475</v>
      </c>
      <c r="G76" s="49">
        <f>VLOOKUP($A76,'Data shares'!$C:$FB,99)</f>
        <v>199143225</v>
      </c>
      <c r="H76" s="50">
        <f t="shared" si="4"/>
        <v>1.7862771881895556</v>
      </c>
      <c r="I76" s="49">
        <f>VLOOKUP($A76,'Data shares'!$C:$FB,66)</f>
        <v>61582275</v>
      </c>
      <c r="J76" s="49">
        <f>VLOOKUP($A76,'Data shares'!$C:$FB,67)</f>
        <v>85583250</v>
      </c>
      <c r="K76" s="50">
        <f t="shared" si="5"/>
        <v>-38.973836221542648</v>
      </c>
      <c r="L76" s="50">
        <f>VLOOKUP($A76,'Data shares'!$C:$FB,118)</f>
        <v>0.75</v>
      </c>
      <c r="M76" s="50">
        <f>VLOOKUP($A76,'Data shares'!$C:$FB,119)</f>
        <v>0.75</v>
      </c>
      <c r="N76" s="50">
        <f>VLOOKUP($A76,'Data shares'!$C:$FB,121)*100</f>
        <v>0</v>
      </c>
      <c r="O76" s="50">
        <f>VLOOKUP($A76,'Data shares'!$C:$FB,124)</f>
        <v>0.5</v>
      </c>
      <c r="P76" s="50">
        <f>VLOOKUP($A76,'Data shares'!$C:$FB,125)</f>
        <v>0.71</v>
      </c>
      <c r="Q76" s="50">
        <f>VLOOKUP($A76,'Data shares'!$C:$FB,127)*100</f>
        <v>-29.580000000000002</v>
      </c>
    </row>
    <row r="77" spans="1:17" x14ac:dyDescent="0.25">
      <c r="A77" s="97" t="str">
        <f>'Data Vlaue (Cr)'!C72</f>
        <v>GODFRYPHLP</v>
      </c>
      <c r="B77" s="140">
        <f>VLOOKUP($A77,'Data shares'!$C:$FB,7)</f>
        <v>2207.6999999999998</v>
      </c>
      <c r="C77" s="140">
        <f>VLOOKUP($A77,'Data shares'!$C:$FB,3)</f>
        <v>2184.1999999999998</v>
      </c>
      <c r="D77" s="140">
        <f>VLOOKUP($A77,'Data shares'!$C:$FB,4)</f>
        <v>2132.8000000000002</v>
      </c>
      <c r="E77" s="50">
        <f t="shared" si="3"/>
        <v>2.4099774943735759</v>
      </c>
      <c r="F77" s="49">
        <f>VLOOKUP($A77,'Data shares'!$C:$FB,98)</f>
        <v>2614150</v>
      </c>
      <c r="G77" s="49">
        <f>VLOOKUP($A77,'Data shares'!$C:$FB,99)</f>
        <v>1415425</v>
      </c>
      <c r="H77" s="50">
        <f t="shared" si="4"/>
        <v>84.690110744122791</v>
      </c>
      <c r="I77" s="49">
        <f>VLOOKUP($A77,'Data shares'!$C:$FB,66)</f>
        <v>9280975</v>
      </c>
      <c r="J77" s="49">
        <f>VLOOKUP($A77,'Data shares'!$C:$FB,67)</f>
        <v>1609575</v>
      </c>
      <c r="K77" s="50">
        <f t="shared" si="5"/>
        <v>82.657263918930937</v>
      </c>
      <c r="L77" s="50">
        <f>VLOOKUP($A77,'Data shares'!$C:$FB,118)</f>
        <v>0.43</v>
      </c>
      <c r="M77" s="50">
        <f>VLOOKUP($A77,'Data shares'!$C:$FB,119)</f>
        <v>0.41</v>
      </c>
      <c r="N77" s="50">
        <f>VLOOKUP($A77,'Data shares'!$C:$FB,121)*100</f>
        <v>4.88</v>
      </c>
      <c r="O77" s="50">
        <f>VLOOKUP($A77,'Data shares'!$C:$FB,124)</f>
        <v>0.24</v>
      </c>
      <c r="P77" s="50">
        <f>VLOOKUP($A77,'Data shares'!$C:$FB,125)</f>
        <v>0.36</v>
      </c>
      <c r="Q77" s="50">
        <f>VLOOKUP($A77,'Data shares'!$C:$FB,127)*100</f>
        <v>-33.33</v>
      </c>
    </row>
    <row r="78" spans="1:17" x14ac:dyDescent="0.25">
      <c r="A78" s="97" t="str">
        <f>'Data Vlaue (Cr)'!C73</f>
        <v>GODREJCP</v>
      </c>
      <c r="B78" s="140">
        <f>VLOOKUP($A78,'Data shares'!$C:$FB,7)</f>
        <v>1109.4000000000001</v>
      </c>
      <c r="C78" s="140">
        <f>VLOOKUP($A78,'Data shares'!$C:$FB,3)</f>
        <v>1112.6500000000001</v>
      </c>
      <c r="D78" s="140">
        <f>VLOOKUP($A78,'Data shares'!$C:$FB,4)</f>
        <v>1084.75</v>
      </c>
      <c r="E78" s="50">
        <f t="shared" si="3"/>
        <v>2.5720212030421843</v>
      </c>
      <c r="F78" s="49">
        <f>VLOOKUP($A78,'Data shares'!$C:$FB,98)</f>
        <v>15231500</v>
      </c>
      <c r="G78" s="49">
        <f>VLOOKUP($A78,'Data shares'!$C:$FB,99)</f>
        <v>14756000</v>
      </c>
      <c r="H78" s="50">
        <f t="shared" si="4"/>
        <v>3.2224179994578472</v>
      </c>
      <c r="I78" s="49">
        <f>VLOOKUP($A78,'Data shares'!$C:$FB,66)</f>
        <v>9947500</v>
      </c>
      <c r="J78" s="49">
        <f>VLOOKUP($A78,'Data shares'!$C:$FB,67)</f>
        <v>1920000</v>
      </c>
      <c r="K78" s="50">
        <f t="shared" si="5"/>
        <v>80.698668007036943</v>
      </c>
      <c r="L78" s="50">
        <f>VLOOKUP($A78,'Data shares'!$C:$FB,118)</f>
        <v>0.76</v>
      </c>
      <c r="M78" s="50">
        <f>VLOOKUP($A78,'Data shares'!$C:$FB,119)</f>
        <v>0.8</v>
      </c>
      <c r="N78" s="50">
        <f>VLOOKUP($A78,'Data shares'!$C:$FB,121)*100</f>
        <v>-5</v>
      </c>
      <c r="O78" s="50">
        <f>VLOOKUP($A78,'Data shares'!$C:$FB,124)</f>
        <v>0.36</v>
      </c>
      <c r="P78" s="50">
        <f>VLOOKUP($A78,'Data shares'!$C:$FB,125)</f>
        <v>0.56000000000000005</v>
      </c>
      <c r="Q78" s="50">
        <f>VLOOKUP($A78,'Data shares'!$C:$FB,127)*100</f>
        <v>-35.709999999999994</v>
      </c>
    </row>
    <row r="79" spans="1:17" x14ac:dyDescent="0.25">
      <c r="A79" s="97" t="str">
        <f>'Data Vlaue (Cr)'!C74</f>
        <v>GODREJPROP</v>
      </c>
      <c r="B79" s="140">
        <f>VLOOKUP($A79,'Data shares'!$C:$FB,7)</f>
        <v>1758.8</v>
      </c>
      <c r="C79" s="140">
        <f>VLOOKUP($A79,'Data shares'!$C:$FB,3)</f>
        <v>1764</v>
      </c>
      <c r="D79" s="140">
        <f>VLOOKUP($A79,'Data shares'!$C:$FB,4)</f>
        <v>1748.6</v>
      </c>
      <c r="E79" s="50">
        <f t="shared" si="3"/>
        <v>0.88070456365092598</v>
      </c>
      <c r="F79" s="49">
        <f>VLOOKUP($A79,'Data shares'!$C:$FB,98)</f>
        <v>13680425</v>
      </c>
      <c r="G79" s="49">
        <f>VLOOKUP($A79,'Data shares'!$C:$FB,99)</f>
        <v>13583625</v>
      </c>
      <c r="H79" s="50">
        <f t="shared" si="4"/>
        <v>0.71262273509464524</v>
      </c>
      <c r="I79" s="49">
        <f>VLOOKUP($A79,'Data shares'!$C:$FB,66)</f>
        <v>5262125</v>
      </c>
      <c r="J79" s="49">
        <f>VLOOKUP($A79,'Data shares'!$C:$FB,67)</f>
        <v>5221425</v>
      </c>
      <c r="K79" s="50">
        <f t="shared" si="5"/>
        <v>0.77345178991377062</v>
      </c>
      <c r="L79" s="50">
        <f>VLOOKUP($A79,'Data shares'!$C:$FB,118)</f>
        <v>0.94</v>
      </c>
      <c r="M79" s="50">
        <f>VLOOKUP($A79,'Data shares'!$C:$FB,119)</f>
        <v>0.95</v>
      </c>
      <c r="N79" s="50">
        <f>VLOOKUP($A79,'Data shares'!$C:$FB,121)*100</f>
        <v>-1.05</v>
      </c>
      <c r="O79" s="50">
        <f>VLOOKUP($A79,'Data shares'!$C:$FB,124)</f>
        <v>0.82</v>
      </c>
      <c r="P79" s="50">
        <f>VLOOKUP($A79,'Data shares'!$C:$FB,125)</f>
        <v>0.75</v>
      </c>
      <c r="Q79" s="50">
        <f>VLOOKUP($A79,'Data shares'!$C:$FB,127)*100</f>
        <v>9.33</v>
      </c>
    </row>
    <row r="80" spans="1:17" x14ac:dyDescent="0.25">
      <c r="A80" s="97" t="str">
        <f>'Data Vlaue (Cr)'!C75</f>
        <v>GRASIM</v>
      </c>
      <c r="B80" s="140">
        <f>VLOOKUP($A80,'Data shares'!$C:$FB,7)</f>
        <v>2720.5</v>
      </c>
      <c r="C80" s="140">
        <f>VLOOKUP($A80,'Data shares'!$C:$FB,3)</f>
        <v>2726.6</v>
      </c>
      <c r="D80" s="140">
        <f>VLOOKUP($A80,'Data shares'!$C:$FB,4)</f>
        <v>2723.8</v>
      </c>
      <c r="E80" s="50">
        <f t="shared" si="3"/>
        <v>0.10279756222922853</v>
      </c>
      <c r="F80" s="49">
        <f>VLOOKUP($A80,'Data shares'!$C:$FB,98)</f>
        <v>17083750</v>
      </c>
      <c r="G80" s="49">
        <f>VLOOKUP($A80,'Data shares'!$C:$FB,99)</f>
        <v>17102750</v>
      </c>
      <c r="H80" s="50">
        <f t="shared" si="4"/>
        <v>-0.11109324523833886</v>
      </c>
      <c r="I80" s="49">
        <f>VLOOKUP($A80,'Data shares'!$C:$FB,66)</f>
        <v>2267250</v>
      </c>
      <c r="J80" s="49">
        <f>VLOOKUP($A80,'Data shares'!$C:$FB,67)</f>
        <v>8470000</v>
      </c>
      <c r="K80" s="50">
        <f t="shared" si="5"/>
        <v>-273.58032859190649</v>
      </c>
      <c r="L80" s="50">
        <f>VLOOKUP($A80,'Data shares'!$C:$FB,118)</f>
        <v>0.73</v>
      </c>
      <c r="M80" s="50">
        <f>VLOOKUP($A80,'Data shares'!$C:$FB,119)</f>
        <v>0.73</v>
      </c>
      <c r="N80" s="50">
        <f>VLOOKUP($A80,'Data shares'!$C:$FB,121)*100</f>
        <v>0</v>
      </c>
      <c r="O80" s="50">
        <f>VLOOKUP($A80,'Data shares'!$C:$FB,124)</f>
        <v>0.42</v>
      </c>
      <c r="P80" s="50">
        <f>VLOOKUP($A80,'Data shares'!$C:$FB,125)</f>
        <v>0.56000000000000005</v>
      </c>
      <c r="Q80" s="50">
        <f>VLOOKUP($A80,'Data shares'!$C:$FB,127)*100</f>
        <v>-25</v>
      </c>
    </row>
    <row r="81" spans="1:17" x14ac:dyDescent="0.25">
      <c r="A81" s="97" t="str">
        <f>'Data Vlaue (Cr)'!C76</f>
        <v>HAL</v>
      </c>
      <c r="B81" s="140">
        <f>VLOOKUP($A81,'Data shares'!$C:$FB,7)</f>
        <v>4388.1000000000004</v>
      </c>
      <c r="C81" s="140">
        <f>VLOOKUP($A81,'Data shares'!$C:$FB,3)</f>
        <v>4393.3</v>
      </c>
      <c r="D81" s="140">
        <f>VLOOKUP($A81,'Data shares'!$C:$FB,4)</f>
        <v>4376.3999999999996</v>
      </c>
      <c r="E81" s="50">
        <f t="shared" si="3"/>
        <v>0.38616214240015873</v>
      </c>
      <c r="F81" s="49">
        <f>VLOOKUP($A81,'Data shares'!$C:$FB,98)</f>
        <v>14383950</v>
      </c>
      <c r="G81" s="49">
        <f>VLOOKUP($A81,'Data shares'!$C:$FB,99)</f>
        <v>14514600</v>
      </c>
      <c r="H81" s="50">
        <f t="shared" si="4"/>
        <v>-0.90012814683146625</v>
      </c>
      <c r="I81" s="49">
        <f>VLOOKUP($A81,'Data shares'!$C:$FB,66)</f>
        <v>8750700</v>
      </c>
      <c r="J81" s="49">
        <f>VLOOKUP($A81,'Data shares'!$C:$FB,67)</f>
        <v>24316500</v>
      </c>
      <c r="K81" s="50">
        <f t="shared" si="5"/>
        <v>-177.88062669272173</v>
      </c>
      <c r="L81" s="50">
        <f>VLOOKUP($A81,'Data shares'!$C:$FB,118)</f>
        <v>0.95</v>
      </c>
      <c r="M81" s="50">
        <f>VLOOKUP($A81,'Data shares'!$C:$FB,119)</f>
        <v>0.96</v>
      </c>
      <c r="N81" s="50">
        <f>VLOOKUP($A81,'Data shares'!$C:$FB,121)*100</f>
        <v>-1.04</v>
      </c>
      <c r="O81" s="50">
        <f>VLOOKUP($A81,'Data shares'!$C:$FB,124)</f>
        <v>0.65</v>
      </c>
      <c r="P81" s="50">
        <f>VLOOKUP($A81,'Data shares'!$C:$FB,125)</f>
        <v>0.44</v>
      </c>
      <c r="Q81" s="50">
        <f>VLOOKUP($A81,'Data shares'!$C:$FB,127)*100</f>
        <v>47.73</v>
      </c>
    </row>
    <row r="82" spans="1:17" x14ac:dyDescent="0.25">
      <c r="A82" s="97" t="str">
        <f>'Data Vlaue (Cr)'!C77</f>
        <v>HAVELLS</v>
      </c>
      <c r="B82" s="140">
        <f>VLOOKUP($A82,'Data shares'!$C:$FB,7)</f>
        <v>1306.4000000000001</v>
      </c>
      <c r="C82" s="140">
        <f>VLOOKUP($A82,'Data shares'!$C:$FB,3)</f>
        <v>1309.8</v>
      </c>
      <c r="D82" s="140">
        <f>VLOOKUP($A82,'Data shares'!$C:$FB,4)</f>
        <v>1294</v>
      </c>
      <c r="E82" s="50">
        <f t="shared" si="3"/>
        <v>1.2210200927356998</v>
      </c>
      <c r="F82" s="49">
        <f>VLOOKUP($A82,'Data shares'!$C:$FB,98)</f>
        <v>14446500</v>
      </c>
      <c r="G82" s="49">
        <f>VLOOKUP($A82,'Data shares'!$C:$FB,99)</f>
        <v>14057000</v>
      </c>
      <c r="H82" s="50">
        <f t="shared" si="4"/>
        <v>2.7708614924948423</v>
      </c>
      <c r="I82" s="49">
        <f>VLOOKUP($A82,'Data shares'!$C:$FB,66)</f>
        <v>7586500</v>
      </c>
      <c r="J82" s="49">
        <f>VLOOKUP($A82,'Data shares'!$C:$FB,67)</f>
        <v>7356000</v>
      </c>
      <c r="K82" s="50">
        <f t="shared" si="5"/>
        <v>3.038291702366045</v>
      </c>
      <c r="L82" s="50">
        <f>VLOOKUP($A82,'Data shares'!$C:$FB,118)</f>
        <v>0.74</v>
      </c>
      <c r="M82" s="50">
        <f>VLOOKUP($A82,'Data shares'!$C:$FB,119)</f>
        <v>0.74</v>
      </c>
      <c r="N82" s="50">
        <f>VLOOKUP($A82,'Data shares'!$C:$FB,121)*100</f>
        <v>0</v>
      </c>
      <c r="O82" s="50">
        <f>VLOOKUP($A82,'Data shares'!$C:$FB,124)</f>
        <v>0.33</v>
      </c>
      <c r="P82" s="50">
        <f>VLOOKUP($A82,'Data shares'!$C:$FB,125)</f>
        <v>0.44</v>
      </c>
      <c r="Q82" s="50">
        <f>VLOOKUP($A82,'Data shares'!$C:$FB,127)*100</f>
        <v>-25</v>
      </c>
    </row>
    <row r="83" spans="1:17" x14ac:dyDescent="0.25">
      <c r="A83" s="97" t="str">
        <f>'Data Vlaue (Cr)'!C78</f>
        <v>HCLTECH</v>
      </c>
      <c r="B83" s="140">
        <f>VLOOKUP($A83,'Data shares'!$C:$FB,7)</f>
        <v>1442.3</v>
      </c>
      <c r="C83" s="140">
        <f>VLOOKUP($A83,'Data shares'!$C:$FB,3)</f>
        <v>1415.3</v>
      </c>
      <c r="D83" s="140">
        <f>VLOOKUP($A83,'Data shares'!$C:$FB,4)</f>
        <v>1420</v>
      </c>
      <c r="E83" s="50">
        <f t="shared" si="3"/>
        <v>-0.33098591549296097</v>
      </c>
      <c r="F83" s="49">
        <f>VLOOKUP($A83,'Data shares'!$C:$FB,98)</f>
        <v>55914950</v>
      </c>
      <c r="G83" s="49">
        <f>VLOOKUP($A83,'Data shares'!$C:$FB,99)</f>
        <v>53899300</v>
      </c>
      <c r="H83" s="50">
        <f t="shared" si="4"/>
        <v>3.7396589566098259</v>
      </c>
      <c r="I83" s="49">
        <f>VLOOKUP($A83,'Data shares'!$C:$FB,66)</f>
        <v>23090200</v>
      </c>
      <c r="J83" s="49">
        <f>VLOOKUP($A83,'Data shares'!$C:$FB,67)</f>
        <v>34284250</v>
      </c>
      <c r="K83" s="50">
        <f t="shared" si="5"/>
        <v>-48.479658036742862</v>
      </c>
      <c r="L83" s="50">
        <f>VLOOKUP($A83,'Data shares'!$C:$FB,118)</f>
        <v>0.83</v>
      </c>
      <c r="M83" s="50">
        <f>VLOOKUP($A83,'Data shares'!$C:$FB,119)</f>
        <v>0.86</v>
      </c>
      <c r="N83" s="50">
        <f>VLOOKUP($A83,'Data shares'!$C:$FB,121)*100</f>
        <v>-3.49</v>
      </c>
      <c r="O83" s="50">
        <f>VLOOKUP($A83,'Data shares'!$C:$FB,124)</f>
        <v>0.56000000000000005</v>
      </c>
      <c r="P83" s="50">
        <f>VLOOKUP($A83,'Data shares'!$C:$FB,125)</f>
        <v>0.56000000000000005</v>
      </c>
      <c r="Q83" s="50">
        <f>VLOOKUP($A83,'Data shares'!$C:$FB,127)*100</f>
        <v>0</v>
      </c>
    </row>
    <row r="84" spans="1:17" x14ac:dyDescent="0.25">
      <c r="A84" s="97" t="str">
        <f>'Data Vlaue (Cr)'!C79</f>
        <v>HDFCAMC</v>
      </c>
      <c r="B84" s="140">
        <f>VLOOKUP($A84,'Data shares'!$C:$FB,7)</f>
        <v>2792.4</v>
      </c>
      <c r="C84" s="140">
        <f>VLOOKUP($A84,'Data shares'!$C:$FB,3)</f>
        <v>2791.6</v>
      </c>
      <c r="D84" s="140">
        <f>VLOOKUP($A84,'Data shares'!$C:$FB,4)</f>
        <v>2662.2</v>
      </c>
      <c r="E84" s="50">
        <f t="shared" si="3"/>
        <v>4.8606415746375218</v>
      </c>
      <c r="F84" s="49">
        <f>VLOOKUP($A84,'Data shares'!$C:$FB,98)</f>
        <v>10717500</v>
      </c>
      <c r="G84" s="49">
        <f>VLOOKUP($A84,'Data shares'!$C:$FB,99)</f>
        <v>9849000</v>
      </c>
      <c r="H84" s="50">
        <f t="shared" si="4"/>
        <v>8.8181541273225701</v>
      </c>
      <c r="I84" s="49">
        <f>VLOOKUP($A84,'Data shares'!$C:$FB,66)</f>
        <v>32129100</v>
      </c>
      <c r="J84" s="49">
        <f>VLOOKUP($A84,'Data shares'!$C:$FB,67)</f>
        <v>29736000</v>
      </c>
      <c r="K84" s="50">
        <f t="shared" si="5"/>
        <v>7.4483879100254908</v>
      </c>
      <c r="L84" s="50">
        <f>VLOOKUP($A84,'Data shares'!$C:$FB,118)</f>
        <v>0.97</v>
      </c>
      <c r="M84" s="50">
        <f>VLOOKUP($A84,'Data shares'!$C:$FB,119)</f>
        <v>0.7</v>
      </c>
      <c r="N84" s="50">
        <f>VLOOKUP($A84,'Data shares'!$C:$FB,121)*100</f>
        <v>38.57</v>
      </c>
      <c r="O84" s="50">
        <f>VLOOKUP($A84,'Data shares'!$C:$FB,124)</f>
        <v>0.44</v>
      </c>
      <c r="P84" s="50">
        <f>VLOOKUP($A84,'Data shares'!$C:$FB,125)</f>
        <v>0.67</v>
      </c>
      <c r="Q84" s="50">
        <f>VLOOKUP($A84,'Data shares'!$C:$FB,127)*100</f>
        <v>-34.33</v>
      </c>
    </row>
    <row r="85" spans="1:17" x14ac:dyDescent="0.25">
      <c r="A85" s="97" t="str">
        <f>'Data Vlaue (Cr)'!C80</f>
        <v>HDFCBANK</v>
      </c>
      <c r="B85" s="140">
        <f>VLOOKUP($A85,'Data shares'!$C:$FB,7)</f>
        <v>799.9</v>
      </c>
      <c r="C85" s="140">
        <f>VLOOKUP($A85,'Data shares'!$C:$FB,3)</f>
        <v>801.6</v>
      </c>
      <c r="D85" s="140">
        <f>VLOOKUP($A85,'Data shares'!$C:$FB,4)</f>
        <v>795.85</v>
      </c>
      <c r="E85" s="50">
        <f t="shared" si="3"/>
        <v>0.72249795815794426</v>
      </c>
      <c r="F85" s="49">
        <f>VLOOKUP($A85,'Data shares'!$C:$FB,98)</f>
        <v>484162800</v>
      </c>
      <c r="G85" s="49">
        <f>VLOOKUP($A85,'Data shares'!$C:$FB,99)</f>
        <v>457606600</v>
      </c>
      <c r="H85" s="50">
        <f t="shared" si="4"/>
        <v>5.803281683437258</v>
      </c>
      <c r="I85" s="49">
        <f>VLOOKUP($A85,'Data shares'!$C:$FB,66)</f>
        <v>196860400</v>
      </c>
      <c r="J85" s="49">
        <f>VLOOKUP($A85,'Data shares'!$C:$FB,67)</f>
        <v>172828700</v>
      </c>
      <c r="K85" s="50">
        <f t="shared" si="5"/>
        <v>12.207483069220626</v>
      </c>
      <c r="L85" s="50">
        <f>VLOOKUP($A85,'Data shares'!$C:$FB,118)</f>
        <v>0.56999999999999995</v>
      </c>
      <c r="M85" s="50">
        <f>VLOOKUP($A85,'Data shares'!$C:$FB,119)</f>
        <v>0.56000000000000005</v>
      </c>
      <c r="N85" s="50">
        <f>VLOOKUP($A85,'Data shares'!$C:$FB,121)*100</f>
        <v>1.79</v>
      </c>
      <c r="O85" s="50">
        <f>VLOOKUP($A85,'Data shares'!$C:$FB,124)</f>
        <v>0.55000000000000004</v>
      </c>
      <c r="P85" s="50">
        <f>VLOOKUP($A85,'Data shares'!$C:$FB,125)</f>
        <v>0.66</v>
      </c>
      <c r="Q85" s="50">
        <f>VLOOKUP($A85,'Data shares'!$C:$FB,127)*100</f>
        <v>-16.669999999999998</v>
      </c>
    </row>
    <row r="86" spans="1:17" x14ac:dyDescent="0.25">
      <c r="A86" s="97" t="str">
        <f>'Data Vlaue (Cr)'!C81</f>
        <v>HDFCLIFE</v>
      </c>
      <c r="B86" s="140">
        <f>VLOOKUP($A86,'Data shares'!$C:$FB,7)</f>
        <v>616.45000000000005</v>
      </c>
      <c r="C86" s="140">
        <f>VLOOKUP($A86,'Data shares'!$C:$FB,3)</f>
        <v>616.29999999999995</v>
      </c>
      <c r="D86" s="140">
        <f>VLOOKUP($A86,'Data shares'!$C:$FB,4)</f>
        <v>633.1</v>
      </c>
      <c r="E86" s="50">
        <f t="shared" si="3"/>
        <v>-2.6536092244511242</v>
      </c>
      <c r="F86" s="49">
        <f>VLOOKUP($A86,'Data shares'!$C:$FB,98)</f>
        <v>76832800</v>
      </c>
      <c r="G86" s="49">
        <f>VLOOKUP($A86,'Data shares'!$C:$FB,99)</f>
        <v>69154800</v>
      </c>
      <c r="H86" s="50">
        <f t="shared" si="4"/>
        <v>11.102627727937902</v>
      </c>
      <c r="I86" s="49">
        <f>VLOOKUP($A86,'Data shares'!$C:$FB,66)</f>
        <v>112887500</v>
      </c>
      <c r="J86" s="49">
        <f>VLOOKUP($A86,'Data shares'!$C:$FB,67)</f>
        <v>57278100</v>
      </c>
      <c r="K86" s="50">
        <f t="shared" si="5"/>
        <v>49.260901339829473</v>
      </c>
      <c r="L86" s="50">
        <f>VLOOKUP($A86,'Data shares'!$C:$FB,118)</f>
        <v>0.66</v>
      </c>
      <c r="M86" s="50">
        <f>VLOOKUP($A86,'Data shares'!$C:$FB,119)</f>
        <v>0.76</v>
      </c>
      <c r="N86" s="50">
        <f>VLOOKUP($A86,'Data shares'!$C:$FB,121)*100</f>
        <v>-13.16</v>
      </c>
      <c r="O86" s="50">
        <f>VLOOKUP($A86,'Data shares'!$C:$FB,124)</f>
        <v>0.69</v>
      </c>
      <c r="P86" s="50">
        <f>VLOOKUP($A86,'Data shares'!$C:$FB,125)</f>
        <v>0.69</v>
      </c>
      <c r="Q86" s="50">
        <f>VLOOKUP($A86,'Data shares'!$C:$FB,127)*100</f>
        <v>0</v>
      </c>
    </row>
    <row r="87" spans="1:17" x14ac:dyDescent="0.25">
      <c r="A87" s="97" t="str">
        <f>'Data Vlaue (Cr)'!C82</f>
        <v>HEROMOTOCO</v>
      </c>
      <c r="B87" s="140">
        <f>VLOOKUP($A87,'Data shares'!$C:$FB,7)</f>
        <v>5230.5</v>
      </c>
      <c r="C87" s="140">
        <f>VLOOKUP($A87,'Data shares'!$C:$FB,3)</f>
        <v>5244.5</v>
      </c>
      <c r="D87" s="140">
        <f>VLOOKUP($A87,'Data shares'!$C:$FB,4)</f>
        <v>5162.5</v>
      </c>
      <c r="E87" s="50">
        <f t="shared" si="3"/>
        <v>1.5883777239709442</v>
      </c>
      <c r="F87" s="49">
        <f>VLOOKUP($A87,'Data shares'!$C:$FB,98)</f>
        <v>8291100</v>
      </c>
      <c r="G87" s="49">
        <f>VLOOKUP($A87,'Data shares'!$C:$FB,99)</f>
        <v>8687100</v>
      </c>
      <c r="H87" s="50">
        <f t="shared" si="4"/>
        <v>-4.558483268294367</v>
      </c>
      <c r="I87" s="49">
        <f>VLOOKUP($A87,'Data shares'!$C:$FB,66)</f>
        <v>7485750</v>
      </c>
      <c r="J87" s="49">
        <f>VLOOKUP($A87,'Data shares'!$C:$FB,67)</f>
        <v>9380850</v>
      </c>
      <c r="K87" s="50">
        <f t="shared" si="5"/>
        <v>-25.316100591123135</v>
      </c>
      <c r="L87" s="50">
        <f>VLOOKUP($A87,'Data shares'!$C:$FB,118)</f>
        <v>0.6</v>
      </c>
      <c r="M87" s="50">
        <f>VLOOKUP($A87,'Data shares'!$C:$FB,119)</f>
        <v>0.5</v>
      </c>
      <c r="N87" s="50">
        <f>VLOOKUP($A87,'Data shares'!$C:$FB,121)*100</f>
        <v>20</v>
      </c>
      <c r="O87" s="50">
        <f>VLOOKUP($A87,'Data shares'!$C:$FB,124)</f>
        <v>0.39</v>
      </c>
      <c r="P87" s="50">
        <f>VLOOKUP($A87,'Data shares'!$C:$FB,125)</f>
        <v>0.75</v>
      </c>
      <c r="Q87" s="50">
        <f>VLOOKUP($A87,'Data shares'!$C:$FB,127)*100</f>
        <v>-48</v>
      </c>
    </row>
    <row r="88" spans="1:17" x14ac:dyDescent="0.25">
      <c r="A88" s="97" t="str">
        <f>'Data Vlaue (Cr)'!C83</f>
        <v>HINDALCO</v>
      </c>
      <c r="B88" s="140">
        <f>VLOOKUP($A88,'Data shares'!$C:$FB,7)</f>
        <v>1039</v>
      </c>
      <c r="C88" s="140">
        <f>VLOOKUP($A88,'Data shares'!$C:$FB,3)</f>
        <v>1040.95</v>
      </c>
      <c r="D88" s="140">
        <f>VLOOKUP($A88,'Data shares'!$C:$FB,4)</f>
        <v>1039.8</v>
      </c>
      <c r="E88" s="50">
        <f t="shared" si="3"/>
        <v>0.11059819196000105</v>
      </c>
      <c r="F88" s="140">
        <f>VLOOKUP($A88,'Data shares'!$C:$FB,98)</f>
        <v>63815500</v>
      </c>
      <c r="G88" s="140">
        <f>VLOOKUP($A88,'Data shares'!$C:$FB,99)</f>
        <v>65309300</v>
      </c>
      <c r="H88" s="50">
        <f t="shared" si="4"/>
        <v>-2.2872699600210078</v>
      </c>
      <c r="I88" s="49">
        <f>VLOOKUP($A88,'Data shares'!$C:$FB,66)</f>
        <v>41369300</v>
      </c>
      <c r="J88" s="49">
        <f>VLOOKUP($A88,'Data shares'!$C:$FB,67)</f>
        <v>93487100</v>
      </c>
      <c r="K88" s="50">
        <f t="shared" si="5"/>
        <v>-125.9818271036735</v>
      </c>
      <c r="L88" s="50">
        <f>VLOOKUP($A88,'Data shares'!$C:$FB,118)</f>
        <v>0.79</v>
      </c>
      <c r="M88" s="50">
        <f>VLOOKUP($A88,'Data shares'!$C:$FB,119)</f>
        <v>0.86</v>
      </c>
      <c r="N88" s="50">
        <f>VLOOKUP($A88,'Data shares'!$C:$FB,121)*100</f>
        <v>-8.14</v>
      </c>
      <c r="O88" s="50">
        <f>VLOOKUP($A88,'Data shares'!$C:$FB,124)</f>
        <v>0.78</v>
      </c>
      <c r="P88" s="50">
        <f>VLOOKUP($A88,'Data shares'!$C:$FB,125)</f>
        <v>0.51</v>
      </c>
      <c r="Q88" s="50">
        <f>VLOOKUP($A88,'Data shares'!$C:$FB,127)*100</f>
        <v>52.94</v>
      </c>
    </row>
    <row r="89" spans="1:17" x14ac:dyDescent="0.25">
      <c r="A89" s="97" t="str">
        <f>'Data Vlaue (Cr)'!C84</f>
        <v>HINDPETRO</v>
      </c>
      <c r="B89" s="140">
        <f>VLOOKUP($A89,'Data shares'!$C:$FB,7)</f>
        <v>370.85</v>
      </c>
      <c r="C89" s="140">
        <f>VLOOKUP($A89,'Data shares'!$C:$FB,3)</f>
        <v>372.35</v>
      </c>
      <c r="D89" s="140">
        <f>VLOOKUP($A89,'Data shares'!$C:$FB,4)</f>
        <v>370.25</v>
      </c>
      <c r="E89" s="50">
        <f t="shared" si="3"/>
        <v>0.56718433490885156</v>
      </c>
      <c r="F89" s="49">
        <f>VLOOKUP($A89,'Data shares'!$C:$FB,98)</f>
        <v>77899725</v>
      </c>
      <c r="G89" s="49">
        <f>VLOOKUP($A89,'Data shares'!$C:$FB,99)</f>
        <v>77810625</v>
      </c>
      <c r="H89" s="50">
        <f t="shared" si="4"/>
        <v>0.11450878334417697</v>
      </c>
      <c r="I89" s="49">
        <f>VLOOKUP($A89,'Data shares'!$C:$FB,66)</f>
        <v>37808775</v>
      </c>
      <c r="J89" s="49">
        <f>VLOOKUP($A89,'Data shares'!$C:$FB,67)</f>
        <v>31816800</v>
      </c>
      <c r="K89" s="50">
        <f t="shared" si="5"/>
        <v>15.848106689518504</v>
      </c>
      <c r="L89" s="50">
        <f>VLOOKUP($A89,'Data shares'!$C:$FB,118)</f>
        <v>0.84</v>
      </c>
      <c r="M89" s="50">
        <f>VLOOKUP($A89,'Data shares'!$C:$FB,119)</f>
        <v>0.92</v>
      </c>
      <c r="N89" s="50">
        <f>VLOOKUP($A89,'Data shares'!$C:$FB,121)*100</f>
        <v>-8.6999999999999993</v>
      </c>
      <c r="O89" s="50">
        <f>VLOOKUP($A89,'Data shares'!$C:$FB,124)</f>
        <v>0.79</v>
      </c>
      <c r="P89" s="50">
        <f>VLOOKUP($A89,'Data shares'!$C:$FB,125)</f>
        <v>0.65</v>
      </c>
      <c r="Q89" s="50">
        <f>VLOOKUP($A89,'Data shares'!$C:$FB,127)*100</f>
        <v>21.54</v>
      </c>
    </row>
    <row r="90" spans="1:17" x14ac:dyDescent="0.25">
      <c r="A90" s="97" t="str">
        <f>'Data Vlaue (Cr)'!C85</f>
        <v>HINDUNILVR</v>
      </c>
      <c r="B90" s="140">
        <f>VLOOKUP($A90,'Data shares'!$C:$FB,7)</f>
        <v>2240.8000000000002</v>
      </c>
      <c r="C90" s="140">
        <f>VLOOKUP($A90,'Data shares'!$C:$FB,3)</f>
        <v>2240.6999999999998</v>
      </c>
      <c r="D90" s="140">
        <f>VLOOKUP($A90,'Data shares'!$C:$FB,4)</f>
        <v>2145.1999999999998</v>
      </c>
      <c r="E90" s="50">
        <f t="shared" si="3"/>
        <v>4.4517993660264779</v>
      </c>
      <c r="F90" s="49">
        <f>VLOOKUP($A90,'Data shares'!$C:$FB,98)</f>
        <v>29977800</v>
      </c>
      <c r="G90" s="49">
        <f>VLOOKUP($A90,'Data shares'!$C:$FB,99)</f>
        <v>27142800</v>
      </c>
      <c r="H90" s="50">
        <f t="shared" si="4"/>
        <v>10.444758831071223</v>
      </c>
      <c r="I90" s="49">
        <f>VLOOKUP($A90,'Data shares'!$C:$FB,66)</f>
        <v>59895600</v>
      </c>
      <c r="J90" s="49">
        <f>VLOOKUP($A90,'Data shares'!$C:$FB,67)</f>
        <v>9058500</v>
      </c>
      <c r="K90" s="50">
        <f t="shared" si="5"/>
        <v>84.876184561136384</v>
      </c>
      <c r="L90" s="50">
        <f>VLOOKUP($A90,'Data shares'!$C:$FB,118)</f>
        <v>0.7</v>
      </c>
      <c r="M90" s="50">
        <f>VLOOKUP($A90,'Data shares'!$C:$FB,119)</f>
        <v>0.75</v>
      </c>
      <c r="N90" s="50">
        <f>VLOOKUP($A90,'Data shares'!$C:$FB,121)*100</f>
        <v>-6.67</v>
      </c>
      <c r="O90" s="50">
        <f>VLOOKUP($A90,'Data shares'!$C:$FB,124)</f>
        <v>0.42</v>
      </c>
      <c r="P90" s="50">
        <f>VLOOKUP($A90,'Data shares'!$C:$FB,125)</f>
        <v>0.52</v>
      </c>
      <c r="Q90" s="50">
        <f>VLOOKUP($A90,'Data shares'!$C:$FB,127)*100</f>
        <v>-19.23</v>
      </c>
    </row>
    <row r="91" spans="1:17" x14ac:dyDescent="0.25">
      <c r="A91" s="97" t="str">
        <f>'Data Vlaue (Cr)'!C86</f>
        <v>HINDZINC</v>
      </c>
      <c r="B91" s="140">
        <f>VLOOKUP($A91,'Data shares'!$C:$FB,7)</f>
        <v>592.29999999999995</v>
      </c>
      <c r="C91" s="140">
        <f>VLOOKUP($A91,'Data shares'!$C:$FB,3)</f>
        <v>593.20000000000005</v>
      </c>
      <c r="D91" s="140">
        <f>VLOOKUP($A91,'Data shares'!$C:$FB,4)</f>
        <v>594.29999999999995</v>
      </c>
      <c r="E91" s="50">
        <f t="shared" si="3"/>
        <v>-0.18509170452631821</v>
      </c>
      <c r="F91" s="49">
        <f>VLOOKUP($A91,'Data shares'!$C:$FB,98)</f>
        <v>74200700</v>
      </c>
      <c r="G91" s="49">
        <f>VLOOKUP($A91,'Data shares'!$C:$FB,99)</f>
        <v>72510200</v>
      </c>
      <c r="H91" s="50">
        <f t="shared" si="4"/>
        <v>2.3313961346127856</v>
      </c>
      <c r="I91" s="49">
        <f>VLOOKUP($A91,'Data shares'!$C:$FB,66)</f>
        <v>31339175</v>
      </c>
      <c r="J91" s="49">
        <f>VLOOKUP($A91,'Data shares'!$C:$FB,67)</f>
        <v>81645025</v>
      </c>
      <c r="K91" s="50">
        <f t="shared" si="5"/>
        <v>-160.52065824961889</v>
      </c>
      <c r="L91" s="50">
        <f>VLOOKUP($A91,'Data shares'!$C:$FB,118)</f>
        <v>0.8</v>
      </c>
      <c r="M91" s="50">
        <f>VLOOKUP($A91,'Data shares'!$C:$FB,119)</f>
        <v>0.83</v>
      </c>
      <c r="N91" s="50">
        <f>VLOOKUP($A91,'Data shares'!$C:$FB,121)*100</f>
        <v>-3.61</v>
      </c>
      <c r="O91" s="50">
        <f>VLOOKUP($A91,'Data shares'!$C:$FB,124)</f>
        <v>0.6</v>
      </c>
      <c r="P91" s="50">
        <f>VLOOKUP($A91,'Data shares'!$C:$FB,125)</f>
        <v>0.44</v>
      </c>
      <c r="Q91" s="50">
        <f>VLOOKUP($A91,'Data shares'!$C:$FB,127)*100</f>
        <v>36.36</v>
      </c>
    </row>
    <row r="92" spans="1:17" x14ac:dyDescent="0.25">
      <c r="A92" s="97" t="str">
        <f>'Data Vlaue (Cr)'!C87</f>
        <v>HUDCO</v>
      </c>
      <c r="B92" s="140">
        <f>VLOOKUP($A92,'Data shares'!$C:$FB,7)</f>
        <v>196.91</v>
      </c>
      <c r="C92" s="140">
        <f>VLOOKUP($A92,'Data shares'!$C:$FB,3)</f>
        <v>197.6</v>
      </c>
      <c r="D92" s="140">
        <f>VLOOKUP($A92,'Data shares'!$C:$FB,4)</f>
        <v>194.54</v>
      </c>
      <c r="E92" s="50">
        <f t="shared" si="3"/>
        <v>1.5729412974195549</v>
      </c>
      <c r="F92" s="49">
        <f>VLOOKUP($A92,'Data shares'!$C:$FB,98)</f>
        <v>48745650</v>
      </c>
      <c r="G92" s="49">
        <f>VLOOKUP($A92,'Data shares'!$C:$FB,99)</f>
        <v>49644750</v>
      </c>
      <c r="H92" s="50">
        <f t="shared" si="4"/>
        <v>-1.811067635550587</v>
      </c>
      <c r="I92" s="49">
        <f>VLOOKUP($A92,'Data shares'!$C:$FB,66)</f>
        <v>45584925</v>
      </c>
      <c r="J92" s="49">
        <f>VLOOKUP($A92,'Data shares'!$C:$FB,67)</f>
        <v>43697925</v>
      </c>
      <c r="K92" s="50">
        <f t="shared" si="5"/>
        <v>4.139526389480733</v>
      </c>
      <c r="L92" s="50">
        <f>VLOOKUP($A92,'Data shares'!$C:$FB,118)</f>
        <v>0.89</v>
      </c>
      <c r="M92" s="50">
        <f>VLOOKUP($A92,'Data shares'!$C:$FB,119)</f>
        <v>0.8</v>
      </c>
      <c r="N92" s="50">
        <f>VLOOKUP($A92,'Data shares'!$C:$FB,121)*100</f>
        <v>11.25</v>
      </c>
      <c r="O92" s="50">
        <f>VLOOKUP($A92,'Data shares'!$C:$FB,124)</f>
        <v>0.56999999999999995</v>
      </c>
      <c r="P92" s="50">
        <f>VLOOKUP($A92,'Data shares'!$C:$FB,125)</f>
        <v>0.4</v>
      </c>
      <c r="Q92" s="50">
        <f>VLOOKUP($A92,'Data shares'!$C:$FB,127)*100</f>
        <v>42.5</v>
      </c>
    </row>
    <row r="93" spans="1:17" x14ac:dyDescent="0.25">
      <c r="A93" s="97" t="str">
        <f>'Data Vlaue (Cr)'!C88</f>
        <v>HYUNDAI</v>
      </c>
      <c r="B93" s="140">
        <f>VLOOKUP($A93,'Data shares'!$C:$FB,7)</f>
        <v>1902.8</v>
      </c>
      <c r="C93" s="140">
        <f>VLOOKUP($A93,'Data shares'!$C:$FB,3)</f>
        <v>1869.4</v>
      </c>
      <c r="D93" s="140">
        <f>VLOOKUP($A93,'Data shares'!$C:$FB,4)</f>
        <v>1854.5</v>
      </c>
      <c r="E93" s="50">
        <f t="shared" si="3"/>
        <v>0.80345106497708763</v>
      </c>
      <c r="F93" s="49">
        <f>VLOOKUP($A93,'Data shares'!$C:$FB,98)</f>
        <v>9905500</v>
      </c>
      <c r="G93" s="49">
        <f>VLOOKUP($A93,'Data shares'!$C:$FB,99)</f>
        <v>9766625</v>
      </c>
      <c r="H93" s="50">
        <f t="shared" si="4"/>
        <v>1.4219343939180629</v>
      </c>
      <c r="I93" s="49">
        <f>VLOOKUP($A93,'Data shares'!$C:$FB,66)</f>
        <v>7158800</v>
      </c>
      <c r="J93" s="49">
        <f>VLOOKUP($A93,'Data shares'!$C:$FB,67)</f>
        <v>9130000</v>
      </c>
      <c r="K93" s="50">
        <f t="shared" si="5"/>
        <v>-27.535341118623236</v>
      </c>
      <c r="L93" s="50">
        <f>VLOOKUP($A93,'Data shares'!$C:$FB,118)</f>
        <v>0.66</v>
      </c>
      <c r="M93" s="50">
        <f>VLOOKUP($A93,'Data shares'!$C:$FB,119)</f>
        <v>0.51</v>
      </c>
      <c r="N93" s="50">
        <f>VLOOKUP($A93,'Data shares'!$C:$FB,121)*100</f>
        <v>29.409999999999997</v>
      </c>
      <c r="O93" s="50">
        <f>VLOOKUP($A93,'Data shares'!$C:$FB,124)</f>
        <v>0.24</v>
      </c>
      <c r="P93" s="50">
        <f>VLOOKUP($A93,'Data shares'!$C:$FB,125)</f>
        <v>0.22</v>
      </c>
      <c r="Q93" s="50">
        <f>VLOOKUP($A93,'Data shares'!$C:$FB,127)*100</f>
        <v>9.09</v>
      </c>
    </row>
    <row r="94" spans="1:17" x14ac:dyDescent="0.25">
      <c r="A94" s="97" t="str">
        <f>'Data Vlaue (Cr)'!C89</f>
        <v>ICICIBANK</v>
      </c>
      <c r="B94" s="140">
        <f>VLOOKUP($A94,'Data shares'!$C:$FB,7)</f>
        <v>1346.8</v>
      </c>
      <c r="C94" s="140">
        <f>VLOOKUP($A94,'Data shares'!$C:$FB,3)</f>
        <v>1351.6</v>
      </c>
      <c r="D94" s="140">
        <f>VLOOKUP($A94,'Data shares'!$C:$FB,4)</f>
        <v>1348.1</v>
      </c>
      <c r="E94" s="50">
        <f t="shared" si="3"/>
        <v>0.25962465692456049</v>
      </c>
      <c r="F94" s="49">
        <f>VLOOKUP($A94,'Data shares'!$C:$FB,98)</f>
        <v>171844400</v>
      </c>
      <c r="G94" s="49">
        <f>VLOOKUP($A94,'Data shares'!$C:$FB,99)</f>
        <v>159312300</v>
      </c>
      <c r="H94" s="50">
        <f t="shared" si="4"/>
        <v>7.8663731551173388</v>
      </c>
      <c r="I94" s="49">
        <f>VLOOKUP($A94,'Data shares'!$C:$FB,66)</f>
        <v>116723600</v>
      </c>
      <c r="J94" s="49">
        <f>VLOOKUP($A94,'Data shares'!$C:$FB,67)</f>
        <v>90812400</v>
      </c>
      <c r="K94" s="50">
        <f t="shared" si="5"/>
        <v>22.198767001703168</v>
      </c>
      <c r="L94" s="50">
        <f>VLOOKUP($A94,'Data shares'!$C:$FB,118)</f>
        <v>0.83</v>
      </c>
      <c r="M94" s="50">
        <f>VLOOKUP($A94,'Data shares'!$C:$FB,119)</f>
        <v>0.81</v>
      </c>
      <c r="N94" s="50">
        <f>VLOOKUP($A94,'Data shares'!$C:$FB,121)*100</f>
        <v>2.4699999999999998</v>
      </c>
      <c r="O94" s="50">
        <f>VLOOKUP($A94,'Data shares'!$C:$FB,124)</f>
        <v>0.68</v>
      </c>
      <c r="P94" s="50">
        <f>VLOOKUP($A94,'Data shares'!$C:$FB,125)</f>
        <v>0.61</v>
      </c>
      <c r="Q94" s="50">
        <f>VLOOKUP($A94,'Data shares'!$C:$FB,127)*100</f>
        <v>11.48</v>
      </c>
    </row>
    <row r="95" spans="1:17" x14ac:dyDescent="0.25">
      <c r="A95" s="97" t="str">
        <f>'Data Vlaue (Cr)'!C90</f>
        <v>ICICIGI</v>
      </c>
      <c r="B95" s="140">
        <f>VLOOKUP($A95,'Data shares'!$C:$FB,7)</f>
        <v>1891.6</v>
      </c>
      <c r="C95" s="140">
        <f>VLOOKUP($A95,'Data shares'!$C:$FB,3)</f>
        <v>1890.9</v>
      </c>
      <c r="D95" s="140">
        <f>VLOOKUP($A95,'Data shares'!$C:$FB,4)</f>
        <v>1886.2</v>
      </c>
      <c r="E95" s="50">
        <f t="shared" si="3"/>
        <v>0.24917824196798036</v>
      </c>
      <c r="F95" s="49">
        <f>VLOOKUP($A95,'Data shares'!$C:$FB,98)</f>
        <v>8403200</v>
      </c>
      <c r="G95" s="49">
        <f>VLOOKUP($A95,'Data shares'!$C:$FB,99)</f>
        <v>8849750</v>
      </c>
      <c r="H95" s="50">
        <f t="shared" si="4"/>
        <v>-5.0459052515607787</v>
      </c>
      <c r="I95" s="49">
        <f>VLOOKUP($A95,'Data shares'!$C:$FB,66)</f>
        <v>4885725</v>
      </c>
      <c r="J95" s="49">
        <f>VLOOKUP($A95,'Data shares'!$C:$FB,67)</f>
        <v>23589150</v>
      </c>
      <c r="K95" s="50">
        <f t="shared" si="5"/>
        <v>-382.81780083815607</v>
      </c>
      <c r="L95" s="50">
        <f>VLOOKUP($A95,'Data shares'!$C:$FB,118)</f>
        <v>0.88</v>
      </c>
      <c r="M95" s="50">
        <f>VLOOKUP($A95,'Data shares'!$C:$FB,119)</f>
        <v>0.92</v>
      </c>
      <c r="N95" s="50">
        <f>VLOOKUP($A95,'Data shares'!$C:$FB,121)*100</f>
        <v>-4.3499999999999996</v>
      </c>
      <c r="O95" s="50">
        <f>VLOOKUP($A95,'Data shares'!$C:$FB,124)</f>
        <v>0.65</v>
      </c>
      <c r="P95" s="50">
        <f>VLOOKUP($A95,'Data shares'!$C:$FB,125)</f>
        <v>0.54</v>
      </c>
      <c r="Q95" s="50">
        <f>VLOOKUP($A95,'Data shares'!$C:$FB,127)*100</f>
        <v>20.369999999999997</v>
      </c>
    </row>
    <row r="96" spans="1:17" x14ac:dyDescent="0.25">
      <c r="A96" s="97" t="str">
        <f>'Data Vlaue (Cr)'!C91</f>
        <v>ICICIPRULI</v>
      </c>
      <c r="B96" s="140">
        <f>VLOOKUP($A96,'Data shares'!$C:$FB,7)</f>
        <v>562</v>
      </c>
      <c r="C96" s="140">
        <f>VLOOKUP($A96,'Data shares'!$C:$FB,3)</f>
        <v>562.75</v>
      </c>
      <c r="D96" s="140">
        <f>VLOOKUP($A96,'Data shares'!$C:$FB,4)</f>
        <v>560</v>
      </c>
      <c r="E96" s="50">
        <f t="shared" si="3"/>
        <v>0.49107142857142855</v>
      </c>
      <c r="F96" s="49">
        <f>VLOOKUP($A96,'Data shares'!$C:$FB,98)</f>
        <v>32592375</v>
      </c>
      <c r="G96" s="49">
        <f>VLOOKUP($A96,'Data shares'!$C:$FB,99)</f>
        <v>31468500</v>
      </c>
      <c r="H96" s="50">
        <f t="shared" si="4"/>
        <v>3.5714285714285712</v>
      </c>
      <c r="I96" s="49">
        <f>VLOOKUP($A96,'Data shares'!$C:$FB,66)</f>
        <v>18208625</v>
      </c>
      <c r="J96" s="49">
        <f>VLOOKUP($A96,'Data shares'!$C:$FB,67)</f>
        <v>17456600</v>
      </c>
      <c r="K96" s="50">
        <f t="shared" si="5"/>
        <v>4.1300482600965198</v>
      </c>
      <c r="L96" s="50">
        <f>VLOOKUP($A96,'Data shares'!$C:$FB,118)</f>
        <v>0.71</v>
      </c>
      <c r="M96" s="50">
        <f>VLOOKUP($A96,'Data shares'!$C:$FB,119)</f>
        <v>0.66</v>
      </c>
      <c r="N96" s="50">
        <f>VLOOKUP($A96,'Data shares'!$C:$FB,121)*100</f>
        <v>7.580000000000001</v>
      </c>
      <c r="O96" s="50">
        <f>VLOOKUP($A96,'Data shares'!$C:$FB,124)</f>
        <v>0.55000000000000004</v>
      </c>
      <c r="P96" s="50">
        <f>VLOOKUP($A96,'Data shares'!$C:$FB,125)</f>
        <v>0.38</v>
      </c>
      <c r="Q96" s="50">
        <f>VLOOKUP($A96,'Data shares'!$C:$FB,127)*100</f>
        <v>44.74</v>
      </c>
    </row>
    <row r="97" spans="1:17" x14ac:dyDescent="0.25">
      <c r="A97" s="97" t="str">
        <f>'Data Vlaue (Cr)'!C92</f>
        <v>IDEA</v>
      </c>
      <c r="B97" s="140">
        <f>VLOOKUP($A97,'Data shares'!$C:$FB,7)</f>
        <v>9.61</v>
      </c>
      <c r="C97" s="140">
        <f>VLOOKUP($A97,'Data shares'!$C:$FB,3)</f>
        <v>9.61</v>
      </c>
      <c r="D97" s="140">
        <f>VLOOKUP($A97,'Data shares'!$C:$FB,4)</f>
        <v>9.5299999999999994</v>
      </c>
      <c r="E97" s="50">
        <f t="shared" si="3"/>
        <v>0.83945435466946561</v>
      </c>
      <c r="F97" s="49">
        <f>VLOOKUP($A97,'Data shares'!$C:$FB,98)</f>
        <v>8756044875</v>
      </c>
      <c r="G97" s="49">
        <f>VLOOKUP($A97,'Data shares'!$C:$FB,99)</f>
        <v>8754972750</v>
      </c>
      <c r="H97" s="50">
        <f t="shared" si="4"/>
        <v>1.224589762429586E-2</v>
      </c>
      <c r="I97" s="49">
        <f>VLOOKUP($A97,'Data shares'!$C:$FB,66)</f>
        <v>1973067375</v>
      </c>
      <c r="J97" s="49">
        <f>VLOOKUP($A97,'Data shares'!$C:$FB,67)</f>
        <v>1770292800</v>
      </c>
      <c r="K97" s="50">
        <f t="shared" si="5"/>
        <v>10.277123709472921</v>
      </c>
      <c r="L97" s="50">
        <f>VLOOKUP($A97,'Data shares'!$C:$FB,118)</f>
        <v>0.52</v>
      </c>
      <c r="M97" s="50">
        <f>VLOOKUP($A97,'Data shares'!$C:$FB,119)</f>
        <v>0.53</v>
      </c>
      <c r="N97" s="50">
        <f>VLOOKUP($A97,'Data shares'!$C:$FB,121)*100</f>
        <v>-1.8900000000000001</v>
      </c>
      <c r="O97" s="50">
        <f>VLOOKUP($A97,'Data shares'!$C:$FB,124)</f>
        <v>0.38</v>
      </c>
      <c r="P97" s="50">
        <f>VLOOKUP($A97,'Data shares'!$C:$FB,125)</f>
        <v>0.36</v>
      </c>
      <c r="Q97" s="50">
        <f>VLOOKUP($A97,'Data shares'!$C:$FB,127)*100</f>
        <v>5.56</v>
      </c>
    </row>
    <row r="98" spans="1:17" x14ac:dyDescent="0.25">
      <c r="A98" s="97" t="str">
        <f>'Data Vlaue (Cr)'!C93</f>
        <v>IDFCFIRSTB</v>
      </c>
      <c r="B98" s="140">
        <f>VLOOKUP($A98,'Data shares'!$C:$FB,7)</f>
        <v>68.53</v>
      </c>
      <c r="C98" s="140">
        <f>VLOOKUP($A98,'Data shares'!$C:$FB,3)</f>
        <v>68.55</v>
      </c>
      <c r="D98" s="140">
        <f>VLOOKUP($A98,'Data shares'!$C:$FB,4)</f>
        <v>67.89</v>
      </c>
      <c r="E98" s="50">
        <f t="shared" si="3"/>
        <v>0.97216084843128081</v>
      </c>
      <c r="F98" s="49">
        <f>VLOOKUP($A98,'Data shares'!$C:$FB,98)</f>
        <v>651002975</v>
      </c>
      <c r="G98" s="49">
        <f>VLOOKUP($A98,'Data shares'!$C:$FB,99)</f>
        <v>651216300</v>
      </c>
      <c r="H98" s="50">
        <f t="shared" si="4"/>
        <v>-3.2757933116846126E-2</v>
      </c>
      <c r="I98" s="49">
        <f>VLOOKUP($A98,'Data shares'!$C:$FB,66)</f>
        <v>215634475</v>
      </c>
      <c r="J98" s="49">
        <f>VLOOKUP($A98,'Data shares'!$C:$FB,67)</f>
        <v>295584975</v>
      </c>
      <c r="K98" s="50">
        <f t="shared" si="5"/>
        <v>-37.076863521011653</v>
      </c>
      <c r="L98" s="50">
        <f>VLOOKUP($A98,'Data shares'!$C:$FB,118)</f>
        <v>0.93</v>
      </c>
      <c r="M98" s="50">
        <f>VLOOKUP($A98,'Data shares'!$C:$FB,119)</f>
        <v>0.93</v>
      </c>
      <c r="N98" s="50">
        <f>VLOOKUP($A98,'Data shares'!$C:$FB,121)*100</f>
        <v>0</v>
      </c>
      <c r="O98" s="50">
        <f>VLOOKUP($A98,'Data shares'!$C:$FB,124)</f>
        <v>0.88</v>
      </c>
      <c r="P98" s="50">
        <f>VLOOKUP($A98,'Data shares'!$C:$FB,125)</f>
        <v>0.81</v>
      </c>
      <c r="Q98" s="50">
        <f>VLOOKUP($A98,'Data shares'!$C:$FB,127)*100</f>
        <v>8.64</v>
      </c>
    </row>
    <row r="99" spans="1:17" x14ac:dyDescent="0.25">
      <c r="A99" s="97" t="str">
        <f>'Data Vlaue (Cr)'!C94</f>
        <v>IEX</v>
      </c>
      <c r="B99" s="140">
        <f>VLOOKUP($A99,'Data shares'!$C:$FB,7)</f>
        <v>135.81</v>
      </c>
      <c r="C99" s="140">
        <f>VLOOKUP($A99,'Data shares'!$C:$FB,3)</f>
        <v>135.82</v>
      </c>
      <c r="D99" s="140">
        <f>VLOOKUP($A99,'Data shares'!$C:$FB,4)</f>
        <v>134.9</v>
      </c>
      <c r="E99" s="50">
        <f t="shared" si="3"/>
        <v>0.6819866567827928</v>
      </c>
      <c r="F99" s="49">
        <f>VLOOKUP($A99,'Data shares'!$C:$FB,98)</f>
        <v>138453750</v>
      </c>
      <c r="G99" s="49">
        <f>VLOOKUP($A99,'Data shares'!$C:$FB,99)</f>
        <v>142417500</v>
      </c>
      <c r="H99" s="50">
        <f t="shared" si="4"/>
        <v>-2.7831902680499234</v>
      </c>
      <c r="I99" s="49">
        <f>VLOOKUP($A99,'Data shares'!$C:$FB,66)</f>
        <v>65677500</v>
      </c>
      <c r="J99" s="49">
        <f>VLOOKUP($A99,'Data shares'!$C:$FB,67)</f>
        <v>48663750</v>
      </c>
      <c r="K99" s="50">
        <f t="shared" si="5"/>
        <v>25.9049902934795</v>
      </c>
      <c r="L99" s="50">
        <f>VLOOKUP($A99,'Data shares'!$C:$FB,118)</f>
        <v>0.93</v>
      </c>
      <c r="M99" s="50">
        <f>VLOOKUP($A99,'Data shares'!$C:$FB,119)</f>
        <v>0.83</v>
      </c>
      <c r="N99" s="50">
        <f>VLOOKUP($A99,'Data shares'!$C:$FB,121)*100</f>
        <v>12.049999999999999</v>
      </c>
      <c r="O99" s="50">
        <f>VLOOKUP($A99,'Data shares'!$C:$FB,124)</f>
        <v>0.44</v>
      </c>
      <c r="P99" s="50">
        <f>VLOOKUP($A99,'Data shares'!$C:$FB,125)</f>
        <v>0.57999999999999996</v>
      </c>
      <c r="Q99" s="50">
        <f>VLOOKUP($A99,'Data shares'!$C:$FB,127)*100</f>
        <v>-24.14</v>
      </c>
    </row>
    <row r="100" spans="1:17" x14ac:dyDescent="0.25">
      <c r="A100" s="97" t="str">
        <f>'Data Vlaue (Cr)'!C95</f>
        <v>INDHOTEL</v>
      </c>
      <c r="B100" s="140">
        <f>VLOOKUP($A100,'Data shares'!$C:$FB,7)</f>
        <v>659.3</v>
      </c>
      <c r="C100" s="140">
        <f>VLOOKUP($A100,'Data shares'!$C:$FB,3)</f>
        <v>659.55</v>
      </c>
      <c r="D100" s="140">
        <f>VLOOKUP($A100,'Data shares'!$C:$FB,4)</f>
        <v>653.04999999999995</v>
      </c>
      <c r="E100" s="50">
        <f t="shared" si="3"/>
        <v>0.99532960722762431</v>
      </c>
      <c r="F100" s="49">
        <f>VLOOKUP($A100,'Data shares'!$C:$FB,98)</f>
        <v>34118000</v>
      </c>
      <c r="G100" s="49">
        <f>VLOOKUP($A100,'Data shares'!$C:$FB,99)</f>
        <v>34101000</v>
      </c>
      <c r="H100" s="50">
        <f t="shared" si="4"/>
        <v>4.9851910501158322E-2</v>
      </c>
      <c r="I100" s="49">
        <f>VLOOKUP($A100,'Data shares'!$C:$FB,66)</f>
        <v>15126000</v>
      </c>
      <c r="J100" s="49">
        <f>VLOOKUP($A100,'Data shares'!$C:$FB,67)</f>
        <v>17323000</v>
      </c>
      <c r="K100" s="50">
        <f t="shared" si="5"/>
        <v>-14.524659526642866</v>
      </c>
      <c r="L100" s="50">
        <f>VLOOKUP($A100,'Data shares'!$C:$FB,118)</f>
        <v>0.97</v>
      </c>
      <c r="M100" s="50">
        <f>VLOOKUP($A100,'Data shares'!$C:$FB,119)</f>
        <v>1.02</v>
      </c>
      <c r="N100" s="50">
        <f>VLOOKUP($A100,'Data shares'!$C:$FB,121)*100</f>
        <v>-4.9000000000000004</v>
      </c>
      <c r="O100" s="50">
        <f>VLOOKUP($A100,'Data shares'!$C:$FB,124)</f>
        <v>0.68</v>
      </c>
      <c r="P100" s="50">
        <f>VLOOKUP($A100,'Data shares'!$C:$FB,125)</f>
        <v>0.44</v>
      </c>
      <c r="Q100" s="50">
        <f>VLOOKUP($A100,'Data shares'!$C:$FB,127)*100</f>
        <v>54.55</v>
      </c>
    </row>
    <row r="101" spans="1:17" x14ac:dyDescent="0.25">
      <c r="A101" s="97" t="str">
        <f>'Data Vlaue (Cr)'!C96</f>
        <v>INDIANB</v>
      </c>
      <c r="B101" s="140">
        <f>VLOOKUP($A101,'Data shares'!$C:$FB,7)</f>
        <v>939.45</v>
      </c>
      <c r="C101" s="140">
        <f>VLOOKUP($A101,'Data shares'!$C:$FB,3)</f>
        <v>942.25</v>
      </c>
      <c r="D101" s="140">
        <f>VLOOKUP($A101,'Data shares'!$C:$FB,4)</f>
        <v>943.6</v>
      </c>
      <c r="E101" s="50">
        <f t="shared" si="3"/>
        <v>-0.14306909707503421</v>
      </c>
      <c r="F101" s="49">
        <f>VLOOKUP($A101,'Data shares'!$C:$FB,98)</f>
        <v>19614000</v>
      </c>
      <c r="G101" s="49">
        <f>VLOOKUP($A101,'Data shares'!$C:$FB,99)</f>
        <v>19705000</v>
      </c>
      <c r="H101" s="50">
        <f t="shared" si="4"/>
        <v>-0.46181172291296629</v>
      </c>
      <c r="I101" s="49">
        <f>VLOOKUP($A101,'Data shares'!$C:$FB,66)</f>
        <v>9866000</v>
      </c>
      <c r="J101" s="49">
        <f>VLOOKUP($A101,'Data shares'!$C:$FB,67)</f>
        <v>15907000</v>
      </c>
      <c r="K101" s="50">
        <f t="shared" si="5"/>
        <v>-61.230488546523411</v>
      </c>
      <c r="L101" s="50">
        <f>VLOOKUP($A101,'Data shares'!$C:$FB,118)</f>
        <v>0.53</v>
      </c>
      <c r="M101" s="50">
        <f>VLOOKUP($A101,'Data shares'!$C:$FB,119)</f>
        <v>0.52</v>
      </c>
      <c r="N101" s="50">
        <f>VLOOKUP($A101,'Data shares'!$C:$FB,121)*100</f>
        <v>1.92</v>
      </c>
      <c r="O101" s="50">
        <f>VLOOKUP($A101,'Data shares'!$C:$FB,124)</f>
        <v>0.35</v>
      </c>
      <c r="P101" s="50">
        <f>VLOOKUP($A101,'Data shares'!$C:$FB,125)</f>
        <v>0.4</v>
      </c>
      <c r="Q101" s="50">
        <f>VLOOKUP($A101,'Data shares'!$C:$FB,127)*100</f>
        <v>-12.5</v>
      </c>
    </row>
    <row r="102" spans="1:17" x14ac:dyDescent="0.25">
      <c r="A102" s="97" t="str">
        <f>'Data Vlaue (Cr)'!C97</f>
        <v>INDIAVIX</v>
      </c>
      <c r="B102" s="140">
        <f>VLOOKUP($A102,'Data shares'!$C:$FB,7)</f>
        <v>17.2</v>
      </c>
      <c r="C102" s="140">
        <f>VLOOKUP($A102,'Data shares'!$C:$FB,3)</f>
        <v>17.2</v>
      </c>
      <c r="D102" s="140">
        <f>VLOOKUP($A102,'Data shares'!$C:$FB,4)</f>
        <v>18.09</v>
      </c>
      <c r="E102" s="50">
        <f t="shared" si="3"/>
        <v>-4.919845218352684</v>
      </c>
      <c r="F102" s="49">
        <f>VLOOKUP($A102,'Data shares'!$C:$FB,98)</f>
        <v>0</v>
      </c>
      <c r="G102" s="49">
        <f>VLOOKUP($A102,'Data shares'!$C:$FB,99)</f>
        <v>0</v>
      </c>
      <c r="H102" s="50" t="e">
        <f t="shared" si="4"/>
        <v>#DIV/0!</v>
      </c>
      <c r="I102" s="49">
        <f>VLOOKUP($A102,'Data shares'!$C:$FB,66)</f>
        <v>0</v>
      </c>
      <c r="J102" s="49">
        <f>VLOOKUP($A102,'Data shares'!$C:$FB,67)</f>
        <v>0</v>
      </c>
      <c r="K102" s="50" t="e">
        <f t="shared" si="5"/>
        <v>#DIV/0!</v>
      </c>
      <c r="L102" s="50">
        <f>VLOOKUP($A102,'Data shares'!$C:$FB,118)</f>
        <v>0</v>
      </c>
      <c r="M102" s="50">
        <f>VLOOKUP($A102,'Data shares'!$C:$FB,119)</f>
        <v>0</v>
      </c>
      <c r="N102" s="50">
        <f>VLOOKUP($A102,'Data shares'!$C:$FB,121)*100</f>
        <v>0</v>
      </c>
      <c r="O102" s="50">
        <f>VLOOKUP($A102,'Data shares'!$C:$FB,124)</f>
        <v>0</v>
      </c>
      <c r="P102" s="50">
        <f>VLOOKUP($A102,'Data shares'!$C:$FB,125)</f>
        <v>0</v>
      </c>
      <c r="Q102" s="50">
        <f>VLOOKUP($A102,'Data shares'!$C:$FB,127)*100</f>
        <v>0</v>
      </c>
    </row>
    <row r="103" spans="1:17" x14ac:dyDescent="0.25">
      <c r="A103" s="97" t="str">
        <f>'Data Vlaue (Cr)'!C98</f>
        <v>INDIGO</v>
      </c>
      <c r="B103" s="140">
        <f>VLOOKUP($A103,'Data shares'!$C:$FB,7)</f>
        <v>4638.3999999999996</v>
      </c>
      <c r="C103" s="140">
        <f>VLOOKUP($A103,'Data shares'!$C:$FB,3)</f>
        <v>4647.8999999999996</v>
      </c>
      <c r="D103" s="140">
        <f>VLOOKUP($A103,'Data shares'!$C:$FB,4)</f>
        <v>4624.2</v>
      </c>
      <c r="E103" s="50">
        <f t="shared" si="3"/>
        <v>0.51252108472816527</v>
      </c>
      <c r="F103" s="49">
        <f>VLOOKUP($A103,'Data shares'!$C:$FB,98)</f>
        <v>17672400</v>
      </c>
      <c r="G103" s="49">
        <f>VLOOKUP($A103,'Data shares'!$C:$FB,99)</f>
        <v>17573100</v>
      </c>
      <c r="H103" s="50">
        <f t="shared" si="4"/>
        <v>0.56506820082967724</v>
      </c>
      <c r="I103" s="49">
        <f>VLOOKUP($A103,'Data shares'!$C:$FB,66)</f>
        <v>8943000</v>
      </c>
      <c r="J103" s="49">
        <f>VLOOKUP($A103,'Data shares'!$C:$FB,67)</f>
        <v>10398450</v>
      </c>
      <c r="K103" s="50">
        <f t="shared" si="5"/>
        <v>-16.274740020127474</v>
      </c>
      <c r="L103" s="50">
        <f>VLOOKUP($A103,'Data shares'!$C:$FB,118)</f>
        <v>0.69</v>
      </c>
      <c r="M103" s="50">
        <f>VLOOKUP($A103,'Data shares'!$C:$FB,119)</f>
        <v>0.7</v>
      </c>
      <c r="N103" s="50">
        <f>VLOOKUP($A103,'Data shares'!$C:$FB,121)*100</f>
        <v>-1.43</v>
      </c>
      <c r="O103" s="50">
        <f>VLOOKUP($A103,'Data shares'!$C:$FB,124)</f>
        <v>0.89</v>
      </c>
      <c r="P103" s="50">
        <f>VLOOKUP($A103,'Data shares'!$C:$FB,125)</f>
        <v>0.81</v>
      </c>
      <c r="Q103" s="50">
        <f>VLOOKUP($A103,'Data shares'!$C:$FB,127)*100</f>
        <v>9.879999999999999</v>
      </c>
    </row>
    <row r="104" spans="1:17" x14ac:dyDescent="0.25">
      <c r="A104" s="97" t="str">
        <f>'Data Vlaue (Cr)'!C99</f>
        <v>INDUSINDBK</v>
      </c>
      <c r="B104" s="140">
        <f>VLOOKUP($A104,'Data shares'!$C:$FB,7)</f>
        <v>853.9</v>
      </c>
      <c r="C104" s="140">
        <f>VLOOKUP($A104,'Data shares'!$C:$FB,3)</f>
        <v>852.35</v>
      </c>
      <c r="D104" s="140">
        <f>VLOOKUP($A104,'Data shares'!$C:$FB,4)</f>
        <v>849.55</v>
      </c>
      <c r="E104" s="50">
        <f t="shared" si="3"/>
        <v>0.32958625154494359</v>
      </c>
      <c r="F104" s="49">
        <f>VLOOKUP($A104,'Data shares'!$C:$FB,98)</f>
        <v>52703700</v>
      </c>
      <c r="G104" s="49">
        <f>VLOOKUP($A104,'Data shares'!$C:$FB,99)</f>
        <v>51944200</v>
      </c>
      <c r="H104" s="50">
        <f t="shared" si="4"/>
        <v>1.4621459181198286</v>
      </c>
      <c r="I104" s="49">
        <f>VLOOKUP($A104,'Data shares'!$C:$FB,66)</f>
        <v>16914100</v>
      </c>
      <c r="J104" s="49">
        <f>VLOOKUP($A104,'Data shares'!$C:$FB,67)</f>
        <v>23102100</v>
      </c>
      <c r="K104" s="50">
        <f t="shared" si="5"/>
        <v>-36.584861151347106</v>
      </c>
      <c r="L104" s="50">
        <f>VLOOKUP($A104,'Data shares'!$C:$FB,118)</f>
        <v>0.77</v>
      </c>
      <c r="M104" s="50">
        <f>VLOOKUP($A104,'Data shares'!$C:$FB,119)</f>
        <v>0.84</v>
      </c>
      <c r="N104" s="50">
        <f>VLOOKUP($A104,'Data shares'!$C:$FB,121)*100</f>
        <v>-8.33</v>
      </c>
      <c r="O104" s="50">
        <f>VLOOKUP($A104,'Data shares'!$C:$FB,124)</f>
        <v>0.57999999999999996</v>
      </c>
      <c r="P104" s="50">
        <f>VLOOKUP($A104,'Data shares'!$C:$FB,125)</f>
        <v>0.74</v>
      </c>
      <c r="Q104" s="50">
        <f>VLOOKUP($A104,'Data shares'!$C:$FB,127)*100</f>
        <v>-21.62</v>
      </c>
    </row>
    <row r="105" spans="1:17" x14ac:dyDescent="0.25">
      <c r="A105" s="97" t="str">
        <f>'Data Vlaue (Cr)'!C100</f>
        <v>INDUSTOWER</v>
      </c>
      <c r="B105" s="140">
        <f>VLOOKUP($A105,'Data shares'!$C:$FB,7)</f>
        <v>412.25</v>
      </c>
      <c r="C105" s="140">
        <f>VLOOKUP($A105,'Data shares'!$C:$FB,3)</f>
        <v>413.35</v>
      </c>
      <c r="D105" s="140">
        <f>VLOOKUP($A105,'Data shares'!$C:$FB,4)</f>
        <v>414.5</v>
      </c>
      <c r="E105" s="50">
        <f t="shared" si="3"/>
        <v>-0.27744270205065796</v>
      </c>
      <c r="F105" s="49">
        <f>VLOOKUP($A105,'Data shares'!$C:$FB,98)</f>
        <v>113077200</v>
      </c>
      <c r="G105" s="49">
        <f>VLOOKUP($A105,'Data shares'!$C:$FB,99)</f>
        <v>107859900</v>
      </c>
      <c r="H105" s="50">
        <f t="shared" si="4"/>
        <v>4.8371081375005911</v>
      </c>
      <c r="I105" s="49">
        <f>VLOOKUP($A105,'Data shares'!$C:$FB,66)</f>
        <v>73506300</v>
      </c>
      <c r="J105" s="49">
        <f>VLOOKUP($A105,'Data shares'!$C:$FB,67)</f>
        <v>56933000</v>
      </c>
      <c r="K105" s="50">
        <f t="shared" si="5"/>
        <v>22.546774902287286</v>
      </c>
      <c r="L105" s="50">
        <f>VLOOKUP($A105,'Data shares'!$C:$FB,118)</f>
        <v>0.57999999999999996</v>
      </c>
      <c r="M105" s="50">
        <f>VLOOKUP($A105,'Data shares'!$C:$FB,119)</f>
        <v>0.55000000000000004</v>
      </c>
      <c r="N105" s="50">
        <f>VLOOKUP($A105,'Data shares'!$C:$FB,121)*100</f>
        <v>5.45</v>
      </c>
      <c r="O105" s="50">
        <f>VLOOKUP($A105,'Data shares'!$C:$FB,124)</f>
        <v>0.52</v>
      </c>
      <c r="P105" s="50">
        <f>VLOOKUP($A105,'Data shares'!$C:$FB,125)</f>
        <v>0.45</v>
      </c>
      <c r="Q105" s="50">
        <f>VLOOKUP($A105,'Data shares'!$C:$FB,127)*100</f>
        <v>15.559999999999999</v>
      </c>
    </row>
    <row r="106" spans="1:17" x14ac:dyDescent="0.25">
      <c r="A106" s="97" t="str">
        <f>'Data Vlaue (Cr)'!C101</f>
        <v>INFY</v>
      </c>
      <c r="B106" s="140">
        <f>VLOOKUP($A106,'Data shares'!$C:$FB,7)</f>
        <v>1318.7</v>
      </c>
      <c r="C106" s="140">
        <f>VLOOKUP($A106,'Data shares'!$C:$FB,3)</f>
        <v>1321</v>
      </c>
      <c r="D106" s="140">
        <f>VLOOKUP($A106,'Data shares'!$C:$FB,4)</f>
        <v>1320.7</v>
      </c>
      <c r="E106" s="50">
        <f t="shared" si="3"/>
        <v>2.2715226773677179E-2</v>
      </c>
      <c r="F106" s="49">
        <f>VLOOKUP($A106,'Data shares'!$C:$FB,98)</f>
        <v>128380400</v>
      </c>
      <c r="G106" s="49">
        <f>VLOOKUP($A106,'Data shares'!$C:$FB,99)</f>
        <v>128870800</v>
      </c>
      <c r="H106" s="50">
        <f t="shared" si="4"/>
        <v>-0.38053616490314329</v>
      </c>
      <c r="I106" s="49">
        <f>VLOOKUP($A106,'Data shares'!$C:$FB,66)</f>
        <v>42485600</v>
      </c>
      <c r="J106" s="49">
        <f>VLOOKUP($A106,'Data shares'!$C:$FB,67)</f>
        <v>68853600</v>
      </c>
      <c r="K106" s="50">
        <f t="shared" si="5"/>
        <v>-62.063381475135103</v>
      </c>
      <c r="L106" s="50">
        <f>VLOOKUP($A106,'Data shares'!$C:$FB,118)</f>
        <v>0.71</v>
      </c>
      <c r="M106" s="50">
        <f>VLOOKUP($A106,'Data shares'!$C:$FB,119)</f>
        <v>0.73</v>
      </c>
      <c r="N106" s="50">
        <f>VLOOKUP($A106,'Data shares'!$C:$FB,121)*100</f>
        <v>-2.74</v>
      </c>
      <c r="O106" s="50">
        <f>VLOOKUP($A106,'Data shares'!$C:$FB,124)</f>
        <v>0.73</v>
      </c>
      <c r="P106" s="50">
        <f>VLOOKUP($A106,'Data shares'!$C:$FB,125)</f>
        <v>0.53</v>
      </c>
      <c r="Q106" s="50">
        <f>VLOOKUP($A106,'Data shares'!$C:$FB,127)*100</f>
        <v>37.74</v>
      </c>
    </row>
    <row r="107" spans="1:17" x14ac:dyDescent="0.25">
      <c r="A107" s="97" t="str">
        <f>'Data Vlaue (Cr)'!C102</f>
        <v>INOXWIND</v>
      </c>
      <c r="B107" s="140">
        <f>VLOOKUP($A107,'Data shares'!$C:$FB,7)</f>
        <v>97.9</v>
      </c>
      <c r="C107" s="140">
        <f>VLOOKUP($A107,'Data shares'!$C:$FB,3)</f>
        <v>97.82</v>
      </c>
      <c r="D107" s="140">
        <f>VLOOKUP($A107,'Data shares'!$C:$FB,4)</f>
        <v>95.73</v>
      </c>
      <c r="E107" s="50">
        <f t="shared" si="3"/>
        <v>2.1832236498485211</v>
      </c>
      <c r="F107" s="49">
        <f>VLOOKUP($A107,'Data shares'!$C:$FB,98)</f>
        <v>151061625</v>
      </c>
      <c r="G107" s="49">
        <f>VLOOKUP($A107,'Data shares'!$C:$FB,99)</f>
        <v>148130125</v>
      </c>
      <c r="H107" s="50">
        <f t="shared" si="4"/>
        <v>1.97900325811512</v>
      </c>
      <c r="I107" s="49">
        <f>VLOOKUP($A107,'Data shares'!$C:$FB,66)</f>
        <v>111675850</v>
      </c>
      <c r="J107" s="49">
        <f>VLOOKUP($A107,'Data shares'!$C:$FB,67)</f>
        <v>74195550</v>
      </c>
      <c r="K107" s="50">
        <f t="shared" si="5"/>
        <v>33.561687688072219</v>
      </c>
      <c r="L107" s="50">
        <f>VLOOKUP($A107,'Data shares'!$C:$FB,118)</f>
        <v>0.82</v>
      </c>
      <c r="M107" s="50">
        <f>VLOOKUP($A107,'Data shares'!$C:$FB,119)</f>
        <v>0.98</v>
      </c>
      <c r="N107" s="50">
        <f>VLOOKUP($A107,'Data shares'!$C:$FB,121)*100</f>
        <v>-16.329999999999998</v>
      </c>
      <c r="O107" s="50">
        <f>VLOOKUP($A107,'Data shares'!$C:$FB,124)</f>
        <v>0.35</v>
      </c>
      <c r="P107" s="50">
        <f>VLOOKUP($A107,'Data shares'!$C:$FB,125)</f>
        <v>0.5</v>
      </c>
      <c r="Q107" s="50">
        <f>VLOOKUP($A107,'Data shares'!$C:$FB,127)*100</f>
        <v>-30</v>
      </c>
    </row>
    <row r="108" spans="1:17" x14ac:dyDescent="0.25">
      <c r="A108" s="97" t="str">
        <f>'Data Vlaue (Cr)'!C103</f>
        <v>IOC</v>
      </c>
      <c r="B108" s="140">
        <f>VLOOKUP($A108,'Data shares'!$C:$FB,7)</f>
        <v>145.88</v>
      </c>
      <c r="C108" s="140">
        <f>VLOOKUP($A108,'Data shares'!$C:$FB,3)</f>
        <v>146.21</v>
      </c>
      <c r="D108" s="140">
        <f>VLOOKUP($A108,'Data shares'!$C:$FB,4)</f>
        <v>144.26</v>
      </c>
      <c r="E108" s="50">
        <f t="shared" si="3"/>
        <v>1.351726050187174</v>
      </c>
      <c r="F108" s="49">
        <f>VLOOKUP($A108,'Data shares'!$C:$FB,98)</f>
        <v>214461000</v>
      </c>
      <c r="G108" s="49">
        <f>VLOOKUP($A108,'Data shares'!$C:$FB,99)</f>
        <v>215372625</v>
      </c>
      <c r="H108" s="50">
        <f t="shared" si="4"/>
        <v>-0.42327802802236353</v>
      </c>
      <c r="I108" s="49">
        <f>VLOOKUP($A108,'Data shares'!$C:$FB,66)</f>
        <v>69717375</v>
      </c>
      <c r="J108" s="49">
        <f>VLOOKUP($A108,'Data shares'!$C:$FB,67)</f>
        <v>73334625</v>
      </c>
      <c r="K108" s="50">
        <f t="shared" si="5"/>
        <v>-5.1884483602545277</v>
      </c>
      <c r="L108" s="50">
        <f>VLOOKUP($A108,'Data shares'!$C:$FB,118)</f>
        <v>0.73</v>
      </c>
      <c r="M108" s="50">
        <f>VLOOKUP($A108,'Data shares'!$C:$FB,119)</f>
        <v>0.72</v>
      </c>
      <c r="N108" s="50">
        <f>VLOOKUP($A108,'Data shares'!$C:$FB,121)*100</f>
        <v>1.39</v>
      </c>
      <c r="O108" s="50">
        <f>VLOOKUP($A108,'Data shares'!$C:$FB,124)</f>
        <v>0.6</v>
      </c>
      <c r="P108" s="50">
        <f>VLOOKUP($A108,'Data shares'!$C:$FB,125)</f>
        <v>0.76</v>
      </c>
      <c r="Q108" s="50">
        <f>VLOOKUP($A108,'Data shares'!$C:$FB,127)*100</f>
        <v>-21.05</v>
      </c>
    </row>
    <row r="109" spans="1:17" x14ac:dyDescent="0.25">
      <c r="A109" s="97" t="str">
        <f>'Data Vlaue (Cr)'!C104</f>
        <v>IREDA</v>
      </c>
      <c r="B109" s="140">
        <f>VLOOKUP($A109,'Data shares'!$C:$FB,7)</f>
        <v>133.01</v>
      </c>
      <c r="C109" s="140">
        <f>VLOOKUP($A109,'Data shares'!$C:$FB,3)</f>
        <v>133.36000000000001</v>
      </c>
      <c r="D109" s="140">
        <f>VLOOKUP($A109,'Data shares'!$C:$FB,4)</f>
        <v>129.68</v>
      </c>
      <c r="E109" s="50">
        <f t="shared" si="3"/>
        <v>2.837754472547815</v>
      </c>
      <c r="F109" s="49">
        <f>VLOOKUP($A109,'Data shares'!$C:$FB,98)</f>
        <v>102640950</v>
      </c>
      <c r="G109" s="49">
        <f>VLOOKUP($A109,'Data shares'!$C:$FB,99)</f>
        <v>97693650</v>
      </c>
      <c r="H109" s="50">
        <f t="shared" si="4"/>
        <v>5.0640957728572946</v>
      </c>
      <c r="I109" s="49">
        <f>VLOOKUP($A109,'Data shares'!$C:$FB,66)</f>
        <v>92953350</v>
      </c>
      <c r="J109" s="49">
        <f>VLOOKUP($A109,'Data shares'!$C:$FB,67)</f>
        <v>77369700</v>
      </c>
      <c r="K109" s="50">
        <f t="shared" si="5"/>
        <v>16.765022454812012</v>
      </c>
      <c r="L109" s="50">
        <f>VLOOKUP($A109,'Data shares'!$C:$FB,118)</f>
        <v>0.79</v>
      </c>
      <c r="M109" s="50">
        <f>VLOOKUP($A109,'Data shares'!$C:$FB,119)</f>
        <v>0.81</v>
      </c>
      <c r="N109" s="50">
        <f>VLOOKUP($A109,'Data shares'!$C:$FB,121)*100</f>
        <v>-2.4699999999999998</v>
      </c>
      <c r="O109" s="50">
        <f>VLOOKUP($A109,'Data shares'!$C:$FB,124)</f>
        <v>0.32</v>
      </c>
      <c r="P109" s="50">
        <f>VLOOKUP($A109,'Data shares'!$C:$FB,125)</f>
        <v>0.38</v>
      </c>
      <c r="Q109" s="50">
        <f>VLOOKUP($A109,'Data shares'!$C:$FB,127)*100</f>
        <v>-15.790000000000001</v>
      </c>
    </row>
    <row r="110" spans="1:17" x14ac:dyDescent="0.25">
      <c r="A110" s="97" t="str">
        <f>'Data Vlaue (Cr)'!C105</f>
        <v>IRFC</v>
      </c>
      <c r="B110" s="140">
        <f>VLOOKUP($A110,'Data shares'!$C:$FB,7)</f>
        <v>104.84</v>
      </c>
      <c r="C110" s="140">
        <f>VLOOKUP($A110,'Data shares'!$C:$FB,3)</f>
        <v>104.84</v>
      </c>
      <c r="D110" s="140">
        <f>VLOOKUP($A110,'Data shares'!$C:$FB,4)</f>
        <v>103.62</v>
      </c>
      <c r="E110" s="50">
        <f t="shared" si="3"/>
        <v>1.1773788843852526</v>
      </c>
      <c r="F110" s="49">
        <f>VLOOKUP($A110,'Data shares'!$C:$FB,98)</f>
        <v>131881750</v>
      </c>
      <c r="G110" s="49">
        <f>VLOOKUP($A110,'Data shares'!$C:$FB,99)</f>
        <v>127763500</v>
      </c>
      <c r="H110" s="50">
        <f t="shared" si="4"/>
        <v>3.2233384339032667</v>
      </c>
      <c r="I110" s="49">
        <f>VLOOKUP($A110,'Data shares'!$C:$FB,66)</f>
        <v>120759500</v>
      </c>
      <c r="J110" s="49">
        <f>VLOOKUP($A110,'Data shares'!$C:$FB,67)</f>
        <v>103219750</v>
      </c>
      <c r="K110" s="50">
        <f t="shared" si="5"/>
        <v>14.524530161188146</v>
      </c>
      <c r="L110" s="50">
        <f>VLOOKUP($A110,'Data shares'!$C:$FB,118)</f>
        <v>0.72</v>
      </c>
      <c r="M110" s="50">
        <f>VLOOKUP($A110,'Data shares'!$C:$FB,119)</f>
        <v>0.75</v>
      </c>
      <c r="N110" s="50">
        <f>VLOOKUP($A110,'Data shares'!$C:$FB,121)*100</f>
        <v>-4</v>
      </c>
      <c r="O110" s="50">
        <f>VLOOKUP($A110,'Data shares'!$C:$FB,124)</f>
        <v>0.39</v>
      </c>
      <c r="P110" s="50">
        <f>VLOOKUP($A110,'Data shares'!$C:$FB,125)</f>
        <v>0.36</v>
      </c>
      <c r="Q110" s="50">
        <f>VLOOKUP($A110,'Data shares'!$C:$FB,127)*100</f>
        <v>8.33</v>
      </c>
    </row>
    <row r="111" spans="1:17" x14ac:dyDescent="0.25">
      <c r="A111" s="97" t="str">
        <f>'Data Vlaue (Cr)'!C106</f>
        <v>ITC</v>
      </c>
      <c r="B111" s="140">
        <f>VLOOKUP($A111,'Data shares'!$C:$FB,7)</f>
        <v>306.8</v>
      </c>
      <c r="C111" s="140">
        <f>VLOOKUP($A111,'Data shares'!$C:$FB,3)</f>
        <v>307.5</v>
      </c>
      <c r="D111" s="140">
        <f>VLOOKUP($A111,'Data shares'!$C:$FB,4)</f>
        <v>303.75</v>
      </c>
      <c r="E111" s="50">
        <f t="shared" si="3"/>
        <v>1.2345679012345678</v>
      </c>
      <c r="F111" s="49">
        <f>VLOOKUP($A111,'Data shares'!$C:$FB,98)</f>
        <v>336720000</v>
      </c>
      <c r="G111" s="49">
        <f>VLOOKUP($A111,'Data shares'!$C:$FB,99)</f>
        <v>313382400</v>
      </c>
      <c r="H111" s="50">
        <f t="shared" si="4"/>
        <v>7.4470040436221048</v>
      </c>
      <c r="I111" s="49">
        <f>VLOOKUP($A111,'Data shares'!$C:$FB,66)</f>
        <v>440985600</v>
      </c>
      <c r="J111" s="49">
        <f>VLOOKUP($A111,'Data shares'!$C:$FB,67)</f>
        <v>128284800</v>
      </c>
      <c r="K111" s="50">
        <f t="shared" si="5"/>
        <v>70.909526297457333</v>
      </c>
      <c r="L111" s="50">
        <f>VLOOKUP($A111,'Data shares'!$C:$FB,118)</f>
        <v>0.5</v>
      </c>
      <c r="M111" s="50">
        <f>VLOOKUP($A111,'Data shares'!$C:$FB,119)</f>
        <v>0.53</v>
      </c>
      <c r="N111" s="50">
        <f>VLOOKUP($A111,'Data shares'!$C:$FB,121)*100</f>
        <v>-5.66</v>
      </c>
      <c r="O111" s="50">
        <f>VLOOKUP($A111,'Data shares'!$C:$FB,124)</f>
        <v>0.43</v>
      </c>
      <c r="P111" s="50">
        <f>VLOOKUP($A111,'Data shares'!$C:$FB,125)</f>
        <v>0.47</v>
      </c>
      <c r="Q111" s="50">
        <f>VLOOKUP($A111,'Data shares'!$C:$FB,127)*100</f>
        <v>-8.51</v>
      </c>
    </row>
    <row r="112" spans="1:17" x14ac:dyDescent="0.25">
      <c r="A112" s="97" t="str">
        <f>'Data Vlaue (Cr)'!C107</f>
        <v>JINDALSTEL</v>
      </c>
      <c r="B112" s="140">
        <f>VLOOKUP($A112,'Data shares'!$C:$FB,7)</f>
        <v>1270</v>
      </c>
      <c r="C112" s="140">
        <f>VLOOKUP($A112,'Data shares'!$C:$FB,3)</f>
        <v>1271.4000000000001</v>
      </c>
      <c r="D112" s="140">
        <f>VLOOKUP($A112,'Data shares'!$C:$FB,4)</f>
        <v>1230.9000000000001</v>
      </c>
      <c r="E112" s="50">
        <f t="shared" si="3"/>
        <v>3.290275408237874</v>
      </c>
      <c r="F112" s="49">
        <f>VLOOKUP($A112,'Data shares'!$C:$FB,98)</f>
        <v>20543125</v>
      </c>
      <c r="G112" s="49">
        <f>VLOOKUP($A112,'Data shares'!$C:$FB,99)</f>
        <v>19620625</v>
      </c>
      <c r="H112" s="50">
        <f t="shared" si="4"/>
        <v>4.701685089032587</v>
      </c>
      <c r="I112" s="49">
        <f>VLOOKUP($A112,'Data shares'!$C:$FB,66)</f>
        <v>24908750</v>
      </c>
      <c r="J112" s="49">
        <f>VLOOKUP($A112,'Data shares'!$C:$FB,67)</f>
        <v>7920000</v>
      </c>
      <c r="K112" s="50">
        <f t="shared" si="5"/>
        <v>68.203944397049227</v>
      </c>
      <c r="L112" s="50">
        <f>VLOOKUP($A112,'Data shares'!$C:$FB,118)</f>
        <v>1.0900000000000001</v>
      </c>
      <c r="M112" s="50">
        <f>VLOOKUP($A112,'Data shares'!$C:$FB,119)</f>
        <v>0.98</v>
      </c>
      <c r="N112" s="50">
        <f>VLOOKUP($A112,'Data shares'!$C:$FB,121)*100</f>
        <v>11.219999999999999</v>
      </c>
      <c r="O112" s="50">
        <f>VLOOKUP($A112,'Data shares'!$C:$FB,124)</f>
        <v>0.61</v>
      </c>
      <c r="P112" s="50">
        <f>VLOOKUP($A112,'Data shares'!$C:$FB,125)</f>
        <v>0.54</v>
      </c>
      <c r="Q112" s="50">
        <f>VLOOKUP($A112,'Data shares'!$C:$FB,127)*100</f>
        <v>12.959999999999999</v>
      </c>
    </row>
    <row r="113" spans="1:17" x14ac:dyDescent="0.25">
      <c r="A113" s="97" t="str">
        <f>'Data Vlaue (Cr)'!C108</f>
        <v>JIOFIN</v>
      </c>
      <c r="B113" s="140">
        <f>VLOOKUP($A113,'Data shares'!$C:$FB,7)</f>
        <v>243.86</v>
      </c>
      <c r="C113" s="140">
        <f>VLOOKUP($A113,'Data shares'!$C:$FB,3)</f>
        <v>244.6</v>
      </c>
      <c r="D113" s="140">
        <f>VLOOKUP($A113,'Data shares'!$C:$FB,4)</f>
        <v>241.8</v>
      </c>
      <c r="E113" s="50">
        <f t="shared" si="3"/>
        <v>1.1579818031430864</v>
      </c>
      <c r="F113" s="49">
        <f>VLOOKUP($A113,'Data shares'!$C:$FB,98)</f>
        <v>285449800</v>
      </c>
      <c r="G113" s="49">
        <f>VLOOKUP($A113,'Data shares'!$C:$FB,99)</f>
        <v>241831450</v>
      </c>
      <c r="H113" s="50">
        <f t="shared" si="4"/>
        <v>18.036673890017198</v>
      </c>
      <c r="I113" s="49">
        <f>VLOOKUP($A113,'Data shares'!$C:$FB,66)</f>
        <v>212703200</v>
      </c>
      <c r="J113" s="49">
        <f>VLOOKUP($A113,'Data shares'!$C:$FB,67)</f>
        <v>95856500</v>
      </c>
      <c r="K113" s="50">
        <f t="shared" si="5"/>
        <v>54.934152377585285</v>
      </c>
      <c r="L113" s="50">
        <f>VLOOKUP($A113,'Data shares'!$C:$FB,118)</f>
        <v>0.67</v>
      </c>
      <c r="M113" s="50">
        <f>VLOOKUP($A113,'Data shares'!$C:$FB,119)</f>
        <v>0.73</v>
      </c>
      <c r="N113" s="50">
        <f>VLOOKUP($A113,'Data shares'!$C:$FB,121)*100</f>
        <v>-8.2199999999999989</v>
      </c>
      <c r="O113" s="50">
        <f>VLOOKUP($A113,'Data shares'!$C:$FB,124)</f>
        <v>0.34</v>
      </c>
      <c r="P113" s="50">
        <f>VLOOKUP($A113,'Data shares'!$C:$FB,125)</f>
        <v>0.46</v>
      </c>
      <c r="Q113" s="50">
        <f>VLOOKUP($A113,'Data shares'!$C:$FB,127)*100</f>
        <v>-26.090000000000003</v>
      </c>
    </row>
    <row r="114" spans="1:17" x14ac:dyDescent="0.25">
      <c r="A114" s="97" t="str">
        <f>'Data Vlaue (Cr)'!C109</f>
        <v>JSWENERGY</v>
      </c>
      <c r="B114" s="140">
        <f>VLOOKUP($A114,'Data shares'!$C:$FB,7)</f>
        <v>538.04999999999995</v>
      </c>
      <c r="C114" s="140">
        <f>VLOOKUP($A114,'Data shares'!$C:$FB,3)</f>
        <v>538.1</v>
      </c>
      <c r="D114" s="140">
        <f>VLOOKUP($A114,'Data shares'!$C:$FB,4)</f>
        <v>535.95000000000005</v>
      </c>
      <c r="E114" s="50">
        <f t="shared" si="3"/>
        <v>0.40115682433062355</v>
      </c>
      <c r="F114" s="49">
        <f>VLOOKUP($A114,'Data shares'!$C:$FB,98)</f>
        <v>38543000</v>
      </c>
      <c r="G114" s="49">
        <f>VLOOKUP($A114,'Data shares'!$C:$FB,99)</f>
        <v>38952000</v>
      </c>
      <c r="H114" s="50">
        <f t="shared" si="4"/>
        <v>-1.0500102690490862</v>
      </c>
      <c r="I114" s="49">
        <f>VLOOKUP($A114,'Data shares'!$C:$FB,66)</f>
        <v>16059000</v>
      </c>
      <c r="J114" s="49">
        <f>VLOOKUP($A114,'Data shares'!$C:$FB,67)</f>
        <v>24638000</v>
      </c>
      <c r="K114" s="50">
        <f t="shared" si="5"/>
        <v>-53.421757270066628</v>
      </c>
      <c r="L114" s="50">
        <f>VLOOKUP($A114,'Data shares'!$C:$FB,118)</f>
        <v>0.69</v>
      </c>
      <c r="M114" s="50">
        <f>VLOOKUP($A114,'Data shares'!$C:$FB,119)</f>
        <v>0.79</v>
      </c>
      <c r="N114" s="50">
        <f>VLOOKUP($A114,'Data shares'!$C:$FB,121)*100</f>
        <v>-12.659999999999998</v>
      </c>
      <c r="O114" s="50">
        <f>VLOOKUP($A114,'Data shares'!$C:$FB,124)</f>
        <v>0.53</v>
      </c>
      <c r="P114" s="50">
        <f>VLOOKUP($A114,'Data shares'!$C:$FB,125)</f>
        <v>0.57999999999999996</v>
      </c>
      <c r="Q114" s="50">
        <f>VLOOKUP($A114,'Data shares'!$C:$FB,127)*100</f>
        <v>-8.6199999999999992</v>
      </c>
    </row>
    <row r="115" spans="1:17" x14ac:dyDescent="0.25">
      <c r="A115" s="97" t="str">
        <f>'Data Vlaue (Cr)'!C110</f>
        <v>JSWSTEEL</v>
      </c>
      <c r="B115" s="140">
        <f>VLOOKUP($A115,'Data shares'!$C:$FB,7)</f>
        <v>1240.3</v>
      </c>
      <c r="C115" s="140">
        <f>VLOOKUP($A115,'Data shares'!$C:$FB,3)</f>
        <v>1240.2</v>
      </c>
      <c r="D115" s="140">
        <f>VLOOKUP($A115,'Data shares'!$C:$FB,4)</f>
        <v>1217.3</v>
      </c>
      <c r="E115" s="50">
        <f t="shared" si="3"/>
        <v>1.8812125195103995</v>
      </c>
      <c r="F115" s="49">
        <f>VLOOKUP($A115,'Data shares'!$C:$FB,98)</f>
        <v>61297425</v>
      </c>
      <c r="G115" s="49">
        <f>VLOOKUP($A115,'Data shares'!$C:$FB,99)</f>
        <v>62330175</v>
      </c>
      <c r="H115" s="50">
        <f t="shared" si="4"/>
        <v>-1.6569021344798085</v>
      </c>
      <c r="I115" s="49">
        <f>VLOOKUP($A115,'Data shares'!$C:$FB,66)</f>
        <v>21487950</v>
      </c>
      <c r="J115" s="49">
        <f>VLOOKUP($A115,'Data shares'!$C:$FB,67)</f>
        <v>16393725</v>
      </c>
      <c r="K115" s="50">
        <f t="shared" si="5"/>
        <v>23.70735691399133</v>
      </c>
      <c r="L115" s="50">
        <f>VLOOKUP($A115,'Data shares'!$C:$FB,118)</f>
        <v>0.96</v>
      </c>
      <c r="M115" s="50">
        <f>VLOOKUP($A115,'Data shares'!$C:$FB,119)</f>
        <v>0.82</v>
      </c>
      <c r="N115" s="50">
        <f>VLOOKUP($A115,'Data shares'!$C:$FB,121)*100</f>
        <v>17.07</v>
      </c>
      <c r="O115" s="50">
        <f>VLOOKUP($A115,'Data shares'!$C:$FB,124)</f>
        <v>0.5</v>
      </c>
      <c r="P115" s="50">
        <f>VLOOKUP($A115,'Data shares'!$C:$FB,125)</f>
        <v>0.47</v>
      </c>
      <c r="Q115" s="50">
        <f>VLOOKUP($A115,'Data shares'!$C:$FB,127)*100</f>
        <v>6.38</v>
      </c>
    </row>
    <row r="116" spans="1:17" x14ac:dyDescent="0.25">
      <c r="A116" s="97" t="str">
        <f>'Data Vlaue (Cr)'!C111</f>
        <v>JUBLFOOD</v>
      </c>
      <c r="B116" s="140">
        <f>VLOOKUP($A116,'Data shares'!$C:$FB,7)</f>
        <v>458.95</v>
      </c>
      <c r="C116" s="140">
        <f>VLOOKUP($A116,'Data shares'!$C:$FB,3)</f>
        <v>458.8</v>
      </c>
      <c r="D116" s="140">
        <f>VLOOKUP($A116,'Data shares'!$C:$FB,4)</f>
        <v>458.95</v>
      </c>
      <c r="E116" s="50">
        <f t="shared" si="3"/>
        <v>-3.2683298834290726E-2</v>
      </c>
      <c r="F116" s="49">
        <f>VLOOKUP($A116,'Data shares'!$C:$FB,98)</f>
        <v>76172500</v>
      </c>
      <c r="G116" s="49">
        <f>VLOOKUP($A116,'Data shares'!$C:$FB,99)</f>
        <v>73032500</v>
      </c>
      <c r="H116" s="50">
        <f t="shared" si="4"/>
        <v>4.2994557217677061</v>
      </c>
      <c r="I116" s="49">
        <f>VLOOKUP($A116,'Data shares'!$C:$FB,66)</f>
        <v>39621250</v>
      </c>
      <c r="J116" s="49">
        <f>VLOOKUP($A116,'Data shares'!$C:$FB,67)</f>
        <v>30430000</v>
      </c>
      <c r="K116" s="50">
        <f t="shared" si="5"/>
        <v>23.197778969618575</v>
      </c>
      <c r="L116" s="50">
        <f>VLOOKUP($A116,'Data shares'!$C:$FB,118)</f>
        <v>0.64</v>
      </c>
      <c r="M116" s="50">
        <f>VLOOKUP($A116,'Data shares'!$C:$FB,119)</f>
        <v>0.66</v>
      </c>
      <c r="N116" s="50">
        <f>VLOOKUP($A116,'Data shares'!$C:$FB,121)*100</f>
        <v>-3.0300000000000002</v>
      </c>
      <c r="O116" s="50">
        <f>VLOOKUP($A116,'Data shares'!$C:$FB,124)</f>
        <v>0.39</v>
      </c>
      <c r="P116" s="50">
        <f>VLOOKUP($A116,'Data shares'!$C:$FB,125)</f>
        <v>0.39</v>
      </c>
      <c r="Q116" s="50">
        <f>VLOOKUP($A116,'Data shares'!$C:$FB,127)*100</f>
        <v>0</v>
      </c>
    </row>
    <row r="117" spans="1:17" x14ac:dyDescent="0.25">
      <c r="A117" s="97" t="str">
        <f>'Data Vlaue (Cr)'!C112</f>
        <v>KALYANKJIL</v>
      </c>
      <c r="B117" s="140">
        <f>VLOOKUP($A117,'Data shares'!$C:$FB,7)</f>
        <v>426.85</v>
      </c>
      <c r="C117" s="140">
        <f>VLOOKUP($A117,'Data shares'!$C:$FB,3)</f>
        <v>427.95</v>
      </c>
      <c r="D117" s="140">
        <f>VLOOKUP($A117,'Data shares'!$C:$FB,4)</f>
        <v>441.8</v>
      </c>
      <c r="E117" s="50">
        <f t="shared" si="3"/>
        <v>-3.1349026708918113</v>
      </c>
      <c r="F117" s="49">
        <f>VLOOKUP($A117,'Data shares'!$C:$FB,98)</f>
        <v>47703825</v>
      </c>
      <c r="G117" s="49">
        <f>VLOOKUP($A117,'Data shares'!$C:$FB,99)</f>
        <v>37392025</v>
      </c>
      <c r="H117" s="50">
        <f t="shared" si="4"/>
        <v>27.577538258492286</v>
      </c>
      <c r="I117" s="49">
        <f>VLOOKUP($A117,'Data shares'!$C:$FB,66)</f>
        <v>148035900</v>
      </c>
      <c r="J117" s="49">
        <f>VLOOKUP($A117,'Data shares'!$C:$FB,67)</f>
        <v>20553100</v>
      </c>
      <c r="K117" s="50">
        <f t="shared" si="5"/>
        <v>86.116138044893162</v>
      </c>
      <c r="L117" s="50">
        <f>VLOOKUP($A117,'Data shares'!$C:$FB,118)</f>
        <v>0.53</v>
      </c>
      <c r="M117" s="50">
        <f>VLOOKUP($A117,'Data shares'!$C:$FB,119)</f>
        <v>0.8</v>
      </c>
      <c r="N117" s="50">
        <f>VLOOKUP($A117,'Data shares'!$C:$FB,121)*100</f>
        <v>-33.75</v>
      </c>
      <c r="O117" s="50">
        <f>VLOOKUP($A117,'Data shares'!$C:$FB,124)</f>
        <v>0.73</v>
      </c>
      <c r="P117" s="50">
        <f>VLOOKUP($A117,'Data shares'!$C:$FB,125)</f>
        <v>0.76</v>
      </c>
      <c r="Q117" s="50">
        <f>VLOOKUP($A117,'Data shares'!$C:$FB,127)*100</f>
        <v>-3.95</v>
      </c>
    </row>
    <row r="118" spans="1:17" x14ac:dyDescent="0.25">
      <c r="A118" s="97" t="str">
        <f>'Data Vlaue (Cr)'!C113</f>
        <v>KAYNES</v>
      </c>
      <c r="B118" s="140">
        <f>VLOOKUP($A118,'Data shares'!$C:$FB,7)</f>
        <v>4214.3999999999996</v>
      </c>
      <c r="C118" s="140">
        <f>VLOOKUP($A118,'Data shares'!$C:$FB,3)</f>
        <v>4208.7</v>
      </c>
      <c r="D118" s="140">
        <f>VLOOKUP($A118,'Data shares'!$C:$FB,4)</f>
        <v>4211.6000000000004</v>
      </c>
      <c r="E118" s="50">
        <f t="shared" si="3"/>
        <v>-6.8857441352468074E-2</v>
      </c>
      <c r="F118" s="49">
        <f>VLOOKUP($A118,'Data shares'!$C:$FB,98)</f>
        <v>6141100</v>
      </c>
      <c r="G118" s="49">
        <f>VLOOKUP($A118,'Data shares'!$C:$FB,99)</f>
        <v>6036100</v>
      </c>
      <c r="H118" s="50">
        <f t="shared" si="4"/>
        <v>1.739533804940276</v>
      </c>
      <c r="I118" s="49">
        <f>VLOOKUP($A118,'Data shares'!$C:$FB,66)</f>
        <v>4778200</v>
      </c>
      <c r="J118" s="49">
        <f>VLOOKUP($A118,'Data shares'!$C:$FB,67)</f>
        <v>12384500</v>
      </c>
      <c r="K118" s="50">
        <f t="shared" si="5"/>
        <v>-159.18756016910135</v>
      </c>
      <c r="L118" s="50">
        <f>VLOOKUP($A118,'Data shares'!$C:$FB,118)</f>
        <v>0.8</v>
      </c>
      <c r="M118" s="50">
        <f>VLOOKUP($A118,'Data shares'!$C:$FB,119)</f>
        <v>0.84</v>
      </c>
      <c r="N118" s="50">
        <f>VLOOKUP($A118,'Data shares'!$C:$FB,121)*100</f>
        <v>-4.7600000000000007</v>
      </c>
      <c r="O118" s="50">
        <f>VLOOKUP($A118,'Data shares'!$C:$FB,124)</f>
        <v>0.65</v>
      </c>
      <c r="P118" s="50">
        <f>VLOOKUP($A118,'Data shares'!$C:$FB,125)</f>
        <v>0.45</v>
      </c>
      <c r="Q118" s="50">
        <f>VLOOKUP($A118,'Data shares'!$C:$FB,127)*100</f>
        <v>44.440000000000005</v>
      </c>
    </row>
    <row r="119" spans="1:17" x14ac:dyDescent="0.25">
      <c r="A119" s="97" t="str">
        <f>'Data Vlaue (Cr)'!C114</f>
        <v>KEI</v>
      </c>
      <c r="B119" s="140">
        <f>VLOOKUP($A119,'Data shares'!$C:$FB,7)</f>
        <v>4839.3</v>
      </c>
      <c r="C119" s="140">
        <f>VLOOKUP($A119,'Data shares'!$C:$FB,3)</f>
        <v>4823.5</v>
      </c>
      <c r="D119" s="140">
        <f>VLOOKUP($A119,'Data shares'!$C:$FB,4)</f>
        <v>4648.8999999999996</v>
      </c>
      <c r="E119" s="50">
        <f t="shared" si="3"/>
        <v>3.7557271612639629</v>
      </c>
      <c r="F119" s="49">
        <f>VLOOKUP($A119,'Data shares'!$C:$FB,98)</f>
        <v>3508925</v>
      </c>
      <c r="G119" s="49">
        <f>VLOOKUP($A119,'Data shares'!$C:$FB,99)</f>
        <v>3405150</v>
      </c>
      <c r="H119" s="50">
        <f t="shared" si="4"/>
        <v>3.0475896803371363</v>
      </c>
      <c r="I119" s="49">
        <f>VLOOKUP($A119,'Data shares'!$C:$FB,66)</f>
        <v>5513200</v>
      </c>
      <c r="J119" s="49">
        <f>VLOOKUP($A119,'Data shares'!$C:$FB,67)</f>
        <v>2449125</v>
      </c>
      <c r="K119" s="50">
        <f t="shared" si="5"/>
        <v>55.577069578466229</v>
      </c>
      <c r="L119" s="50">
        <f>VLOOKUP($A119,'Data shares'!$C:$FB,118)</f>
        <v>0.7</v>
      </c>
      <c r="M119" s="50">
        <f>VLOOKUP($A119,'Data shares'!$C:$FB,119)</f>
        <v>0.72</v>
      </c>
      <c r="N119" s="50">
        <f>VLOOKUP($A119,'Data shares'!$C:$FB,121)*100</f>
        <v>-2.78</v>
      </c>
      <c r="O119" s="50">
        <f>VLOOKUP($A119,'Data shares'!$C:$FB,124)</f>
        <v>0.28000000000000003</v>
      </c>
      <c r="P119" s="50">
        <f>VLOOKUP($A119,'Data shares'!$C:$FB,125)</f>
        <v>0.21</v>
      </c>
      <c r="Q119" s="50">
        <f>VLOOKUP($A119,'Data shares'!$C:$FB,127)*100</f>
        <v>33.33</v>
      </c>
    </row>
    <row r="120" spans="1:17" x14ac:dyDescent="0.25">
      <c r="A120" s="97" t="str">
        <f>'Data Vlaue (Cr)'!C115</f>
        <v>KFINTECH</v>
      </c>
      <c r="B120" s="140">
        <f>VLOOKUP($A120,'Data shares'!$C:$FB,7)</f>
        <v>976</v>
      </c>
      <c r="C120" s="140">
        <f>VLOOKUP($A120,'Data shares'!$C:$FB,3)</f>
        <v>977.6</v>
      </c>
      <c r="D120" s="140">
        <f>VLOOKUP($A120,'Data shares'!$C:$FB,4)</f>
        <v>953.35</v>
      </c>
      <c r="E120" s="50">
        <f t="shared" si="3"/>
        <v>2.5436618240939843</v>
      </c>
      <c r="F120" s="49">
        <f>VLOOKUP($A120,'Data shares'!$C:$FB,98)</f>
        <v>7392500</v>
      </c>
      <c r="G120" s="49">
        <f>VLOOKUP($A120,'Data shares'!$C:$FB,99)</f>
        <v>6301000</v>
      </c>
      <c r="H120" s="50">
        <f t="shared" si="4"/>
        <v>17.322647198857325</v>
      </c>
      <c r="I120" s="49">
        <f>VLOOKUP($A120,'Data shares'!$C:$FB,66)</f>
        <v>9726000</v>
      </c>
      <c r="J120" s="49">
        <f>VLOOKUP($A120,'Data shares'!$C:$FB,67)</f>
        <v>10578500</v>
      </c>
      <c r="K120" s="50">
        <f t="shared" si="5"/>
        <v>-8.765165535677566</v>
      </c>
      <c r="L120" s="50">
        <f>VLOOKUP($A120,'Data shares'!$C:$FB,118)</f>
        <v>0.5</v>
      </c>
      <c r="M120" s="50">
        <f>VLOOKUP($A120,'Data shares'!$C:$FB,119)</f>
        <v>0.51</v>
      </c>
      <c r="N120" s="50">
        <f>VLOOKUP($A120,'Data shares'!$C:$FB,121)*100</f>
        <v>-1.96</v>
      </c>
      <c r="O120" s="50">
        <f>VLOOKUP($A120,'Data shares'!$C:$FB,124)</f>
        <v>0.26</v>
      </c>
      <c r="P120" s="50">
        <f>VLOOKUP($A120,'Data shares'!$C:$FB,125)</f>
        <v>0.2</v>
      </c>
      <c r="Q120" s="50">
        <f>VLOOKUP($A120,'Data shares'!$C:$FB,127)*100</f>
        <v>30</v>
      </c>
    </row>
    <row r="121" spans="1:17" x14ac:dyDescent="0.25">
      <c r="A121" s="97" t="str">
        <f>'Data Vlaue (Cr)'!C116</f>
        <v>KOTAKBANK</v>
      </c>
      <c r="B121" s="140">
        <f>VLOOKUP($A121,'Data shares'!$C:$FB,7)</f>
        <v>383.6</v>
      </c>
      <c r="C121" s="140">
        <f>VLOOKUP($A121,'Data shares'!$C:$FB,3)</f>
        <v>383.6</v>
      </c>
      <c r="D121" s="140">
        <f>VLOOKUP($A121,'Data shares'!$C:$FB,4)</f>
        <v>379.1</v>
      </c>
      <c r="E121" s="50">
        <f t="shared" si="3"/>
        <v>1.1870218939593775</v>
      </c>
      <c r="F121" s="49">
        <f>VLOOKUP($A121,'Data shares'!$C:$FB,98)</f>
        <v>276060000</v>
      </c>
      <c r="G121" s="49">
        <f>VLOOKUP($A121,'Data shares'!$C:$FB,99)</f>
        <v>280164000</v>
      </c>
      <c r="H121" s="50">
        <f t="shared" si="4"/>
        <v>-1.4648562984537628</v>
      </c>
      <c r="I121" s="49">
        <f>VLOOKUP($A121,'Data shares'!$C:$FB,66)</f>
        <v>68980000</v>
      </c>
      <c r="J121" s="49">
        <f>VLOOKUP($A121,'Data shares'!$C:$FB,67)</f>
        <v>79674000</v>
      </c>
      <c r="K121" s="50">
        <f t="shared" si="5"/>
        <v>-15.503044360684257</v>
      </c>
      <c r="L121" s="50">
        <f>VLOOKUP($A121,'Data shares'!$C:$FB,118)</f>
        <v>0.9</v>
      </c>
      <c r="M121" s="50">
        <f>VLOOKUP($A121,'Data shares'!$C:$FB,119)</f>
        <v>0.84</v>
      </c>
      <c r="N121" s="50">
        <f>VLOOKUP($A121,'Data shares'!$C:$FB,121)*100</f>
        <v>7.1400000000000006</v>
      </c>
      <c r="O121" s="50">
        <f>VLOOKUP($A121,'Data shares'!$C:$FB,124)</f>
        <v>0.61</v>
      </c>
      <c r="P121" s="50">
        <f>VLOOKUP($A121,'Data shares'!$C:$FB,125)</f>
        <v>0.53</v>
      </c>
      <c r="Q121" s="50">
        <f>VLOOKUP($A121,'Data shares'!$C:$FB,127)*100</f>
        <v>15.09</v>
      </c>
    </row>
    <row r="122" spans="1:17" x14ac:dyDescent="0.25">
      <c r="A122" s="97" t="str">
        <f>'Data Vlaue (Cr)'!C117</f>
        <v>KPITTECH</v>
      </c>
      <c r="B122" s="140">
        <f>VLOOKUP($A122,'Data shares'!$C:$FB,7)</f>
        <v>747.8</v>
      </c>
      <c r="C122" s="140">
        <f>VLOOKUP($A122,'Data shares'!$C:$FB,3)</f>
        <v>747.85</v>
      </c>
      <c r="D122" s="140">
        <f>VLOOKUP($A122,'Data shares'!$C:$FB,4)</f>
        <v>748.3</v>
      </c>
      <c r="E122" s="50">
        <f t="shared" si="3"/>
        <v>-6.0136308966982736E-2</v>
      </c>
      <c r="F122" s="49">
        <f>VLOOKUP($A122,'Data shares'!$C:$FB,98)</f>
        <v>12873250</v>
      </c>
      <c r="G122" s="49">
        <f>VLOOKUP($A122,'Data shares'!$C:$FB,99)</f>
        <v>12487350</v>
      </c>
      <c r="H122" s="50">
        <f t="shared" si="4"/>
        <v>3.0903274113402763</v>
      </c>
      <c r="I122" s="49">
        <f>VLOOKUP($A122,'Data shares'!$C:$FB,66)</f>
        <v>7751150</v>
      </c>
      <c r="J122" s="49">
        <f>VLOOKUP($A122,'Data shares'!$C:$FB,67)</f>
        <v>14207750</v>
      </c>
      <c r="K122" s="50">
        <f t="shared" si="5"/>
        <v>-83.298607303432391</v>
      </c>
      <c r="L122" s="50">
        <f>VLOOKUP($A122,'Data shares'!$C:$FB,118)</f>
        <v>0.64</v>
      </c>
      <c r="M122" s="50">
        <f>VLOOKUP($A122,'Data shares'!$C:$FB,119)</f>
        <v>0.64</v>
      </c>
      <c r="N122" s="50">
        <f>VLOOKUP($A122,'Data shares'!$C:$FB,121)*100</f>
        <v>0</v>
      </c>
      <c r="O122" s="50">
        <f>VLOOKUP($A122,'Data shares'!$C:$FB,124)</f>
        <v>0.42</v>
      </c>
      <c r="P122" s="50">
        <f>VLOOKUP($A122,'Data shares'!$C:$FB,125)</f>
        <v>0.34</v>
      </c>
      <c r="Q122" s="50">
        <f>VLOOKUP($A122,'Data shares'!$C:$FB,127)*100</f>
        <v>23.53</v>
      </c>
    </row>
    <row r="123" spans="1:17" x14ac:dyDescent="0.25">
      <c r="A123" s="97" t="str">
        <f>'Data Vlaue (Cr)'!C118</f>
        <v>LAURUSLABS</v>
      </c>
      <c r="B123" s="140">
        <f>VLOOKUP($A123,'Data shares'!$C:$FB,7)</f>
        <v>1135.75</v>
      </c>
      <c r="C123" s="140">
        <f>VLOOKUP($A123,'Data shares'!$C:$FB,3)</f>
        <v>1137.7</v>
      </c>
      <c r="D123" s="140">
        <f>VLOOKUP($A123,'Data shares'!$C:$FB,4)</f>
        <v>1131</v>
      </c>
      <c r="E123" s="50">
        <f t="shared" si="3"/>
        <v>0.59239610963749301</v>
      </c>
      <c r="F123" s="49">
        <f>VLOOKUP($A123,'Data shares'!$C:$FB,98)</f>
        <v>27976050</v>
      </c>
      <c r="G123" s="49">
        <f>VLOOKUP($A123,'Data shares'!$C:$FB,99)</f>
        <v>27794150</v>
      </c>
      <c r="H123" s="50">
        <f t="shared" si="4"/>
        <v>0.65445426465641154</v>
      </c>
      <c r="I123" s="49">
        <f>VLOOKUP($A123,'Data shares'!$C:$FB,66)</f>
        <v>12196650</v>
      </c>
      <c r="J123" s="49">
        <f>VLOOKUP($A123,'Data shares'!$C:$FB,67)</f>
        <v>10568050</v>
      </c>
      <c r="K123" s="50">
        <f t="shared" si="5"/>
        <v>13.352846888284898</v>
      </c>
      <c r="L123" s="50">
        <f>VLOOKUP($A123,'Data shares'!$C:$FB,118)</f>
        <v>0.88</v>
      </c>
      <c r="M123" s="50">
        <f>VLOOKUP($A123,'Data shares'!$C:$FB,119)</f>
        <v>0.88</v>
      </c>
      <c r="N123" s="50">
        <f>VLOOKUP($A123,'Data shares'!$C:$FB,121)*100</f>
        <v>0</v>
      </c>
      <c r="O123" s="50">
        <f>VLOOKUP($A123,'Data shares'!$C:$FB,124)</f>
        <v>0.55000000000000004</v>
      </c>
      <c r="P123" s="50">
        <f>VLOOKUP($A123,'Data shares'!$C:$FB,125)</f>
        <v>0.59</v>
      </c>
      <c r="Q123" s="50">
        <f>VLOOKUP($A123,'Data shares'!$C:$FB,127)*100</f>
        <v>-6.78</v>
      </c>
    </row>
    <row r="124" spans="1:17" x14ac:dyDescent="0.25">
      <c r="A124" s="97" t="str">
        <f>'Data Vlaue (Cr)'!C119</f>
        <v>LICHSGFIN</v>
      </c>
      <c r="B124" s="140">
        <f>VLOOKUP($A124,'Data shares'!$C:$FB,7)</f>
        <v>540</v>
      </c>
      <c r="C124" s="140">
        <f>VLOOKUP($A124,'Data shares'!$C:$FB,3)</f>
        <v>539.75</v>
      </c>
      <c r="D124" s="140">
        <f>VLOOKUP($A124,'Data shares'!$C:$FB,4)</f>
        <v>534.79999999999995</v>
      </c>
      <c r="E124" s="50">
        <f t="shared" si="3"/>
        <v>0.92557965594615677</v>
      </c>
      <c r="F124" s="49">
        <f>VLOOKUP($A124,'Data shares'!$C:$FB,98)</f>
        <v>43733000</v>
      </c>
      <c r="G124" s="49">
        <f>VLOOKUP($A124,'Data shares'!$C:$FB,99)</f>
        <v>43865000</v>
      </c>
      <c r="H124" s="50">
        <f t="shared" si="4"/>
        <v>-0.30092328735894225</v>
      </c>
      <c r="I124" s="49">
        <f>VLOOKUP($A124,'Data shares'!$C:$FB,66)</f>
        <v>9559000</v>
      </c>
      <c r="J124" s="49">
        <f>VLOOKUP($A124,'Data shares'!$C:$FB,67)</f>
        <v>13073000</v>
      </c>
      <c r="K124" s="50">
        <f t="shared" si="5"/>
        <v>-36.761167486138717</v>
      </c>
      <c r="L124" s="50">
        <f>VLOOKUP($A124,'Data shares'!$C:$FB,118)</f>
        <v>0.97</v>
      </c>
      <c r="M124" s="50">
        <f>VLOOKUP($A124,'Data shares'!$C:$FB,119)</f>
        <v>0.94</v>
      </c>
      <c r="N124" s="50">
        <f>VLOOKUP($A124,'Data shares'!$C:$FB,121)*100</f>
        <v>3.19</v>
      </c>
      <c r="O124" s="50">
        <f>VLOOKUP($A124,'Data shares'!$C:$FB,124)</f>
        <v>0.34</v>
      </c>
      <c r="P124" s="50">
        <f>VLOOKUP($A124,'Data shares'!$C:$FB,125)</f>
        <v>0.36</v>
      </c>
      <c r="Q124" s="50">
        <f>VLOOKUP($A124,'Data shares'!$C:$FB,127)*100</f>
        <v>-5.56</v>
      </c>
    </row>
    <row r="125" spans="1:17" x14ac:dyDescent="0.25">
      <c r="A125" s="97" t="str">
        <f>'Data Vlaue (Cr)'!C120</f>
        <v>LICI</v>
      </c>
      <c r="B125" s="140">
        <f>VLOOKUP($A125,'Data shares'!$C:$FB,7)</f>
        <v>842.2</v>
      </c>
      <c r="C125" s="140">
        <f>VLOOKUP($A125,'Data shares'!$C:$FB,3)</f>
        <v>844.15</v>
      </c>
      <c r="D125" s="140">
        <f>VLOOKUP($A125,'Data shares'!$C:$FB,4)</f>
        <v>839.8</v>
      </c>
      <c r="E125" s="50">
        <f t="shared" si="3"/>
        <v>0.51798047154084581</v>
      </c>
      <c r="F125" s="49">
        <f>VLOOKUP($A125,'Data shares'!$C:$FB,98)</f>
        <v>22010800</v>
      </c>
      <c r="G125" s="49">
        <f>VLOOKUP($A125,'Data shares'!$C:$FB,99)</f>
        <v>20463100</v>
      </c>
      <c r="H125" s="50">
        <f t="shared" si="4"/>
        <v>7.5633701638559163</v>
      </c>
      <c r="I125" s="49">
        <f>VLOOKUP($A125,'Data shares'!$C:$FB,66)</f>
        <v>9534000</v>
      </c>
      <c r="J125" s="49">
        <f>VLOOKUP($A125,'Data shares'!$C:$FB,67)</f>
        <v>12006400</v>
      </c>
      <c r="K125" s="50">
        <f t="shared" si="5"/>
        <v>-25.932452276064609</v>
      </c>
      <c r="L125" s="50">
        <f>VLOOKUP($A125,'Data shares'!$C:$FB,118)</f>
        <v>0.59</v>
      </c>
      <c r="M125" s="50">
        <f>VLOOKUP($A125,'Data shares'!$C:$FB,119)</f>
        <v>0.63</v>
      </c>
      <c r="N125" s="50">
        <f>VLOOKUP($A125,'Data shares'!$C:$FB,121)*100</f>
        <v>-6.35</v>
      </c>
      <c r="O125" s="50">
        <f>VLOOKUP($A125,'Data shares'!$C:$FB,124)</f>
        <v>0.47</v>
      </c>
      <c r="P125" s="50">
        <f>VLOOKUP($A125,'Data shares'!$C:$FB,125)</f>
        <v>0.37</v>
      </c>
      <c r="Q125" s="50">
        <f>VLOOKUP($A125,'Data shares'!$C:$FB,127)*100</f>
        <v>27.029999999999998</v>
      </c>
    </row>
    <row r="126" spans="1:17" x14ac:dyDescent="0.25">
      <c r="A126" s="97" t="str">
        <f>'Data Vlaue (Cr)'!C121</f>
        <v>LODHA</v>
      </c>
      <c r="B126" s="140">
        <f>VLOOKUP($A126,'Data shares'!$C:$FB,7)</f>
        <v>872.55</v>
      </c>
      <c r="C126" s="140">
        <f>VLOOKUP($A126,'Data shares'!$C:$FB,3)</f>
        <v>872.85</v>
      </c>
      <c r="D126" s="140">
        <f>VLOOKUP($A126,'Data shares'!$C:$FB,4)</f>
        <v>875.65</v>
      </c>
      <c r="E126" s="50">
        <f t="shared" si="3"/>
        <v>-0.31976246217095355</v>
      </c>
      <c r="F126" s="49">
        <f>VLOOKUP($A126,'Data shares'!$C:$FB,98)</f>
        <v>30568500</v>
      </c>
      <c r="G126" s="49">
        <f>VLOOKUP($A126,'Data shares'!$C:$FB,99)</f>
        <v>31558500</v>
      </c>
      <c r="H126" s="50">
        <f t="shared" si="4"/>
        <v>-3.137031227719949</v>
      </c>
      <c r="I126" s="49">
        <f>VLOOKUP($A126,'Data shares'!$C:$FB,66)</f>
        <v>15045750</v>
      </c>
      <c r="J126" s="49">
        <f>VLOOKUP($A126,'Data shares'!$C:$FB,67)</f>
        <v>17616150</v>
      </c>
      <c r="K126" s="50">
        <f t="shared" si="5"/>
        <v>-17.083894122925077</v>
      </c>
      <c r="L126" s="50">
        <f>VLOOKUP($A126,'Data shares'!$C:$FB,118)</f>
        <v>0.84</v>
      </c>
      <c r="M126" s="50">
        <f>VLOOKUP($A126,'Data shares'!$C:$FB,119)</f>
        <v>0.93</v>
      </c>
      <c r="N126" s="50">
        <f>VLOOKUP($A126,'Data shares'!$C:$FB,121)*100</f>
        <v>-9.68</v>
      </c>
      <c r="O126" s="50">
        <f>VLOOKUP($A126,'Data shares'!$C:$FB,124)</f>
        <v>0.82</v>
      </c>
      <c r="P126" s="50">
        <f>VLOOKUP($A126,'Data shares'!$C:$FB,125)</f>
        <v>0.78</v>
      </c>
      <c r="Q126" s="50">
        <f>VLOOKUP($A126,'Data shares'!$C:$FB,127)*100</f>
        <v>5.13</v>
      </c>
    </row>
    <row r="127" spans="1:17" x14ac:dyDescent="0.25">
      <c r="A127" s="97" t="str">
        <f>'Data Vlaue (Cr)'!C122</f>
        <v>LT</v>
      </c>
      <c r="B127" s="140">
        <f>VLOOKUP($A127,'Data shares'!$C:$FB,7)</f>
        <v>4096.1000000000004</v>
      </c>
      <c r="C127" s="140">
        <f>VLOOKUP($A127,'Data shares'!$C:$FB,3)</f>
        <v>4106.8999999999996</v>
      </c>
      <c r="D127" s="140">
        <f>VLOOKUP($A127,'Data shares'!$C:$FB,4)</f>
        <v>4118</v>
      </c>
      <c r="E127" s="50">
        <f t="shared" si="3"/>
        <v>-0.26954832442934346</v>
      </c>
      <c r="F127" s="49">
        <f>VLOOKUP($A127,'Data shares'!$C:$FB,98)</f>
        <v>32313225</v>
      </c>
      <c r="G127" s="49">
        <f>VLOOKUP($A127,'Data shares'!$C:$FB,99)</f>
        <v>32143650</v>
      </c>
      <c r="H127" s="50">
        <f t="shared" si="4"/>
        <v>0.52755365367654261</v>
      </c>
      <c r="I127" s="49">
        <f>VLOOKUP($A127,'Data shares'!$C:$FB,66)</f>
        <v>13683950</v>
      </c>
      <c r="J127" s="49">
        <f>VLOOKUP($A127,'Data shares'!$C:$FB,67)</f>
        <v>20012650</v>
      </c>
      <c r="K127" s="50">
        <f t="shared" si="5"/>
        <v>-46.249072818886361</v>
      </c>
      <c r="L127" s="50">
        <f>VLOOKUP($A127,'Data shares'!$C:$FB,118)</f>
        <v>0.89</v>
      </c>
      <c r="M127" s="50">
        <f>VLOOKUP($A127,'Data shares'!$C:$FB,119)</f>
        <v>0.87</v>
      </c>
      <c r="N127" s="50">
        <f>VLOOKUP($A127,'Data shares'!$C:$FB,121)*100</f>
        <v>2.2999999999999998</v>
      </c>
      <c r="O127" s="50">
        <f>VLOOKUP($A127,'Data shares'!$C:$FB,124)</f>
        <v>0.9</v>
      </c>
      <c r="P127" s="50">
        <f>VLOOKUP($A127,'Data shares'!$C:$FB,125)</f>
        <v>0.59</v>
      </c>
      <c r="Q127" s="50">
        <f>VLOOKUP($A127,'Data shares'!$C:$FB,127)*100</f>
        <v>52.54</v>
      </c>
    </row>
    <row r="128" spans="1:17" x14ac:dyDescent="0.25">
      <c r="A128" s="97" t="str">
        <f>'Data Vlaue (Cr)'!C123</f>
        <v>LTF</v>
      </c>
      <c r="B128" s="140">
        <f>VLOOKUP($A128,'Data shares'!$C:$FB,7)</f>
        <v>287.14</v>
      </c>
      <c r="C128" s="140">
        <f>VLOOKUP($A128,'Data shares'!$C:$FB,3)</f>
        <v>287.35000000000002</v>
      </c>
      <c r="D128" s="140">
        <f>VLOOKUP($A128,'Data shares'!$C:$FB,4)</f>
        <v>280.79000000000002</v>
      </c>
      <c r="E128" s="50">
        <f t="shared" si="3"/>
        <v>2.3362655365219567</v>
      </c>
      <c r="F128" s="49">
        <f>VLOOKUP($A128,'Data shares'!$C:$FB,98)</f>
        <v>88211250</v>
      </c>
      <c r="G128" s="49">
        <f>VLOOKUP($A128,'Data shares'!$C:$FB,99)</f>
        <v>89583750</v>
      </c>
      <c r="H128" s="50">
        <f t="shared" si="4"/>
        <v>-1.5320858972748965</v>
      </c>
      <c r="I128" s="49">
        <f>VLOOKUP($A128,'Data shares'!$C:$FB,66)</f>
        <v>45123750</v>
      </c>
      <c r="J128" s="49">
        <f>VLOOKUP($A128,'Data shares'!$C:$FB,67)</f>
        <v>34175250</v>
      </c>
      <c r="K128" s="50">
        <f t="shared" si="5"/>
        <v>24.263275991024681</v>
      </c>
      <c r="L128" s="50">
        <f>VLOOKUP($A128,'Data shares'!$C:$FB,118)</f>
        <v>0.87</v>
      </c>
      <c r="M128" s="50">
        <f>VLOOKUP($A128,'Data shares'!$C:$FB,119)</f>
        <v>0.78</v>
      </c>
      <c r="N128" s="50">
        <f>VLOOKUP($A128,'Data shares'!$C:$FB,121)*100</f>
        <v>11.540000000000001</v>
      </c>
      <c r="O128" s="50">
        <f>VLOOKUP($A128,'Data shares'!$C:$FB,124)</f>
        <v>0.61</v>
      </c>
      <c r="P128" s="50">
        <f>VLOOKUP($A128,'Data shares'!$C:$FB,125)</f>
        <v>0.34</v>
      </c>
      <c r="Q128" s="50">
        <f>VLOOKUP($A128,'Data shares'!$C:$FB,127)*100</f>
        <v>79.41</v>
      </c>
    </row>
    <row r="129" spans="1:17" x14ac:dyDescent="0.25">
      <c r="A129" s="97" t="str">
        <f>'Data Vlaue (Cr)'!C124</f>
        <v>LTM</v>
      </c>
      <c r="B129" s="140">
        <f>VLOOKUP($A129,'Data shares'!$C:$FB,7)</f>
        <v>4753.6000000000004</v>
      </c>
      <c r="C129" s="140">
        <f>VLOOKUP($A129,'Data shares'!$C:$FB,3)</f>
        <v>4691.8</v>
      </c>
      <c r="D129" s="140">
        <f>VLOOKUP($A129,'Data shares'!$C:$FB,4)</f>
        <v>4633</v>
      </c>
      <c r="E129" s="50">
        <f t="shared" si="3"/>
        <v>1.2691560543924063</v>
      </c>
      <c r="F129" s="49">
        <f>VLOOKUP($A129,'Data shares'!$C:$FB,98)</f>
        <v>6967500</v>
      </c>
      <c r="G129" s="49">
        <f>VLOOKUP($A129,'Data shares'!$C:$FB,99)</f>
        <v>6944100</v>
      </c>
      <c r="H129" s="50">
        <f t="shared" si="4"/>
        <v>0.33697671404501661</v>
      </c>
      <c r="I129" s="49">
        <f>VLOOKUP($A129,'Data shares'!$C:$FB,66)</f>
        <v>2693550</v>
      </c>
      <c r="J129" s="49">
        <f>VLOOKUP($A129,'Data shares'!$C:$FB,67)</f>
        <v>4492500</v>
      </c>
      <c r="K129" s="50">
        <f t="shared" si="5"/>
        <v>-66.787325277050741</v>
      </c>
      <c r="L129" s="50">
        <f>VLOOKUP($A129,'Data shares'!$C:$FB,118)</f>
        <v>0.87</v>
      </c>
      <c r="M129" s="50">
        <f>VLOOKUP($A129,'Data shares'!$C:$FB,119)</f>
        <v>0.77</v>
      </c>
      <c r="N129" s="50">
        <f>VLOOKUP($A129,'Data shares'!$C:$FB,121)*100</f>
        <v>12.989999999999998</v>
      </c>
      <c r="O129" s="50">
        <f>VLOOKUP($A129,'Data shares'!$C:$FB,124)</f>
        <v>0.5</v>
      </c>
      <c r="P129" s="50">
        <f>VLOOKUP($A129,'Data shares'!$C:$FB,125)</f>
        <v>0.28000000000000003</v>
      </c>
      <c r="Q129" s="50">
        <f>VLOOKUP($A129,'Data shares'!$C:$FB,127)*100</f>
        <v>78.569999999999993</v>
      </c>
    </row>
    <row r="130" spans="1:17" x14ac:dyDescent="0.25">
      <c r="A130" s="97" t="str">
        <f>'Data Vlaue (Cr)'!C125</f>
        <v>LUPIN</v>
      </c>
      <c r="B130" s="140">
        <f>VLOOKUP($A130,'Data shares'!$C:$FB,7)</f>
        <v>2326.1</v>
      </c>
      <c r="C130" s="140">
        <f>VLOOKUP($A130,'Data shares'!$C:$FB,3)</f>
        <v>2328.4</v>
      </c>
      <c r="D130" s="140">
        <f>VLOOKUP($A130,'Data shares'!$C:$FB,4)</f>
        <v>2326.1999999999998</v>
      </c>
      <c r="E130" s="50">
        <f t="shared" si="3"/>
        <v>9.4574843091749336E-2</v>
      </c>
      <c r="F130" s="49">
        <f>VLOOKUP($A130,'Data shares'!$C:$FB,98)</f>
        <v>10874900</v>
      </c>
      <c r="G130" s="49">
        <f>VLOOKUP($A130,'Data shares'!$C:$FB,99)</f>
        <v>10666225</v>
      </c>
      <c r="H130" s="50">
        <f t="shared" si="4"/>
        <v>1.9564091325656452</v>
      </c>
      <c r="I130" s="49">
        <f>VLOOKUP($A130,'Data shares'!$C:$FB,66)</f>
        <v>6756650</v>
      </c>
      <c r="J130" s="49">
        <f>VLOOKUP($A130,'Data shares'!$C:$FB,67)</f>
        <v>6970850</v>
      </c>
      <c r="K130" s="50">
        <f t="shared" si="5"/>
        <v>-3.1702100893194114</v>
      </c>
      <c r="L130" s="50">
        <f>VLOOKUP($A130,'Data shares'!$C:$FB,118)</f>
        <v>0.64</v>
      </c>
      <c r="M130" s="50">
        <f>VLOOKUP($A130,'Data shares'!$C:$FB,119)</f>
        <v>0.68</v>
      </c>
      <c r="N130" s="50">
        <f>VLOOKUP($A130,'Data shares'!$C:$FB,121)*100</f>
        <v>-5.88</v>
      </c>
      <c r="O130" s="50">
        <f>VLOOKUP($A130,'Data shares'!$C:$FB,124)</f>
        <v>0.47</v>
      </c>
      <c r="P130" s="50">
        <f>VLOOKUP($A130,'Data shares'!$C:$FB,125)</f>
        <v>0.46</v>
      </c>
      <c r="Q130" s="50">
        <f>VLOOKUP($A130,'Data shares'!$C:$FB,127)*100</f>
        <v>2.17</v>
      </c>
    </row>
    <row r="131" spans="1:17" x14ac:dyDescent="0.25">
      <c r="A131" s="97" t="str">
        <f>'Data Vlaue (Cr)'!C126</f>
        <v>M&amp;M</v>
      </c>
      <c r="B131" s="140">
        <f>VLOOKUP($A131,'Data shares'!$C:$FB,7)</f>
        <v>3200.2</v>
      </c>
      <c r="C131" s="140">
        <f>VLOOKUP($A131,'Data shares'!$C:$FB,3)</f>
        <v>3207.2</v>
      </c>
      <c r="D131" s="140">
        <f>VLOOKUP($A131,'Data shares'!$C:$FB,4)</f>
        <v>3229.3</v>
      </c>
      <c r="E131" s="50">
        <f t="shared" si="3"/>
        <v>-0.68435883937696596</v>
      </c>
      <c r="F131" s="49">
        <f>VLOOKUP($A131,'Data shares'!$C:$FB,98)</f>
        <v>28887000</v>
      </c>
      <c r="G131" s="49">
        <f>VLOOKUP($A131,'Data shares'!$C:$FB,99)</f>
        <v>27988000</v>
      </c>
      <c r="H131" s="50">
        <f t="shared" si="4"/>
        <v>3.2120908960983274</v>
      </c>
      <c r="I131" s="49">
        <f>VLOOKUP($A131,'Data shares'!$C:$FB,66)</f>
        <v>11856400</v>
      </c>
      <c r="J131" s="49">
        <f>VLOOKUP($A131,'Data shares'!$C:$FB,67)</f>
        <v>12157400</v>
      </c>
      <c r="K131" s="50">
        <f t="shared" si="5"/>
        <v>-2.5387132687831047</v>
      </c>
      <c r="L131" s="50">
        <f>VLOOKUP($A131,'Data shares'!$C:$FB,118)</f>
        <v>0.65</v>
      </c>
      <c r="M131" s="50">
        <f>VLOOKUP($A131,'Data shares'!$C:$FB,119)</f>
        <v>0.69</v>
      </c>
      <c r="N131" s="50">
        <f>VLOOKUP($A131,'Data shares'!$C:$FB,121)*100</f>
        <v>-5.8000000000000007</v>
      </c>
      <c r="O131" s="50">
        <f>VLOOKUP($A131,'Data shares'!$C:$FB,124)</f>
        <v>0.55000000000000004</v>
      </c>
      <c r="P131" s="50">
        <f>VLOOKUP($A131,'Data shares'!$C:$FB,125)</f>
        <v>0.6</v>
      </c>
      <c r="Q131" s="50">
        <f>VLOOKUP($A131,'Data shares'!$C:$FB,127)*100</f>
        <v>-8.33</v>
      </c>
    </row>
    <row r="132" spans="1:17" x14ac:dyDescent="0.25">
      <c r="A132" s="97" t="str">
        <f>'Data Vlaue (Cr)'!C127</f>
        <v>MANAPPURAM</v>
      </c>
      <c r="B132" s="140">
        <f>VLOOKUP($A132,'Data shares'!$C:$FB,7)</f>
        <v>268.89999999999998</v>
      </c>
      <c r="C132" s="140">
        <f>VLOOKUP($A132,'Data shares'!$C:$FB,3)</f>
        <v>270.05</v>
      </c>
      <c r="D132" s="140">
        <f>VLOOKUP($A132,'Data shares'!$C:$FB,4)</f>
        <v>269.05</v>
      </c>
      <c r="E132" s="50">
        <f t="shared" si="3"/>
        <v>0.37167812674224121</v>
      </c>
      <c r="F132" s="49">
        <f>VLOOKUP($A132,'Data shares'!$C:$FB,98)</f>
        <v>82248000</v>
      </c>
      <c r="G132" s="49">
        <f>VLOOKUP($A132,'Data shares'!$C:$FB,99)</f>
        <v>80421000</v>
      </c>
      <c r="H132" s="50">
        <f t="shared" si="4"/>
        <v>2.2717946804939007</v>
      </c>
      <c r="I132" s="49">
        <f>VLOOKUP($A132,'Data shares'!$C:$FB,66)</f>
        <v>27111000</v>
      </c>
      <c r="J132" s="49">
        <f>VLOOKUP($A132,'Data shares'!$C:$FB,67)</f>
        <v>23295000</v>
      </c>
      <c r="K132" s="50">
        <f t="shared" si="5"/>
        <v>14.075467522407878</v>
      </c>
      <c r="L132" s="50">
        <f>VLOOKUP($A132,'Data shares'!$C:$FB,118)</f>
        <v>0.65</v>
      </c>
      <c r="M132" s="50">
        <f>VLOOKUP($A132,'Data shares'!$C:$FB,119)</f>
        <v>0.62</v>
      </c>
      <c r="N132" s="50">
        <f>VLOOKUP($A132,'Data shares'!$C:$FB,121)*100</f>
        <v>4.84</v>
      </c>
      <c r="O132" s="50">
        <f>VLOOKUP($A132,'Data shares'!$C:$FB,124)</f>
        <v>0.68</v>
      </c>
      <c r="P132" s="50">
        <f>VLOOKUP($A132,'Data shares'!$C:$FB,125)</f>
        <v>0.6</v>
      </c>
      <c r="Q132" s="50">
        <f>VLOOKUP($A132,'Data shares'!$C:$FB,127)*100</f>
        <v>13.33</v>
      </c>
    </row>
    <row r="133" spans="1:17" x14ac:dyDescent="0.25">
      <c r="A133" s="97" t="str">
        <f>'Data Vlaue (Cr)'!C128</f>
        <v>MANKIND</v>
      </c>
      <c r="B133" s="140">
        <f>VLOOKUP($A133,'Data shares'!$C:$FB,7)</f>
        <v>2125</v>
      </c>
      <c r="C133" s="140">
        <f>VLOOKUP($A133,'Data shares'!$C:$FB,3)</f>
        <v>2129.4</v>
      </c>
      <c r="D133" s="140">
        <f>VLOOKUP($A133,'Data shares'!$C:$FB,4)</f>
        <v>2101.6999999999998</v>
      </c>
      <c r="E133" s="50">
        <f t="shared" si="3"/>
        <v>1.3179806823048141</v>
      </c>
      <c r="F133" s="49">
        <f>VLOOKUP($A133,'Data shares'!$C:$FB,98)</f>
        <v>3971925</v>
      </c>
      <c r="G133" s="49">
        <f>VLOOKUP($A133,'Data shares'!$C:$FB,99)</f>
        <v>3923325</v>
      </c>
      <c r="H133" s="50">
        <f t="shared" si="4"/>
        <v>1.2387451969948959</v>
      </c>
      <c r="I133" s="49">
        <f>VLOOKUP($A133,'Data shares'!$C:$FB,66)</f>
        <v>1062000</v>
      </c>
      <c r="J133" s="49">
        <f>VLOOKUP($A133,'Data shares'!$C:$FB,67)</f>
        <v>1438875</v>
      </c>
      <c r="K133" s="50">
        <f t="shared" si="5"/>
        <v>-35.487288135593218</v>
      </c>
      <c r="L133" s="50">
        <f>VLOOKUP($A133,'Data shares'!$C:$FB,118)</f>
        <v>0.33</v>
      </c>
      <c r="M133" s="50">
        <f>VLOOKUP($A133,'Data shares'!$C:$FB,119)</f>
        <v>0.35</v>
      </c>
      <c r="N133" s="50">
        <f>VLOOKUP($A133,'Data shares'!$C:$FB,121)*100</f>
        <v>-5.71</v>
      </c>
      <c r="O133" s="50">
        <f>VLOOKUP($A133,'Data shares'!$C:$FB,124)</f>
        <v>0.15</v>
      </c>
      <c r="P133" s="50">
        <f>VLOOKUP($A133,'Data shares'!$C:$FB,125)</f>
        <v>0.34</v>
      </c>
      <c r="Q133" s="50">
        <f>VLOOKUP($A133,'Data shares'!$C:$FB,127)*100</f>
        <v>-55.879999999999995</v>
      </c>
    </row>
    <row r="134" spans="1:17" x14ac:dyDescent="0.25">
      <c r="A134" s="97" t="str">
        <f>'Data Vlaue (Cr)'!C129</f>
        <v>MARICO</v>
      </c>
      <c r="B134" s="140">
        <f>VLOOKUP($A134,'Data shares'!$C:$FB,7)</f>
        <v>757.3</v>
      </c>
      <c r="C134" s="140">
        <f>VLOOKUP($A134,'Data shares'!$C:$FB,3)</f>
        <v>758.45</v>
      </c>
      <c r="D134" s="140">
        <f>VLOOKUP($A134,'Data shares'!$C:$FB,4)</f>
        <v>746.4</v>
      </c>
      <c r="E134" s="50">
        <f t="shared" si="3"/>
        <v>1.6144158628081551</v>
      </c>
      <c r="F134" s="49">
        <f>VLOOKUP($A134,'Data shares'!$C:$FB,98)</f>
        <v>33502800</v>
      </c>
      <c r="G134" s="49">
        <f>VLOOKUP($A134,'Data shares'!$C:$FB,99)</f>
        <v>33590400</v>
      </c>
      <c r="H134" s="50">
        <f t="shared" si="4"/>
        <v>-0.26078879679908545</v>
      </c>
      <c r="I134" s="49">
        <f>VLOOKUP($A134,'Data shares'!$C:$FB,66)</f>
        <v>20836800</v>
      </c>
      <c r="J134" s="49">
        <f>VLOOKUP($A134,'Data shares'!$C:$FB,67)</f>
        <v>12370800</v>
      </c>
      <c r="K134" s="50">
        <f t="shared" si="5"/>
        <v>40.630039161483531</v>
      </c>
      <c r="L134" s="50">
        <f>VLOOKUP($A134,'Data shares'!$C:$FB,118)</f>
        <v>0.86</v>
      </c>
      <c r="M134" s="50">
        <f>VLOOKUP($A134,'Data shares'!$C:$FB,119)</f>
        <v>0.88</v>
      </c>
      <c r="N134" s="50">
        <f>VLOOKUP($A134,'Data shares'!$C:$FB,121)*100</f>
        <v>-2.27</v>
      </c>
      <c r="O134" s="50">
        <f>VLOOKUP($A134,'Data shares'!$C:$FB,124)</f>
        <v>0.27</v>
      </c>
      <c r="P134" s="50">
        <f>VLOOKUP($A134,'Data shares'!$C:$FB,125)</f>
        <v>0.45</v>
      </c>
      <c r="Q134" s="50">
        <f>VLOOKUP($A134,'Data shares'!$C:$FB,127)*100</f>
        <v>-40</v>
      </c>
    </row>
    <row r="135" spans="1:17" x14ac:dyDescent="0.25">
      <c r="A135" s="97" t="str">
        <f>'Data Vlaue (Cr)'!C130</f>
        <v>MARUTI</v>
      </c>
      <c r="B135" s="140">
        <f>VLOOKUP($A135,'Data shares'!$C:$FB,7)</f>
        <v>13453</v>
      </c>
      <c r="C135" s="140">
        <f>VLOOKUP($A135,'Data shares'!$C:$FB,3)</f>
        <v>13490</v>
      </c>
      <c r="D135" s="140">
        <f>VLOOKUP($A135,'Data shares'!$C:$FB,4)</f>
        <v>13352</v>
      </c>
      <c r="E135" s="50">
        <f t="shared" si="3"/>
        <v>1.0335530257639305</v>
      </c>
      <c r="F135" s="49">
        <f>VLOOKUP($A135,'Data shares'!$C:$FB,98)</f>
        <v>6842600</v>
      </c>
      <c r="G135" s="49">
        <f>VLOOKUP($A135,'Data shares'!$C:$FB,99)</f>
        <v>6729500</v>
      </c>
      <c r="H135" s="50">
        <f t="shared" si="4"/>
        <v>1.6806597815588082</v>
      </c>
      <c r="I135" s="49">
        <f>VLOOKUP($A135,'Data shares'!$C:$FB,66)</f>
        <v>9439400</v>
      </c>
      <c r="J135" s="49">
        <f>VLOOKUP($A135,'Data shares'!$C:$FB,67)</f>
        <v>3545400</v>
      </c>
      <c r="K135" s="50">
        <f t="shared" si="5"/>
        <v>62.440409348051787</v>
      </c>
      <c r="L135" s="50">
        <f>VLOOKUP($A135,'Data shares'!$C:$FB,118)</f>
        <v>0.59</v>
      </c>
      <c r="M135" s="50">
        <f>VLOOKUP($A135,'Data shares'!$C:$FB,119)</f>
        <v>0.56000000000000005</v>
      </c>
      <c r="N135" s="50">
        <f>VLOOKUP($A135,'Data shares'!$C:$FB,121)*100</f>
        <v>5.36</v>
      </c>
      <c r="O135" s="50">
        <f>VLOOKUP($A135,'Data shares'!$C:$FB,124)</f>
        <v>0.42</v>
      </c>
      <c r="P135" s="50">
        <f>VLOOKUP($A135,'Data shares'!$C:$FB,125)</f>
        <v>0.47</v>
      </c>
      <c r="Q135" s="50">
        <f>VLOOKUP($A135,'Data shares'!$C:$FB,127)*100</f>
        <v>-10.639999999999999</v>
      </c>
    </row>
    <row r="136" spans="1:17" x14ac:dyDescent="0.25">
      <c r="A136" s="97" t="str">
        <f>'Data Vlaue (Cr)'!C131</f>
        <v>MAXHEALTH</v>
      </c>
      <c r="B136" s="140">
        <f>VLOOKUP($A136,'Data shares'!$C:$FB,7)</f>
        <v>1007.65</v>
      </c>
      <c r="C136" s="140">
        <f>VLOOKUP($A136,'Data shares'!$C:$FB,3)</f>
        <v>1007.45</v>
      </c>
      <c r="D136" s="140">
        <f>VLOOKUP($A136,'Data shares'!$C:$FB,4)</f>
        <v>991</v>
      </c>
      <c r="E136" s="50">
        <f t="shared" ref="E136:E172" si="6">(C136-D136)/D136*100</f>
        <v>1.6599394550958675</v>
      </c>
      <c r="F136" s="49">
        <f>VLOOKUP($A136,'Data shares'!$C:$FB,98)</f>
        <v>21362250</v>
      </c>
      <c r="G136" s="49">
        <f>VLOOKUP($A136,'Data shares'!$C:$FB,99)</f>
        <v>20830425</v>
      </c>
      <c r="H136" s="50">
        <f t="shared" ref="H136:H172" si="7">(F136-G136)/G136*100</f>
        <v>2.5531164150515413</v>
      </c>
      <c r="I136" s="49">
        <f>VLOOKUP($A136,'Data shares'!$C:$FB,66)</f>
        <v>11106375</v>
      </c>
      <c r="J136" s="49">
        <f>VLOOKUP($A136,'Data shares'!$C:$FB,67)</f>
        <v>17094525</v>
      </c>
      <c r="K136" s="50">
        <f t="shared" ref="K136:K172" si="8">(I136-J136)/I136*100</f>
        <v>-53.916331836445288</v>
      </c>
      <c r="L136" s="50">
        <f>VLOOKUP($A136,'Data shares'!$C:$FB,118)</f>
        <v>0.56000000000000005</v>
      </c>
      <c r="M136" s="50">
        <f>VLOOKUP($A136,'Data shares'!$C:$FB,119)</f>
        <v>0.65</v>
      </c>
      <c r="N136" s="50">
        <f>VLOOKUP($A136,'Data shares'!$C:$FB,121)*100</f>
        <v>-13.850000000000001</v>
      </c>
      <c r="O136" s="50">
        <f>VLOOKUP($A136,'Data shares'!$C:$FB,124)</f>
        <v>0.35</v>
      </c>
      <c r="P136" s="50">
        <f>VLOOKUP($A136,'Data shares'!$C:$FB,125)</f>
        <v>0.39</v>
      </c>
      <c r="Q136" s="50">
        <f>VLOOKUP($A136,'Data shares'!$C:$FB,127)*100</f>
        <v>-10.26</v>
      </c>
    </row>
    <row r="137" spans="1:17" x14ac:dyDescent="0.25">
      <c r="A137" s="97" t="str">
        <f>'Data Vlaue (Cr)'!C132</f>
        <v>MAZDOCK</v>
      </c>
      <c r="B137" s="140">
        <f>VLOOKUP($A137,'Data shares'!$C:$FB,7)</f>
        <v>2616.4</v>
      </c>
      <c r="C137" s="140">
        <f>VLOOKUP($A137,'Data shares'!$C:$FB,3)</f>
        <v>2624.7</v>
      </c>
      <c r="D137" s="140">
        <f>VLOOKUP($A137,'Data shares'!$C:$FB,4)</f>
        <v>2572.6</v>
      </c>
      <c r="E137" s="50">
        <f t="shared" si="6"/>
        <v>2.0251885252273927</v>
      </c>
      <c r="F137" s="49">
        <f>VLOOKUP($A137,'Data shares'!$C:$FB,98)</f>
        <v>11011000</v>
      </c>
      <c r="G137" s="49">
        <f>VLOOKUP($A137,'Data shares'!$C:$FB,99)</f>
        <v>10124000</v>
      </c>
      <c r="H137" s="50">
        <f t="shared" si="7"/>
        <v>8.7613591465823788</v>
      </c>
      <c r="I137" s="49">
        <f>VLOOKUP($A137,'Data shares'!$C:$FB,66)</f>
        <v>17867400</v>
      </c>
      <c r="J137" s="49">
        <f>VLOOKUP($A137,'Data shares'!$C:$FB,67)</f>
        <v>8985600</v>
      </c>
      <c r="K137" s="50">
        <f t="shared" si="8"/>
        <v>49.709526847778633</v>
      </c>
      <c r="L137" s="50">
        <f>VLOOKUP($A137,'Data shares'!$C:$FB,118)</f>
        <v>0.73</v>
      </c>
      <c r="M137" s="50">
        <f>VLOOKUP($A137,'Data shares'!$C:$FB,119)</f>
        <v>0.78</v>
      </c>
      <c r="N137" s="50">
        <f>VLOOKUP($A137,'Data shares'!$C:$FB,121)*100</f>
        <v>-6.41</v>
      </c>
      <c r="O137" s="50">
        <f>VLOOKUP($A137,'Data shares'!$C:$FB,124)</f>
        <v>0.32</v>
      </c>
      <c r="P137" s="50">
        <f>VLOOKUP($A137,'Data shares'!$C:$FB,125)</f>
        <v>0.47</v>
      </c>
      <c r="Q137" s="50">
        <f>VLOOKUP($A137,'Data shares'!$C:$FB,127)*100</f>
        <v>-31.91</v>
      </c>
    </row>
    <row r="138" spans="1:17" x14ac:dyDescent="0.25">
      <c r="A138" s="97" t="str">
        <f>'Data Vlaue (Cr)'!C133</f>
        <v>MCX</v>
      </c>
      <c r="B138" s="140">
        <f>VLOOKUP($A138,'Data shares'!$C:$FB,7)</f>
        <v>2856.1</v>
      </c>
      <c r="C138" s="140">
        <f>VLOOKUP($A138,'Data shares'!$C:$FB,3)</f>
        <v>2861.9</v>
      </c>
      <c r="D138" s="140">
        <f>VLOOKUP($A138,'Data shares'!$C:$FB,4)</f>
        <v>2872.7</v>
      </c>
      <c r="E138" s="50">
        <f t="shared" si="6"/>
        <v>-0.37595293626204362</v>
      </c>
      <c r="F138" s="49">
        <f>VLOOKUP($A138,'Data shares'!$C:$FB,98)</f>
        <v>29853750</v>
      </c>
      <c r="G138" s="49">
        <f>VLOOKUP($A138,'Data shares'!$C:$FB,99)</f>
        <v>29480625</v>
      </c>
      <c r="H138" s="50">
        <f t="shared" si="7"/>
        <v>1.2656617693824332</v>
      </c>
      <c r="I138" s="49">
        <f>VLOOKUP($A138,'Data shares'!$C:$FB,66)</f>
        <v>43651875</v>
      </c>
      <c r="J138" s="49">
        <f>VLOOKUP($A138,'Data shares'!$C:$FB,67)</f>
        <v>26611875</v>
      </c>
      <c r="K138" s="50">
        <f t="shared" si="8"/>
        <v>39.036123877840303</v>
      </c>
      <c r="L138" s="50">
        <f>VLOOKUP($A138,'Data shares'!$C:$FB,118)</f>
        <v>0.91</v>
      </c>
      <c r="M138" s="50">
        <f>VLOOKUP($A138,'Data shares'!$C:$FB,119)</f>
        <v>0.95</v>
      </c>
      <c r="N138" s="50">
        <f>VLOOKUP($A138,'Data shares'!$C:$FB,121)*100</f>
        <v>-4.21</v>
      </c>
      <c r="O138" s="50">
        <f>VLOOKUP($A138,'Data shares'!$C:$FB,124)</f>
        <v>0.73</v>
      </c>
      <c r="P138" s="50">
        <f>VLOOKUP($A138,'Data shares'!$C:$FB,125)</f>
        <v>0.56999999999999995</v>
      </c>
      <c r="Q138" s="50">
        <f>VLOOKUP($A138,'Data shares'!$C:$FB,127)*100</f>
        <v>28.07</v>
      </c>
    </row>
    <row r="139" spans="1:17" x14ac:dyDescent="0.25">
      <c r="A139" s="97" t="str">
        <f>'Data Vlaue (Cr)'!C134</f>
        <v>MFSL</v>
      </c>
      <c r="B139" s="140">
        <f>VLOOKUP($A139,'Data shares'!$C:$FB,7)</f>
        <v>1683.2</v>
      </c>
      <c r="C139" s="140">
        <f>VLOOKUP($A139,'Data shares'!$C:$FB,3)</f>
        <v>1681.8</v>
      </c>
      <c r="D139" s="140">
        <f>VLOOKUP($A139,'Data shares'!$C:$FB,4)</f>
        <v>1694.6</v>
      </c>
      <c r="E139" s="50">
        <f t="shared" si="6"/>
        <v>-0.75534049333175701</v>
      </c>
      <c r="F139" s="49">
        <f>VLOOKUP($A139,'Data shares'!$C:$FB,98)</f>
        <v>11176800</v>
      </c>
      <c r="G139" s="49">
        <f>VLOOKUP($A139,'Data shares'!$C:$FB,99)</f>
        <v>11404800</v>
      </c>
      <c r="H139" s="50">
        <f t="shared" si="7"/>
        <v>-1.9991582491582491</v>
      </c>
      <c r="I139" s="49">
        <f>VLOOKUP($A139,'Data shares'!$C:$FB,66)</f>
        <v>1715600</v>
      </c>
      <c r="J139" s="49">
        <f>VLOOKUP($A139,'Data shares'!$C:$FB,67)</f>
        <v>1561600</v>
      </c>
      <c r="K139" s="50">
        <f t="shared" si="8"/>
        <v>8.9764513872697602</v>
      </c>
      <c r="L139" s="50">
        <f>VLOOKUP($A139,'Data shares'!$C:$FB,118)</f>
        <v>0.61</v>
      </c>
      <c r="M139" s="50">
        <f>VLOOKUP($A139,'Data shares'!$C:$FB,119)</f>
        <v>0.64</v>
      </c>
      <c r="N139" s="50">
        <f>VLOOKUP($A139,'Data shares'!$C:$FB,121)*100</f>
        <v>-4.6899999999999995</v>
      </c>
      <c r="O139" s="50">
        <f>VLOOKUP($A139,'Data shares'!$C:$FB,124)</f>
        <v>0.81</v>
      </c>
      <c r="P139" s="50">
        <f>VLOOKUP($A139,'Data shares'!$C:$FB,125)</f>
        <v>0.56999999999999995</v>
      </c>
      <c r="Q139" s="50">
        <f>VLOOKUP($A139,'Data shares'!$C:$FB,127)*100</f>
        <v>42.11</v>
      </c>
    </row>
    <row r="140" spans="1:17" x14ac:dyDescent="0.25">
      <c r="A140" s="97" t="str">
        <f>'Data Vlaue (Cr)'!C135</f>
        <v>MIDCPNIFTY</v>
      </c>
      <c r="B140" s="140">
        <f>VLOOKUP($A140,'Data shares'!$C:$FB,7)</f>
        <v>13838.85</v>
      </c>
      <c r="C140" s="140">
        <f>VLOOKUP($A140,'Data shares'!$C:$FB,3)</f>
        <v>13849.2</v>
      </c>
      <c r="D140" s="140">
        <f>VLOOKUP($A140,'Data shares'!$C:$FB,4)</f>
        <v>13681.15</v>
      </c>
      <c r="E140" s="50">
        <f t="shared" si="6"/>
        <v>1.228332413576352</v>
      </c>
      <c r="F140" s="49">
        <f>VLOOKUP($A140,'Data shares'!$C:$FB,98)</f>
        <v>15694680</v>
      </c>
      <c r="G140" s="49">
        <f>VLOOKUP($A140,'Data shares'!$C:$FB,99)</f>
        <v>13659600</v>
      </c>
      <c r="H140" s="50">
        <f t="shared" si="7"/>
        <v>14.898532899938505</v>
      </c>
      <c r="I140" s="49">
        <f>VLOOKUP($A140,'Data shares'!$C:$FB,66)</f>
        <v>33626640</v>
      </c>
      <c r="J140" s="49">
        <f>VLOOKUP($A140,'Data shares'!$C:$FB,67)</f>
        <v>23180280</v>
      </c>
      <c r="K140" s="50">
        <f t="shared" si="8"/>
        <v>31.065726459735494</v>
      </c>
      <c r="L140" s="50">
        <f>VLOOKUP($A140,'Data shares'!$C:$FB,118)</f>
        <v>1.21</v>
      </c>
      <c r="M140" s="50">
        <f>VLOOKUP($A140,'Data shares'!$C:$FB,119)</f>
        <v>1.27</v>
      </c>
      <c r="N140" s="50">
        <f>VLOOKUP($A140,'Data shares'!$C:$FB,121)*100</f>
        <v>-4.72</v>
      </c>
      <c r="O140" s="50">
        <f>VLOOKUP($A140,'Data shares'!$C:$FB,124)</f>
        <v>1.32</v>
      </c>
      <c r="P140" s="50">
        <f>VLOOKUP($A140,'Data shares'!$C:$FB,125)</f>
        <v>1.05</v>
      </c>
      <c r="Q140" s="50">
        <f>VLOOKUP($A140,'Data shares'!$C:$FB,127)*100</f>
        <v>25.71</v>
      </c>
    </row>
    <row r="141" spans="1:17" x14ac:dyDescent="0.25">
      <c r="A141" s="97" t="str">
        <f>'Data Vlaue (Cr)'!C136</f>
        <v>MOTHERSON</v>
      </c>
      <c r="B141" s="140">
        <f>VLOOKUP($A141,'Data shares'!$C:$FB,7)</f>
        <v>125.03</v>
      </c>
      <c r="C141" s="140">
        <f>VLOOKUP($A141,'Data shares'!$C:$FB,3)</f>
        <v>125.05</v>
      </c>
      <c r="D141" s="140">
        <f>VLOOKUP($A141,'Data shares'!$C:$FB,4)</f>
        <v>123.06</v>
      </c>
      <c r="E141" s="50">
        <f t="shared" si="6"/>
        <v>1.6170973508857427</v>
      </c>
      <c r="F141" s="49">
        <f>VLOOKUP($A141,'Data shares'!$C:$FB,98)</f>
        <v>204364500</v>
      </c>
      <c r="G141" s="49">
        <f>VLOOKUP($A141,'Data shares'!$C:$FB,99)</f>
        <v>209302950</v>
      </c>
      <c r="H141" s="50">
        <f t="shared" si="7"/>
        <v>-2.3594746275673613</v>
      </c>
      <c r="I141" s="49">
        <f>VLOOKUP($A141,'Data shares'!$C:$FB,66)</f>
        <v>89642400</v>
      </c>
      <c r="J141" s="49">
        <f>VLOOKUP($A141,'Data shares'!$C:$FB,67)</f>
        <v>56247900</v>
      </c>
      <c r="K141" s="50">
        <f t="shared" si="8"/>
        <v>37.253018660812295</v>
      </c>
      <c r="L141" s="50">
        <f>VLOOKUP($A141,'Data shares'!$C:$FB,118)</f>
        <v>0.89</v>
      </c>
      <c r="M141" s="50">
        <f>VLOOKUP($A141,'Data shares'!$C:$FB,119)</f>
        <v>0.99</v>
      </c>
      <c r="N141" s="50">
        <f>VLOOKUP($A141,'Data shares'!$C:$FB,121)*100</f>
        <v>-10.100000000000001</v>
      </c>
      <c r="O141" s="50">
        <f>VLOOKUP($A141,'Data shares'!$C:$FB,124)</f>
        <v>1.01</v>
      </c>
      <c r="P141" s="50">
        <f>VLOOKUP($A141,'Data shares'!$C:$FB,125)</f>
        <v>0.8</v>
      </c>
      <c r="Q141" s="50">
        <f>VLOOKUP($A141,'Data shares'!$C:$FB,127)*100</f>
        <v>26.25</v>
      </c>
    </row>
    <row r="142" spans="1:17" x14ac:dyDescent="0.25">
      <c r="A142" s="97" t="str">
        <f>'Data Vlaue (Cr)'!C137</f>
        <v>MOTILALOFS</v>
      </c>
      <c r="B142" s="140">
        <f>VLOOKUP($A142,'Data shares'!$C:$FB,7)</f>
        <v>815.45</v>
      </c>
      <c r="C142" s="140">
        <f>VLOOKUP($A142,'Data shares'!$C:$FB,3)</f>
        <v>817.75</v>
      </c>
      <c r="D142" s="140">
        <f>VLOOKUP($A142,'Data shares'!$C:$FB,4)</f>
        <v>784.95</v>
      </c>
      <c r="E142" s="50">
        <f t="shared" si="6"/>
        <v>4.1786101025542965</v>
      </c>
      <c r="F142" s="49">
        <f>VLOOKUP($A142,'Data shares'!$C:$FB,98)</f>
        <v>5677650</v>
      </c>
      <c r="G142" s="49">
        <f>VLOOKUP($A142,'Data shares'!$C:$FB,99)</f>
        <v>4300475</v>
      </c>
      <c r="H142" s="50">
        <f t="shared" si="7"/>
        <v>32.02378806992251</v>
      </c>
      <c r="I142" s="49">
        <f>VLOOKUP($A142,'Data shares'!$C:$FB,66)</f>
        <v>11142175</v>
      </c>
      <c r="J142" s="49">
        <f>VLOOKUP($A142,'Data shares'!$C:$FB,67)</f>
        <v>4477175</v>
      </c>
      <c r="K142" s="50">
        <f t="shared" si="8"/>
        <v>59.817764484941229</v>
      </c>
      <c r="L142" s="50">
        <f>VLOOKUP($A142,'Data shares'!$C:$FB,118)</f>
        <v>0.78</v>
      </c>
      <c r="M142" s="50">
        <f>VLOOKUP($A142,'Data shares'!$C:$FB,119)</f>
        <v>0.86</v>
      </c>
      <c r="N142" s="50">
        <f>VLOOKUP($A142,'Data shares'!$C:$FB,121)*100</f>
        <v>-9.3000000000000007</v>
      </c>
      <c r="O142" s="50">
        <f>VLOOKUP($A142,'Data shares'!$C:$FB,124)</f>
        <v>0.23</v>
      </c>
      <c r="P142" s="50">
        <f>VLOOKUP($A142,'Data shares'!$C:$FB,125)</f>
        <v>1.91</v>
      </c>
      <c r="Q142" s="50">
        <f>VLOOKUP($A142,'Data shares'!$C:$FB,127)*100</f>
        <v>-87.960000000000008</v>
      </c>
    </row>
    <row r="143" spans="1:17" x14ac:dyDescent="0.25">
      <c r="A143" s="97" t="str">
        <f>'Data Vlaue (Cr)'!C138</f>
        <v>MPHASIS</v>
      </c>
      <c r="B143" s="140">
        <f>VLOOKUP($A143,'Data shares'!$C:$FB,7)</f>
        <v>2462.1999999999998</v>
      </c>
      <c r="C143" s="140">
        <f>VLOOKUP($A143,'Data shares'!$C:$FB,3)</f>
        <v>2470</v>
      </c>
      <c r="D143" s="140">
        <f>VLOOKUP($A143,'Data shares'!$C:$FB,4)</f>
        <v>2448.5</v>
      </c>
      <c r="E143" s="50">
        <f t="shared" si="6"/>
        <v>0.87808862568919743</v>
      </c>
      <c r="F143" s="49">
        <f>VLOOKUP($A143,'Data shares'!$C:$FB,98)</f>
        <v>6829625</v>
      </c>
      <c r="G143" s="49">
        <f>VLOOKUP($A143,'Data shares'!$C:$FB,99)</f>
        <v>7052375</v>
      </c>
      <c r="H143" s="50">
        <f t="shared" si="7"/>
        <v>-3.1585104308832128</v>
      </c>
      <c r="I143" s="49">
        <f>VLOOKUP($A143,'Data shares'!$C:$FB,66)</f>
        <v>2353175</v>
      </c>
      <c r="J143" s="49">
        <f>VLOOKUP($A143,'Data shares'!$C:$FB,67)</f>
        <v>3857150</v>
      </c>
      <c r="K143" s="50">
        <f t="shared" si="8"/>
        <v>-63.912586186747689</v>
      </c>
      <c r="L143" s="50">
        <f>VLOOKUP($A143,'Data shares'!$C:$FB,118)</f>
        <v>0.78</v>
      </c>
      <c r="M143" s="50">
        <f>VLOOKUP($A143,'Data shares'!$C:$FB,119)</f>
        <v>0.78</v>
      </c>
      <c r="N143" s="50">
        <f>VLOOKUP($A143,'Data shares'!$C:$FB,121)*100</f>
        <v>0</v>
      </c>
      <c r="O143" s="50">
        <f>VLOOKUP($A143,'Data shares'!$C:$FB,124)</f>
        <v>0.76</v>
      </c>
      <c r="P143" s="50">
        <f>VLOOKUP($A143,'Data shares'!$C:$FB,125)</f>
        <v>0.33</v>
      </c>
      <c r="Q143" s="50">
        <f>VLOOKUP($A143,'Data shares'!$C:$FB,127)*100</f>
        <v>130.29999999999998</v>
      </c>
    </row>
    <row r="144" spans="1:17" x14ac:dyDescent="0.25">
      <c r="A144" s="97" t="str">
        <f>'Data Vlaue (Cr)'!C139</f>
        <v>MUTHOOTFIN</v>
      </c>
      <c r="B144" s="140">
        <f>VLOOKUP($A144,'Data shares'!$C:$FB,7)</f>
        <v>3571.3</v>
      </c>
      <c r="C144" s="140">
        <f>VLOOKUP($A144,'Data shares'!$C:$FB,3)</f>
        <v>3572</v>
      </c>
      <c r="D144" s="140">
        <f>VLOOKUP($A144,'Data shares'!$C:$FB,4)</f>
        <v>3549.6</v>
      </c>
      <c r="E144" s="50">
        <f t="shared" si="6"/>
        <v>0.63105702050935575</v>
      </c>
      <c r="F144" s="49">
        <f>VLOOKUP($A144,'Data shares'!$C:$FB,98)</f>
        <v>7704950</v>
      </c>
      <c r="G144" s="49">
        <f>VLOOKUP($A144,'Data shares'!$C:$FB,99)</f>
        <v>7497600</v>
      </c>
      <c r="H144" s="50">
        <f t="shared" si="7"/>
        <v>2.7655516431924885</v>
      </c>
      <c r="I144" s="49">
        <f>VLOOKUP($A144,'Data shares'!$C:$FB,66)</f>
        <v>8393275</v>
      </c>
      <c r="J144" s="49">
        <f>VLOOKUP($A144,'Data shares'!$C:$FB,67)</f>
        <v>4658225</v>
      </c>
      <c r="K144" s="50">
        <f t="shared" si="8"/>
        <v>44.500507847056127</v>
      </c>
      <c r="L144" s="50">
        <f>VLOOKUP($A144,'Data shares'!$C:$FB,118)</f>
        <v>0.61</v>
      </c>
      <c r="M144" s="50">
        <f>VLOOKUP($A144,'Data shares'!$C:$FB,119)</f>
        <v>0.67</v>
      </c>
      <c r="N144" s="50">
        <f>VLOOKUP($A144,'Data shares'!$C:$FB,121)*100</f>
        <v>-8.9599999999999991</v>
      </c>
      <c r="O144" s="50">
        <f>VLOOKUP($A144,'Data shares'!$C:$FB,124)</f>
        <v>0.51</v>
      </c>
      <c r="P144" s="50">
        <f>VLOOKUP($A144,'Data shares'!$C:$FB,125)</f>
        <v>0.49</v>
      </c>
      <c r="Q144" s="50">
        <f>VLOOKUP($A144,'Data shares'!$C:$FB,127)*100</f>
        <v>4.08</v>
      </c>
    </row>
    <row r="145" spans="1:17" x14ac:dyDescent="0.25">
      <c r="A145" s="97" t="str">
        <f>'Data Vlaue (Cr)'!C140</f>
        <v>NAM-INDIA</v>
      </c>
      <c r="B145" s="140">
        <f>VLOOKUP($A145,'Data shares'!$C:$FB,7)</f>
        <v>1015.05</v>
      </c>
      <c r="C145" s="140">
        <f>VLOOKUP($A145,'Data shares'!$C:$FB,3)</f>
        <v>1000.05</v>
      </c>
      <c r="D145" s="140">
        <f>VLOOKUP($A145,'Data shares'!$C:$FB,4)</f>
        <v>963.9</v>
      </c>
      <c r="E145" s="50">
        <f t="shared" si="6"/>
        <v>3.7503890445066892</v>
      </c>
      <c r="F145" s="49">
        <f>VLOOKUP($A145,'Data shares'!$C:$FB,98)</f>
        <v>4444375</v>
      </c>
      <c r="G145" s="49">
        <f>VLOOKUP($A145,'Data shares'!$C:$FB,99)</f>
        <v>3747500</v>
      </c>
      <c r="H145" s="50">
        <f t="shared" si="7"/>
        <v>18.595730486991329</v>
      </c>
      <c r="I145" s="49">
        <f>VLOOKUP($A145,'Data shares'!$C:$FB,66)</f>
        <v>4853750</v>
      </c>
      <c r="J145" s="49">
        <f>VLOOKUP($A145,'Data shares'!$C:$FB,67)</f>
        <v>4896250</v>
      </c>
      <c r="K145" s="50">
        <f t="shared" si="8"/>
        <v>-0.87561164048416185</v>
      </c>
      <c r="L145" s="50">
        <f>VLOOKUP($A145,'Data shares'!$C:$FB,118)</f>
        <v>0.73</v>
      </c>
      <c r="M145" s="50">
        <f>VLOOKUP($A145,'Data shares'!$C:$FB,119)</f>
        <v>0.57999999999999996</v>
      </c>
      <c r="N145" s="50">
        <f>VLOOKUP($A145,'Data shares'!$C:$FB,121)*100</f>
        <v>25.86</v>
      </c>
      <c r="O145" s="50">
        <f>VLOOKUP($A145,'Data shares'!$C:$FB,124)</f>
        <v>0.26</v>
      </c>
      <c r="P145" s="50">
        <f>VLOOKUP($A145,'Data shares'!$C:$FB,125)</f>
        <v>1.26</v>
      </c>
      <c r="Q145" s="50">
        <f>VLOOKUP($A145,'Data shares'!$C:$FB,127)*100</f>
        <v>-79.36999999999999</v>
      </c>
    </row>
    <row r="146" spans="1:17" x14ac:dyDescent="0.25">
      <c r="A146" s="97" t="str">
        <f>'Data Vlaue (Cr)'!C141</f>
        <v>NATIONALUM</v>
      </c>
      <c r="B146" s="140">
        <f>VLOOKUP($A146,'Data shares'!$C:$FB,7)</f>
        <v>438.75</v>
      </c>
      <c r="C146" s="140">
        <f>VLOOKUP($A146,'Data shares'!$C:$FB,3)</f>
        <v>438.65</v>
      </c>
      <c r="D146" s="140">
        <f>VLOOKUP($A146,'Data shares'!$C:$FB,4)</f>
        <v>434</v>
      </c>
      <c r="E146" s="50">
        <f t="shared" si="6"/>
        <v>1.0714285714285663</v>
      </c>
      <c r="F146" s="49">
        <f>VLOOKUP($A146,'Data shares'!$C:$FB,98)</f>
        <v>122265000</v>
      </c>
      <c r="G146" s="49">
        <f>VLOOKUP($A146,'Data shares'!$C:$FB,99)</f>
        <v>123097500</v>
      </c>
      <c r="H146" s="50">
        <f t="shared" si="7"/>
        <v>-0.67629318223359536</v>
      </c>
      <c r="I146" s="49">
        <f>VLOOKUP($A146,'Data shares'!$C:$FB,66)</f>
        <v>111757500</v>
      </c>
      <c r="J146" s="49">
        <f>VLOOKUP($A146,'Data shares'!$C:$FB,67)</f>
        <v>150393750</v>
      </c>
      <c r="K146" s="50">
        <f t="shared" si="8"/>
        <v>-34.571505268102811</v>
      </c>
      <c r="L146" s="50">
        <f>VLOOKUP($A146,'Data shares'!$C:$FB,118)</f>
        <v>1</v>
      </c>
      <c r="M146" s="50">
        <f>VLOOKUP($A146,'Data shares'!$C:$FB,119)</f>
        <v>0.93</v>
      </c>
      <c r="N146" s="50">
        <f>VLOOKUP($A146,'Data shares'!$C:$FB,121)*100</f>
        <v>7.53</v>
      </c>
      <c r="O146" s="50">
        <f>VLOOKUP($A146,'Data shares'!$C:$FB,124)</f>
        <v>0.55000000000000004</v>
      </c>
      <c r="P146" s="50">
        <f>VLOOKUP($A146,'Data shares'!$C:$FB,125)</f>
        <v>0.4</v>
      </c>
      <c r="Q146" s="50">
        <f>VLOOKUP($A146,'Data shares'!$C:$FB,127)*100</f>
        <v>37.5</v>
      </c>
    </row>
    <row r="147" spans="1:17" x14ac:dyDescent="0.25">
      <c r="A147" s="97" t="str">
        <f>'Data Vlaue (Cr)'!C142</f>
        <v>NAUKRI</v>
      </c>
      <c r="B147" s="140">
        <f>VLOOKUP($A147,'Data shares'!$C:$FB,7)</f>
        <v>1054.55</v>
      </c>
      <c r="C147" s="140">
        <f>VLOOKUP($A147,'Data shares'!$C:$FB,3)</f>
        <v>1055.5</v>
      </c>
      <c r="D147" s="140">
        <f>VLOOKUP($A147,'Data shares'!$C:$FB,4)</f>
        <v>1051.0999999999999</v>
      </c>
      <c r="E147" s="50">
        <f t="shared" si="6"/>
        <v>0.41860907620588822</v>
      </c>
      <c r="F147" s="49">
        <f>VLOOKUP($A147,'Data shares'!$C:$FB,98)</f>
        <v>14418000</v>
      </c>
      <c r="G147" s="49">
        <f>VLOOKUP($A147,'Data shares'!$C:$FB,99)</f>
        <v>14325000</v>
      </c>
      <c r="H147" s="50">
        <f t="shared" si="7"/>
        <v>0.64921465968586389</v>
      </c>
      <c r="I147" s="49">
        <f>VLOOKUP($A147,'Data shares'!$C:$FB,66)</f>
        <v>4581750</v>
      </c>
      <c r="J147" s="49">
        <f>VLOOKUP($A147,'Data shares'!$C:$FB,67)</f>
        <v>6485250</v>
      </c>
      <c r="K147" s="50">
        <f t="shared" si="8"/>
        <v>-41.545261090194799</v>
      </c>
      <c r="L147" s="50">
        <f>VLOOKUP($A147,'Data shares'!$C:$FB,118)</f>
        <v>0.43</v>
      </c>
      <c r="M147" s="50">
        <f>VLOOKUP($A147,'Data shares'!$C:$FB,119)</f>
        <v>0.45</v>
      </c>
      <c r="N147" s="50">
        <f>VLOOKUP($A147,'Data shares'!$C:$FB,121)*100</f>
        <v>-4.4400000000000004</v>
      </c>
      <c r="O147" s="50">
        <f>VLOOKUP($A147,'Data shares'!$C:$FB,124)</f>
        <v>0.43</v>
      </c>
      <c r="P147" s="50">
        <f>VLOOKUP($A147,'Data shares'!$C:$FB,125)</f>
        <v>0.32</v>
      </c>
      <c r="Q147" s="50">
        <f>VLOOKUP($A147,'Data shares'!$C:$FB,127)*100</f>
        <v>34.369999999999997</v>
      </c>
    </row>
    <row r="148" spans="1:17" x14ac:dyDescent="0.25">
      <c r="A148" s="97" t="str">
        <f>'Data Vlaue (Cr)'!C143</f>
        <v>NBCC</v>
      </c>
      <c r="B148" s="140">
        <f>VLOOKUP($A148,'Data shares'!$C:$FB,7)</f>
        <v>94.32</v>
      </c>
      <c r="C148" s="140">
        <f>VLOOKUP($A148,'Data shares'!$C:$FB,3)</f>
        <v>94.45</v>
      </c>
      <c r="D148" s="140">
        <f>VLOOKUP($A148,'Data shares'!$C:$FB,4)</f>
        <v>93.3</v>
      </c>
      <c r="E148" s="50">
        <f t="shared" si="6"/>
        <v>1.2325830653804992</v>
      </c>
      <c r="F148" s="49">
        <f>VLOOKUP($A148,'Data shares'!$C:$FB,98)</f>
        <v>112677500</v>
      </c>
      <c r="G148" s="49">
        <f>VLOOKUP($A148,'Data shares'!$C:$FB,99)</f>
        <v>108108000</v>
      </c>
      <c r="H148" s="50">
        <f t="shared" si="7"/>
        <v>4.2267917267917268</v>
      </c>
      <c r="I148" s="49">
        <f>VLOOKUP($A148,'Data shares'!$C:$FB,66)</f>
        <v>47320000</v>
      </c>
      <c r="J148" s="49">
        <f>VLOOKUP($A148,'Data shares'!$C:$FB,67)</f>
        <v>33624500</v>
      </c>
      <c r="K148" s="50">
        <f t="shared" si="8"/>
        <v>28.942307692307693</v>
      </c>
      <c r="L148" s="50">
        <f>VLOOKUP($A148,'Data shares'!$C:$FB,118)</f>
        <v>0.67</v>
      </c>
      <c r="M148" s="50">
        <f>VLOOKUP($A148,'Data shares'!$C:$FB,119)</f>
        <v>0.76</v>
      </c>
      <c r="N148" s="50">
        <f>VLOOKUP($A148,'Data shares'!$C:$FB,121)*100</f>
        <v>-11.84</v>
      </c>
      <c r="O148" s="50">
        <f>VLOOKUP($A148,'Data shares'!$C:$FB,124)</f>
        <v>0.42</v>
      </c>
      <c r="P148" s="50">
        <f>VLOOKUP($A148,'Data shares'!$C:$FB,125)</f>
        <v>0.46</v>
      </c>
      <c r="Q148" s="50">
        <f>VLOOKUP($A148,'Data shares'!$C:$FB,127)*100</f>
        <v>-8.6999999999999993</v>
      </c>
    </row>
    <row r="149" spans="1:17" x14ac:dyDescent="0.25">
      <c r="A149" s="97" t="str">
        <f>'Data Vlaue (Cr)'!C144</f>
        <v>NESTLEIND</v>
      </c>
      <c r="B149" s="140">
        <f>VLOOKUP($A149,'Data shares'!$C:$FB,7)</f>
        <v>1285.5999999999999</v>
      </c>
      <c r="C149" s="140">
        <f>VLOOKUP($A149,'Data shares'!$C:$FB,3)</f>
        <v>1286</v>
      </c>
      <c r="D149" s="140">
        <f>VLOOKUP($A149,'Data shares'!$C:$FB,4)</f>
        <v>1257.8</v>
      </c>
      <c r="E149" s="50">
        <f t="shared" si="6"/>
        <v>2.2420098584830694</v>
      </c>
      <c r="F149" s="49">
        <f>VLOOKUP($A149,'Data shares'!$C:$FB,98)</f>
        <v>25472500</v>
      </c>
      <c r="G149" s="49">
        <f>VLOOKUP($A149,'Data shares'!$C:$FB,99)</f>
        <v>24099500</v>
      </c>
      <c r="H149" s="50">
        <f t="shared" si="7"/>
        <v>5.6972136351376585</v>
      </c>
      <c r="I149" s="49">
        <f>VLOOKUP($A149,'Data shares'!$C:$FB,66)</f>
        <v>14579000</v>
      </c>
      <c r="J149" s="49">
        <f>VLOOKUP($A149,'Data shares'!$C:$FB,67)</f>
        <v>9841000</v>
      </c>
      <c r="K149" s="50">
        <f t="shared" si="8"/>
        <v>32.498799643322585</v>
      </c>
      <c r="L149" s="50">
        <f>VLOOKUP($A149,'Data shares'!$C:$FB,118)</f>
        <v>0.56000000000000005</v>
      </c>
      <c r="M149" s="50">
        <f>VLOOKUP($A149,'Data shares'!$C:$FB,119)</f>
        <v>0.7</v>
      </c>
      <c r="N149" s="50">
        <f>VLOOKUP($A149,'Data shares'!$C:$FB,121)*100</f>
        <v>-20</v>
      </c>
      <c r="O149" s="50">
        <f>VLOOKUP($A149,'Data shares'!$C:$FB,124)</f>
        <v>0.26</v>
      </c>
      <c r="P149" s="50">
        <f>VLOOKUP($A149,'Data shares'!$C:$FB,125)</f>
        <v>0.4</v>
      </c>
      <c r="Q149" s="50">
        <f>VLOOKUP($A149,'Data shares'!$C:$FB,127)*100</f>
        <v>-35</v>
      </c>
    </row>
    <row r="150" spans="1:17" x14ac:dyDescent="0.25">
      <c r="A150" s="97" t="str">
        <f>'Data Vlaue (Cr)'!C145</f>
        <v>NHPC</v>
      </c>
      <c r="B150" s="140">
        <f>VLOOKUP($A150,'Data shares'!$C:$FB,7)</f>
        <v>83.56</v>
      </c>
      <c r="C150" s="140">
        <f>VLOOKUP($A150,'Data shares'!$C:$FB,3)</f>
        <v>82.41</v>
      </c>
      <c r="D150" s="140">
        <f>VLOOKUP($A150,'Data shares'!$C:$FB,4)</f>
        <v>81.44</v>
      </c>
      <c r="E150" s="50">
        <f t="shared" si="6"/>
        <v>1.1910609037328082</v>
      </c>
      <c r="F150" s="49">
        <f>VLOOKUP($A150,'Data shares'!$C:$FB,98)</f>
        <v>153331200</v>
      </c>
      <c r="G150" s="49">
        <f>VLOOKUP($A150,'Data shares'!$C:$FB,99)</f>
        <v>146777600</v>
      </c>
      <c r="H150" s="50">
        <f t="shared" si="7"/>
        <v>4.464986482951077</v>
      </c>
      <c r="I150" s="49">
        <f>VLOOKUP($A150,'Data shares'!$C:$FB,66)</f>
        <v>129811200</v>
      </c>
      <c r="J150" s="49">
        <f>VLOOKUP($A150,'Data shares'!$C:$FB,67)</f>
        <v>101875200</v>
      </c>
      <c r="K150" s="50">
        <f t="shared" si="8"/>
        <v>21.520485135335012</v>
      </c>
      <c r="L150" s="50">
        <f>VLOOKUP($A150,'Data shares'!$C:$FB,118)</f>
        <v>0.8</v>
      </c>
      <c r="M150" s="50">
        <f>VLOOKUP($A150,'Data shares'!$C:$FB,119)</f>
        <v>0.73</v>
      </c>
      <c r="N150" s="50">
        <f>VLOOKUP($A150,'Data shares'!$C:$FB,121)*100</f>
        <v>9.59</v>
      </c>
      <c r="O150" s="50">
        <f>VLOOKUP($A150,'Data shares'!$C:$FB,124)</f>
        <v>0.43</v>
      </c>
      <c r="P150" s="50">
        <f>VLOOKUP($A150,'Data shares'!$C:$FB,125)</f>
        <v>0.46</v>
      </c>
      <c r="Q150" s="50">
        <f>VLOOKUP($A150,'Data shares'!$C:$FB,127)*100</f>
        <v>-6.52</v>
      </c>
    </row>
    <row r="151" spans="1:17" x14ac:dyDescent="0.25">
      <c r="A151" s="97" t="str">
        <f>'Data Vlaue (Cr)'!C146</f>
        <v>NIFTY</v>
      </c>
      <c r="B151" s="140">
        <f>VLOOKUP($A151,'Data shares'!$C:$FB,7)</f>
        <v>24353.55</v>
      </c>
      <c r="C151" s="140">
        <f>VLOOKUP($A151,'Data shares'!$C:$FB,3)</f>
        <v>24368</v>
      </c>
      <c r="D151" s="140">
        <f>VLOOKUP($A151,'Data shares'!$C:$FB,4)</f>
        <v>24195.8</v>
      </c>
      <c r="E151" s="50">
        <f t="shared" si="6"/>
        <v>0.71169376503360393</v>
      </c>
      <c r="F151" s="49">
        <f>VLOOKUP($A151,'Data shares'!$C:$FB,98)</f>
        <v>518874120</v>
      </c>
      <c r="G151" s="49">
        <f>VLOOKUP($A151,'Data shares'!$C:$FB,99)</f>
        <v>453100085</v>
      </c>
      <c r="H151" s="50">
        <f t="shared" si="7"/>
        <v>14.516447287799561</v>
      </c>
      <c r="I151" s="49">
        <f>VLOOKUP($A151,'Data shares'!$C:$FB,66)</f>
        <v>4531114770</v>
      </c>
      <c r="J151" s="49">
        <f>VLOOKUP($A151,'Data shares'!$C:$FB,67)</f>
        <v>2906151625</v>
      </c>
      <c r="K151" s="50">
        <f t="shared" si="8"/>
        <v>35.862325884100258</v>
      </c>
      <c r="L151" s="50">
        <f>VLOOKUP($A151,'Data shares'!$C:$FB,118)</f>
        <v>1.0900000000000001</v>
      </c>
      <c r="M151" s="50">
        <f>VLOOKUP($A151,'Data shares'!$C:$FB,119)</f>
        <v>0.98</v>
      </c>
      <c r="N151" s="50">
        <f>VLOOKUP($A151,'Data shares'!$C:$FB,121)*100</f>
        <v>11.219999999999999</v>
      </c>
      <c r="O151" s="50">
        <f>VLOOKUP($A151,'Data shares'!$C:$FB,124)</f>
        <v>0.84</v>
      </c>
      <c r="P151" s="50">
        <f>VLOOKUP($A151,'Data shares'!$C:$FB,125)</f>
        <v>0.99</v>
      </c>
      <c r="Q151" s="50">
        <f>VLOOKUP($A151,'Data shares'!$C:$FB,127)*100</f>
        <v>-15.15</v>
      </c>
    </row>
    <row r="152" spans="1:17" x14ac:dyDescent="0.25">
      <c r="A152" s="97" t="str">
        <f>'Data Vlaue (Cr)'!C147</f>
        <v>NIFTYNXT50</v>
      </c>
      <c r="B152" s="140">
        <f>VLOOKUP($A152,'Data shares'!$C:$FB,7)</f>
        <v>70273.8</v>
      </c>
      <c r="C152" s="140">
        <f>VLOOKUP($A152,'Data shares'!$C:$FB,3)</f>
        <v>70321.2</v>
      </c>
      <c r="D152" s="140">
        <f>VLOOKUP($A152,'Data shares'!$C:$FB,4)</f>
        <v>69334.8</v>
      </c>
      <c r="E152" s="50">
        <f t="shared" si="6"/>
        <v>1.4226622129147184</v>
      </c>
      <c r="F152" s="49">
        <f>VLOOKUP($A152,'Data shares'!$C:$FB,98)</f>
        <v>39325</v>
      </c>
      <c r="G152" s="49">
        <f>VLOOKUP($A152,'Data shares'!$C:$FB,99)</f>
        <v>28550</v>
      </c>
      <c r="H152" s="50">
        <f t="shared" si="7"/>
        <v>37.740805604203153</v>
      </c>
      <c r="I152" s="49">
        <f>VLOOKUP($A152,'Data shares'!$C:$FB,66)</f>
        <v>32125</v>
      </c>
      <c r="J152" s="49">
        <f>VLOOKUP($A152,'Data shares'!$C:$FB,67)</f>
        <v>14450</v>
      </c>
      <c r="K152" s="50">
        <f t="shared" si="8"/>
        <v>55.019455252918291</v>
      </c>
      <c r="L152" s="50">
        <f>VLOOKUP($A152,'Data shares'!$C:$FB,118)</f>
        <v>0.36</v>
      </c>
      <c r="M152" s="50">
        <f>VLOOKUP($A152,'Data shares'!$C:$FB,119)</f>
        <v>1.04</v>
      </c>
      <c r="N152" s="50">
        <f>VLOOKUP($A152,'Data shares'!$C:$FB,121)*100</f>
        <v>-65.38000000000001</v>
      </c>
      <c r="O152" s="50">
        <f>VLOOKUP($A152,'Data shares'!$C:$FB,124)</f>
        <v>0.21</v>
      </c>
      <c r="P152" s="50">
        <f>VLOOKUP($A152,'Data shares'!$C:$FB,125)</f>
        <v>1.08</v>
      </c>
      <c r="Q152" s="50">
        <f>VLOOKUP($A152,'Data shares'!$C:$FB,127)*100</f>
        <v>-80.56</v>
      </c>
    </row>
    <row r="153" spans="1:17" x14ac:dyDescent="0.25">
      <c r="A153" s="97" t="str">
        <f>'Data Vlaue (Cr)'!C148</f>
        <v>NMDC</v>
      </c>
      <c r="B153" s="140">
        <f>VLOOKUP($A153,'Data shares'!$C:$FB,7)</f>
        <v>89.78</v>
      </c>
      <c r="C153" s="140">
        <f>VLOOKUP($A153,'Data shares'!$C:$FB,3)</f>
        <v>89.95</v>
      </c>
      <c r="D153" s="140">
        <f>VLOOKUP($A153,'Data shares'!$C:$FB,4)</f>
        <v>87.23</v>
      </c>
      <c r="E153" s="50">
        <f t="shared" si="6"/>
        <v>3.1181932821277067</v>
      </c>
      <c r="F153" s="49">
        <f>VLOOKUP($A153,'Data shares'!$C:$FB,98)</f>
        <v>461571750</v>
      </c>
      <c r="G153" s="49">
        <f>VLOOKUP($A153,'Data shares'!$C:$FB,99)</f>
        <v>447025500</v>
      </c>
      <c r="H153" s="50">
        <f t="shared" si="7"/>
        <v>3.2540089994866066</v>
      </c>
      <c r="I153" s="49">
        <f>VLOOKUP($A153,'Data shares'!$C:$FB,66)</f>
        <v>275109750</v>
      </c>
      <c r="J153" s="49">
        <f>VLOOKUP($A153,'Data shares'!$C:$FB,67)</f>
        <v>233340750</v>
      </c>
      <c r="K153" s="50">
        <f t="shared" si="8"/>
        <v>15.182668007949554</v>
      </c>
      <c r="L153" s="50">
        <f>VLOOKUP($A153,'Data shares'!$C:$FB,118)</f>
        <v>0.69</v>
      </c>
      <c r="M153" s="50">
        <f>VLOOKUP($A153,'Data shares'!$C:$FB,119)</f>
        <v>0.65</v>
      </c>
      <c r="N153" s="50">
        <f>VLOOKUP($A153,'Data shares'!$C:$FB,121)*100</f>
        <v>6.15</v>
      </c>
      <c r="O153" s="50">
        <f>VLOOKUP($A153,'Data shares'!$C:$FB,124)</f>
        <v>0.34</v>
      </c>
      <c r="P153" s="50">
        <f>VLOOKUP($A153,'Data shares'!$C:$FB,125)</f>
        <v>0.37</v>
      </c>
      <c r="Q153" s="50">
        <f>VLOOKUP($A153,'Data shares'!$C:$FB,127)*100</f>
        <v>-8.1100000000000012</v>
      </c>
    </row>
    <row r="154" spans="1:17" x14ac:dyDescent="0.25">
      <c r="A154" s="97" t="str">
        <f>'Data Vlaue (Cr)'!C149</f>
        <v>NTPC</v>
      </c>
      <c r="B154" s="140">
        <f>VLOOKUP($A154,'Data shares'!$C:$FB,7)</f>
        <v>393.6</v>
      </c>
      <c r="C154" s="140">
        <f>VLOOKUP($A154,'Data shares'!$C:$FB,3)</f>
        <v>395.2</v>
      </c>
      <c r="D154" s="140">
        <f>VLOOKUP($A154,'Data shares'!$C:$FB,4)</f>
        <v>391.95</v>
      </c>
      <c r="E154" s="50">
        <f t="shared" si="6"/>
        <v>0.82918739635157546</v>
      </c>
      <c r="F154" s="49">
        <f>VLOOKUP($A154,'Data shares'!$C:$FB,98)</f>
        <v>188704500</v>
      </c>
      <c r="G154" s="49">
        <f>VLOOKUP($A154,'Data shares'!$C:$FB,99)</f>
        <v>171784500</v>
      </c>
      <c r="H154" s="50">
        <f t="shared" si="7"/>
        <v>9.8495498720780983</v>
      </c>
      <c r="I154" s="49">
        <f>VLOOKUP($A154,'Data shares'!$C:$FB,66)</f>
        <v>145749000</v>
      </c>
      <c r="J154" s="49">
        <f>VLOOKUP($A154,'Data shares'!$C:$FB,67)</f>
        <v>119502000</v>
      </c>
      <c r="K154" s="50">
        <f t="shared" si="8"/>
        <v>18.008356832636931</v>
      </c>
      <c r="L154" s="50">
        <f>VLOOKUP($A154,'Data shares'!$C:$FB,118)</f>
        <v>0.53</v>
      </c>
      <c r="M154" s="50">
        <f>VLOOKUP($A154,'Data shares'!$C:$FB,119)</f>
        <v>0.56000000000000005</v>
      </c>
      <c r="N154" s="50">
        <f>VLOOKUP($A154,'Data shares'!$C:$FB,121)*100</f>
        <v>-5.36</v>
      </c>
      <c r="O154" s="50">
        <f>VLOOKUP($A154,'Data shares'!$C:$FB,124)</f>
        <v>0.47</v>
      </c>
      <c r="P154" s="50">
        <f>VLOOKUP($A154,'Data shares'!$C:$FB,125)</f>
        <v>0.44</v>
      </c>
      <c r="Q154" s="50">
        <f>VLOOKUP($A154,'Data shares'!$C:$FB,127)*100</f>
        <v>6.8199999999999994</v>
      </c>
    </row>
    <row r="155" spans="1:17" x14ac:dyDescent="0.25">
      <c r="A155" s="97" t="str">
        <f>'Data Vlaue (Cr)'!C150</f>
        <v>NUVAMA</v>
      </c>
      <c r="B155" s="140">
        <f>VLOOKUP($A155,'Data shares'!$C:$FB,7)</f>
        <v>1400.7</v>
      </c>
      <c r="C155" s="140">
        <f>VLOOKUP($A155,'Data shares'!$C:$FB,3)</f>
        <v>1394.8</v>
      </c>
      <c r="D155" s="140">
        <f>VLOOKUP($A155,'Data shares'!$C:$FB,4)</f>
        <v>1355.9</v>
      </c>
      <c r="E155" s="50">
        <f t="shared" si="6"/>
        <v>2.8689431373995031</v>
      </c>
      <c r="F155" s="49">
        <f>VLOOKUP($A155,'Data shares'!$C:$FB,98)</f>
        <v>3817500</v>
      </c>
      <c r="G155" s="49">
        <f>VLOOKUP($A155,'Data shares'!$C:$FB,99)</f>
        <v>3670500</v>
      </c>
      <c r="H155" s="50">
        <f t="shared" si="7"/>
        <v>4.004903964037597</v>
      </c>
      <c r="I155" s="49">
        <f>VLOOKUP($A155,'Data shares'!$C:$FB,66)</f>
        <v>2496500</v>
      </c>
      <c r="J155" s="49">
        <f>VLOOKUP($A155,'Data shares'!$C:$FB,67)</f>
        <v>1647000</v>
      </c>
      <c r="K155" s="50">
        <f t="shared" si="8"/>
        <v>34.027638694171841</v>
      </c>
      <c r="L155" s="50">
        <f>VLOOKUP($A155,'Data shares'!$C:$FB,118)</f>
        <v>0.85</v>
      </c>
      <c r="M155" s="50">
        <f>VLOOKUP($A155,'Data shares'!$C:$FB,119)</f>
        <v>0.89</v>
      </c>
      <c r="N155" s="50">
        <f>VLOOKUP($A155,'Data shares'!$C:$FB,121)*100</f>
        <v>-4.49</v>
      </c>
      <c r="O155" s="50">
        <f>VLOOKUP($A155,'Data shares'!$C:$FB,124)</f>
        <v>0.28999999999999998</v>
      </c>
      <c r="P155" s="50">
        <f>VLOOKUP($A155,'Data shares'!$C:$FB,125)</f>
        <v>1.44</v>
      </c>
      <c r="Q155" s="50">
        <f>VLOOKUP($A155,'Data shares'!$C:$FB,127)*100</f>
        <v>-79.86</v>
      </c>
    </row>
    <row r="156" spans="1:17" x14ac:dyDescent="0.25">
      <c r="A156" s="97" t="str">
        <f>'Data Vlaue (Cr)'!C151</f>
        <v>NYKAA</v>
      </c>
      <c r="B156" s="140">
        <f>VLOOKUP($A156,'Data shares'!$C:$FB,7)</f>
        <v>269.66000000000003</v>
      </c>
      <c r="C156" s="140">
        <f>VLOOKUP($A156,'Data shares'!$C:$FB,3)</f>
        <v>270.02999999999997</v>
      </c>
      <c r="D156" s="140">
        <f>VLOOKUP($A156,'Data shares'!$C:$FB,4)</f>
        <v>263.43</v>
      </c>
      <c r="E156" s="50">
        <f t="shared" si="6"/>
        <v>2.5054094066734867</v>
      </c>
      <c r="F156" s="49">
        <f>VLOOKUP($A156,'Data shares'!$C:$FB,98)</f>
        <v>58631250</v>
      </c>
      <c r="G156" s="49">
        <f>VLOOKUP($A156,'Data shares'!$C:$FB,99)</f>
        <v>58550000</v>
      </c>
      <c r="H156" s="50">
        <f t="shared" si="7"/>
        <v>0.13877028181041845</v>
      </c>
      <c r="I156" s="49">
        <f>VLOOKUP($A156,'Data shares'!$C:$FB,66)</f>
        <v>21940625</v>
      </c>
      <c r="J156" s="49">
        <f>VLOOKUP($A156,'Data shares'!$C:$FB,67)</f>
        <v>11812500</v>
      </c>
      <c r="K156" s="50">
        <f t="shared" si="8"/>
        <v>46.161515453639083</v>
      </c>
      <c r="L156" s="50">
        <f>VLOOKUP($A156,'Data shares'!$C:$FB,118)</f>
        <v>0.71</v>
      </c>
      <c r="M156" s="50">
        <f>VLOOKUP($A156,'Data shares'!$C:$FB,119)</f>
        <v>0.56000000000000005</v>
      </c>
      <c r="N156" s="50">
        <f>VLOOKUP($A156,'Data shares'!$C:$FB,121)*100</f>
        <v>26.790000000000003</v>
      </c>
      <c r="O156" s="50">
        <f>VLOOKUP($A156,'Data shares'!$C:$FB,124)</f>
        <v>0.37</v>
      </c>
      <c r="P156" s="50">
        <f>VLOOKUP($A156,'Data shares'!$C:$FB,125)</f>
        <v>0.32</v>
      </c>
      <c r="Q156" s="50">
        <f>VLOOKUP($A156,'Data shares'!$C:$FB,127)*100</f>
        <v>15.620000000000001</v>
      </c>
    </row>
    <row r="157" spans="1:17" x14ac:dyDescent="0.25">
      <c r="A157" s="97" t="str">
        <f>'Data Vlaue (Cr)'!C152</f>
        <v>OBEROIRLTY</v>
      </c>
      <c r="B157" s="140">
        <f>VLOOKUP($A157,'Data shares'!$C:$FB,7)</f>
        <v>1710.6</v>
      </c>
      <c r="C157" s="140">
        <f>VLOOKUP($A157,'Data shares'!$C:$FB,3)</f>
        <v>1713.1</v>
      </c>
      <c r="D157" s="140">
        <f>VLOOKUP($A157,'Data shares'!$C:$FB,4)</f>
        <v>1714.3</v>
      </c>
      <c r="E157" s="50">
        <f t="shared" si="6"/>
        <v>-6.9999416671530396E-2</v>
      </c>
      <c r="F157" s="49">
        <f>VLOOKUP($A157,'Data shares'!$C:$FB,98)</f>
        <v>12255600</v>
      </c>
      <c r="G157" s="49">
        <f>VLOOKUP($A157,'Data shares'!$C:$FB,99)</f>
        <v>12356750</v>
      </c>
      <c r="H157" s="50">
        <f t="shared" si="7"/>
        <v>-0.8185809375442572</v>
      </c>
      <c r="I157" s="49">
        <f>VLOOKUP($A157,'Data shares'!$C:$FB,66)</f>
        <v>1661450</v>
      </c>
      <c r="J157" s="49">
        <f>VLOOKUP($A157,'Data shares'!$C:$FB,67)</f>
        <v>2463650</v>
      </c>
      <c r="K157" s="50">
        <f t="shared" si="8"/>
        <v>-48.283126184958917</v>
      </c>
      <c r="L157" s="50">
        <f>VLOOKUP($A157,'Data shares'!$C:$FB,118)</f>
        <v>0.93</v>
      </c>
      <c r="M157" s="50">
        <f>VLOOKUP($A157,'Data shares'!$C:$FB,119)</f>
        <v>0.95</v>
      </c>
      <c r="N157" s="50">
        <f>VLOOKUP($A157,'Data shares'!$C:$FB,121)*100</f>
        <v>-2.11</v>
      </c>
      <c r="O157" s="50">
        <f>VLOOKUP($A157,'Data shares'!$C:$FB,124)</f>
        <v>0.83</v>
      </c>
      <c r="P157" s="50">
        <f>VLOOKUP($A157,'Data shares'!$C:$FB,125)</f>
        <v>0.82</v>
      </c>
      <c r="Q157" s="50">
        <f>VLOOKUP($A157,'Data shares'!$C:$FB,127)*100</f>
        <v>1.22</v>
      </c>
    </row>
    <row r="158" spans="1:17" x14ac:dyDescent="0.25">
      <c r="A158" s="97" t="str">
        <f>'Data Vlaue (Cr)'!C153</f>
        <v>OFSS</v>
      </c>
      <c r="B158" s="140">
        <f>VLOOKUP($A158,'Data shares'!$C:$FB,7)</f>
        <v>7992.5</v>
      </c>
      <c r="C158" s="140">
        <f>VLOOKUP($A158,'Data shares'!$C:$FB,3)</f>
        <v>8011.5</v>
      </c>
      <c r="D158" s="140">
        <f>VLOOKUP($A158,'Data shares'!$C:$FB,4)</f>
        <v>7748.5</v>
      </c>
      <c r="E158" s="50">
        <f t="shared" si="6"/>
        <v>3.3942053300638833</v>
      </c>
      <c r="F158" s="49">
        <f>VLOOKUP($A158,'Data shares'!$C:$FB,98)</f>
        <v>2566725</v>
      </c>
      <c r="G158" s="49">
        <f>VLOOKUP($A158,'Data shares'!$C:$FB,99)</f>
        <v>2546925</v>
      </c>
      <c r="H158" s="50">
        <f t="shared" si="7"/>
        <v>0.77740805088489062</v>
      </c>
      <c r="I158" s="49">
        <f>VLOOKUP($A158,'Data shares'!$C:$FB,66)</f>
        <v>2987400</v>
      </c>
      <c r="J158" s="49">
        <f>VLOOKUP($A158,'Data shares'!$C:$FB,67)</f>
        <v>3149550</v>
      </c>
      <c r="K158" s="50">
        <f t="shared" si="8"/>
        <v>-5.4277967463346055</v>
      </c>
      <c r="L158" s="50">
        <f>VLOOKUP($A158,'Data shares'!$C:$FB,118)</f>
        <v>1.1299999999999999</v>
      </c>
      <c r="M158" s="50">
        <f>VLOOKUP($A158,'Data shares'!$C:$FB,119)</f>
        <v>1.05</v>
      </c>
      <c r="N158" s="50">
        <f>VLOOKUP($A158,'Data shares'!$C:$FB,121)*100</f>
        <v>7.62</v>
      </c>
      <c r="O158" s="50">
        <f>VLOOKUP($A158,'Data shares'!$C:$FB,124)</f>
        <v>0.84</v>
      </c>
      <c r="P158" s="50">
        <f>VLOOKUP($A158,'Data shares'!$C:$FB,125)</f>
        <v>0.72</v>
      </c>
      <c r="Q158" s="50">
        <f>VLOOKUP($A158,'Data shares'!$C:$FB,127)*100</f>
        <v>16.669999999999998</v>
      </c>
    </row>
    <row r="159" spans="1:17" x14ac:dyDescent="0.25">
      <c r="A159" s="97" t="str">
        <f>'Data Vlaue (Cr)'!C154</f>
        <v>OIL</v>
      </c>
      <c r="B159" s="140">
        <f>VLOOKUP($A159,'Data shares'!$C:$FB,7)</f>
        <v>470.1</v>
      </c>
      <c r="C159" s="140">
        <f>VLOOKUP($A159,'Data shares'!$C:$FB,3)</f>
        <v>470.6</v>
      </c>
      <c r="D159" s="140">
        <f>VLOOKUP($A159,'Data shares'!$C:$FB,4)</f>
        <v>463.85</v>
      </c>
      <c r="E159" s="50">
        <f t="shared" si="6"/>
        <v>1.4552118141640615</v>
      </c>
      <c r="F159" s="49">
        <f>VLOOKUP($A159,'Data shares'!$C:$FB,98)</f>
        <v>37529800</v>
      </c>
      <c r="G159" s="49">
        <f>VLOOKUP($A159,'Data shares'!$C:$FB,99)</f>
        <v>38330600</v>
      </c>
      <c r="H159" s="50">
        <f t="shared" si="7"/>
        <v>-2.0891924467657694</v>
      </c>
      <c r="I159" s="49">
        <f>VLOOKUP($A159,'Data shares'!$C:$FB,66)</f>
        <v>15575000</v>
      </c>
      <c r="J159" s="49">
        <f>VLOOKUP($A159,'Data shares'!$C:$FB,67)</f>
        <v>13407800</v>
      </c>
      <c r="K159" s="50">
        <f t="shared" si="8"/>
        <v>13.914606741573031</v>
      </c>
      <c r="L159" s="50">
        <f>VLOOKUP($A159,'Data shares'!$C:$FB,118)</f>
        <v>0.44</v>
      </c>
      <c r="M159" s="50">
        <f>VLOOKUP($A159,'Data shares'!$C:$FB,119)</f>
        <v>0.44</v>
      </c>
      <c r="N159" s="50">
        <f>VLOOKUP($A159,'Data shares'!$C:$FB,121)*100</f>
        <v>0</v>
      </c>
      <c r="O159" s="50">
        <f>VLOOKUP($A159,'Data shares'!$C:$FB,124)</f>
        <v>0.32</v>
      </c>
      <c r="P159" s="50">
        <f>VLOOKUP($A159,'Data shares'!$C:$FB,125)</f>
        <v>0.45</v>
      </c>
      <c r="Q159" s="50">
        <f>VLOOKUP($A159,'Data shares'!$C:$FB,127)*100</f>
        <v>-28.89</v>
      </c>
    </row>
    <row r="160" spans="1:17" x14ac:dyDescent="0.25">
      <c r="A160" s="97" t="str">
        <f>'Data Vlaue (Cr)'!C155</f>
        <v>ONGC</v>
      </c>
      <c r="B160" s="140">
        <f>VLOOKUP($A160,'Data shares'!$C:$FB,7)</f>
        <v>284.05</v>
      </c>
      <c r="C160" s="140">
        <f>VLOOKUP($A160,'Data shares'!$C:$FB,3)</f>
        <v>284.89999999999998</v>
      </c>
      <c r="D160" s="140">
        <f>VLOOKUP($A160,'Data shares'!$C:$FB,4)</f>
        <v>283.55</v>
      </c>
      <c r="E160" s="50">
        <f t="shared" si="6"/>
        <v>0.47610650678891409</v>
      </c>
      <c r="F160" s="49">
        <f>VLOOKUP($A160,'Data shares'!$C:$FB,98)</f>
        <v>229875750</v>
      </c>
      <c r="G160" s="49">
        <f>VLOOKUP($A160,'Data shares'!$C:$FB,99)</f>
        <v>228629250</v>
      </c>
      <c r="H160" s="50">
        <f t="shared" si="7"/>
        <v>0.54520582996270162</v>
      </c>
      <c r="I160" s="49">
        <f>VLOOKUP($A160,'Data shares'!$C:$FB,66)</f>
        <v>94585500</v>
      </c>
      <c r="J160" s="49">
        <f>VLOOKUP($A160,'Data shares'!$C:$FB,67)</f>
        <v>111507750</v>
      </c>
      <c r="K160" s="50">
        <f t="shared" si="8"/>
        <v>-17.890955801893522</v>
      </c>
      <c r="L160" s="50">
        <f>VLOOKUP($A160,'Data shares'!$C:$FB,118)</f>
        <v>0.37</v>
      </c>
      <c r="M160" s="50">
        <f>VLOOKUP($A160,'Data shares'!$C:$FB,119)</f>
        <v>0.37</v>
      </c>
      <c r="N160" s="50">
        <f>VLOOKUP($A160,'Data shares'!$C:$FB,121)*100</f>
        <v>0</v>
      </c>
      <c r="O160" s="50">
        <f>VLOOKUP($A160,'Data shares'!$C:$FB,124)</f>
        <v>0.44</v>
      </c>
      <c r="P160" s="50">
        <f>VLOOKUP($A160,'Data shares'!$C:$FB,125)</f>
        <v>0.47</v>
      </c>
      <c r="Q160" s="50">
        <f>VLOOKUP($A160,'Data shares'!$C:$FB,127)*100</f>
        <v>-6.38</v>
      </c>
    </row>
    <row r="161" spans="1:17" x14ac:dyDescent="0.25">
      <c r="A161" s="97" t="str">
        <f>'Data Vlaue (Cr)'!C156</f>
        <v>PAGEIND</v>
      </c>
      <c r="B161" s="140">
        <f>VLOOKUP($A161,'Data shares'!$C:$FB,7)</f>
        <v>37975</v>
      </c>
      <c r="C161" s="140">
        <f>VLOOKUP($A161,'Data shares'!$C:$FB,3)</f>
        <v>37930</v>
      </c>
      <c r="D161" s="140">
        <f>VLOOKUP($A161,'Data shares'!$C:$FB,4)</f>
        <v>37025</v>
      </c>
      <c r="E161" s="50">
        <f t="shared" si="6"/>
        <v>2.4442943956785954</v>
      </c>
      <c r="F161" s="49">
        <f>VLOOKUP($A161,'Data shares'!$C:$FB,98)</f>
        <v>503325</v>
      </c>
      <c r="G161" s="49">
        <f>VLOOKUP($A161,'Data shares'!$C:$FB,99)</f>
        <v>491940</v>
      </c>
      <c r="H161" s="50">
        <f t="shared" si="7"/>
        <v>2.3143066227588731</v>
      </c>
      <c r="I161" s="49">
        <f>VLOOKUP($A161,'Data shares'!$C:$FB,66)</f>
        <v>353220</v>
      </c>
      <c r="J161" s="49">
        <f>VLOOKUP($A161,'Data shares'!$C:$FB,67)</f>
        <v>120300</v>
      </c>
      <c r="K161" s="50">
        <f t="shared" si="8"/>
        <v>65.941905894343464</v>
      </c>
      <c r="L161" s="50">
        <f>VLOOKUP($A161,'Data shares'!$C:$FB,118)</f>
        <v>1.0900000000000001</v>
      </c>
      <c r="M161" s="50">
        <f>VLOOKUP($A161,'Data shares'!$C:$FB,119)</f>
        <v>0.96</v>
      </c>
      <c r="N161" s="50">
        <f>VLOOKUP($A161,'Data shares'!$C:$FB,121)*100</f>
        <v>13.54</v>
      </c>
      <c r="O161" s="50">
        <f>VLOOKUP($A161,'Data shares'!$C:$FB,124)</f>
        <v>0.61</v>
      </c>
      <c r="P161" s="50">
        <f>VLOOKUP($A161,'Data shares'!$C:$FB,125)</f>
        <v>1.34</v>
      </c>
      <c r="Q161" s="50">
        <f>VLOOKUP($A161,'Data shares'!$C:$FB,127)*100</f>
        <v>-54.48</v>
      </c>
    </row>
    <row r="162" spans="1:17" x14ac:dyDescent="0.25">
      <c r="A162" s="97" t="str">
        <f>'Data Vlaue (Cr)'!C157</f>
        <v>PATANJALI</v>
      </c>
      <c r="B162" s="140">
        <f>VLOOKUP($A162,'Data shares'!$C:$FB,7)</f>
        <v>468.3</v>
      </c>
      <c r="C162" s="140">
        <f>VLOOKUP($A162,'Data shares'!$C:$FB,3)</f>
        <v>469</v>
      </c>
      <c r="D162" s="140">
        <f>VLOOKUP($A162,'Data shares'!$C:$FB,4)</f>
        <v>464.7</v>
      </c>
      <c r="E162" s="50">
        <f t="shared" si="6"/>
        <v>0.92532816871099877</v>
      </c>
      <c r="F162" s="49">
        <f>VLOOKUP($A162,'Data shares'!$C:$FB,98)</f>
        <v>42699600</v>
      </c>
      <c r="G162" s="49">
        <f>VLOOKUP($A162,'Data shares'!$C:$FB,99)</f>
        <v>40530600</v>
      </c>
      <c r="H162" s="50">
        <f t="shared" si="7"/>
        <v>5.3515121907891814</v>
      </c>
      <c r="I162" s="49">
        <f>VLOOKUP($A162,'Data shares'!$C:$FB,66)</f>
        <v>20628000</v>
      </c>
      <c r="J162" s="49">
        <f>VLOOKUP($A162,'Data shares'!$C:$FB,67)</f>
        <v>6633900</v>
      </c>
      <c r="K162" s="50">
        <f t="shared" si="8"/>
        <v>67.840314136125656</v>
      </c>
      <c r="L162" s="50">
        <f>VLOOKUP($A162,'Data shares'!$C:$FB,118)</f>
        <v>0.59</v>
      </c>
      <c r="M162" s="50">
        <f>VLOOKUP($A162,'Data shares'!$C:$FB,119)</f>
        <v>0.62</v>
      </c>
      <c r="N162" s="50">
        <f>VLOOKUP($A162,'Data shares'!$C:$FB,121)*100</f>
        <v>-4.84</v>
      </c>
      <c r="O162" s="50">
        <f>VLOOKUP($A162,'Data shares'!$C:$FB,124)</f>
        <v>0.21</v>
      </c>
      <c r="P162" s="50">
        <f>VLOOKUP($A162,'Data shares'!$C:$FB,125)</f>
        <v>0.33</v>
      </c>
      <c r="Q162" s="50">
        <f>VLOOKUP($A162,'Data shares'!$C:$FB,127)*100</f>
        <v>-36.36</v>
      </c>
    </row>
    <row r="163" spans="1:17" x14ac:dyDescent="0.25">
      <c r="A163" s="97" t="str">
        <f>'Data Vlaue (Cr)'!C158</f>
        <v>PAYTM</v>
      </c>
      <c r="B163" s="140">
        <f>VLOOKUP($A163,'Data shares'!$C:$FB,7)</f>
        <v>1161.6500000000001</v>
      </c>
      <c r="C163" s="140">
        <f>VLOOKUP($A163,'Data shares'!$C:$FB,3)</f>
        <v>1161.7</v>
      </c>
      <c r="D163" s="140">
        <f>VLOOKUP($A163,'Data shares'!$C:$FB,4)</f>
        <v>1148.7</v>
      </c>
      <c r="E163" s="50">
        <f t="shared" si="6"/>
        <v>1.1317141116044225</v>
      </c>
      <c r="F163" s="49">
        <f>VLOOKUP($A163,'Data shares'!$C:$FB,98)</f>
        <v>28085775</v>
      </c>
      <c r="G163" s="49">
        <f>VLOOKUP($A163,'Data shares'!$C:$FB,99)</f>
        <v>27154150</v>
      </c>
      <c r="H163" s="50">
        <f t="shared" si="7"/>
        <v>3.4308752069204891</v>
      </c>
      <c r="I163" s="49">
        <f>VLOOKUP($A163,'Data shares'!$C:$FB,66)</f>
        <v>13382775</v>
      </c>
      <c r="J163" s="49">
        <f>VLOOKUP($A163,'Data shares'!$C:$FB,67)</f>
        <v>14298450</v>
      </c>
      <c r="K163" s="50">
        <f t="shared" si="8"/>
        <v>-6.8421908012351693</v>
      </c>
      <c r="L163" s="50">
        <f>VLOOKUP($A163,'Data shares'!$C:$FB,118)</f>
        <v>0.96</v>
      </c>
      <c r="M163" s="50">
        <f>VLOOKUP($A163,'Data shares'!$C:$FB,119)</f>
        <v>0.85</v>
      </c>
      <c r="N163" s="50">
        <f>VLOOKUP($A163,'Data shares'!$C:$FB,121)*100</f>
        <v>12.94</v>
      </c>
      <c r="O163" s="50">
        <f>VLOOKUP($A163,'Data shares'!$C:$FB,124)</f>
        <v>0.72</v>
      </c>
      <c r="P163" s="50">
        <f>VLOOKUP($A163,'Data shares'!$C:$FB,125)</f>
        <v>0.54</v>
      </c>
      <c r="Q163" s="50">
        <f>VLOOKUP($A163,'Data shares'!$C:$FB,127)*100</f>
        <v>33.33</v>
      </c>
    </row>
    <row r="164" spans="1:17" x14ac:dyDescent="0.25">
      <c r="A164" s="97" t="str">
        <f>'Data Vlaue (Cr)'!C159</f>
        <v>PERSISTENT</v>
      </c>
      <c r="B164" s="140">
        <f>VLOOKUP($A164,'Data shares'!$C:$FB,7)</f>
        <v>5446.5</v>
      </c>
      <c r="C164" s="140">
        <f>VLOOKUP($A164,'Data shares'!$C:$FB,3)</f>
        <v>5452.2</v>
      </c>
      <c r="D164" s="140">
        <f>VLOOKUP($A164,'Data shares'!$C:$FB,4)</f>
        <v>5490.7</v>
      </c>
      <c r="E164" s="50">
        <f t="shared" si="6"/>
        <v>-0.70118564117507787</v>
      </c>
      <c r="F164" s="49">
        <f>VLOOKUP($A164,'Data shares'!$C:$FB,98)</f>
        <v>8357700</v>
      </c>
      <c r="G164" s="49">
        <f>VLOOKUP($A164,'Data shares'!$C:$FB,99)</f>
        <v>8160800</v>
      </c>
      <c r="H164" s="50">
        <f t="shared" si="7"/>
        <v>2.4127536516027841</v>
      </c>
      <c r="I164" s="49">
        <f>VLOOKUP($A164,'Data shares'!$C:$FB,66)</f>
        <v>5506000</v>
      </c>
      <c r="J164" s="49">
        <f>VLOOKUP($A164,'Data shares'!$C:$FB,67)</f>
        <v>4609300</v>
      </c>
      <c r="K164" s="50">
        <f t="shared" si="8"/>
        <v>16.285869960043588</v>
      </c>
      <c r="L164" s="50">
        <f>VLOOKUP($A164,'Data shares'!$C:$FB,118)</f>
        <v>0.96</v>
      </c>
      <c r="M164" s="50">
        <f>VLOOKUP($A164,'Data shares'!$C:$FB,119)</f>
        <v>1.04</v>
      </c>
      <c r="N164" s="50">
        <f>VLOOKUP($A164,'Data shares'!$C:$FB,121)*100</f>
        <v>-7.6899999999999995</v>
      </c>
      <c r="O164" s="50">
        <f>VLOOKUP($A164,'Data shares'!$C:$FB,124)</f>
        <v>0.81</v>
      </c>
      <c r="P164" s="50">
        <f>VLOOKUP($A164,'Data shares'!$C:$FB,125)</f>
        <v>0.72</v>
      </c>
      <c r="Q164" s="50">
        <f>VLOOKUP($A164,'Data shares'!$C:$FB,127)*100</f>
        <v>12.5</v>
      </c>
    </row>
    <row r="165" spans="1:17" x14ac:dyDescent="0.25">
      <c r="A165" s="97" t="str">
        <f>'Data Vlaue (Cr)'!C160</f>
        <v>PETRONET</v>
      </c>
      <c r="B165" s="140">
        <f>VLOOKUP($A165,'Data shares'!$C:$FB,7)</f>
        <v>273.22000000000003</v>
      </c>
      <c r="C165" s="140">
        <f>VLOOKUP($A165,'Data shares'!$C:$FB,3)</f>
        <v>273.19</v>
      </c>
      <c r="D165" s="140">
        <f>VLOOKUP($A165,'Data shares'!$C:$FB,4)</f>
        <v>271.16000000000003</v>
      </c>
      <c r="E165" s="50">
        <f t="shared" si="6"/>
        <v>0.74863549196045598</v>
      </c>
      <c r="F165" s="49">
        <f>VLOOKUP($A165,'Data shares'!$C:$FB,98)</f>
        <v>61784200</v>
      </c>
      <c r="G165" s="49">
        <f>VLOOKUP($A165,'Data shares'!$C:$FB,99)</f>
        <v>60895000</v>
      </c>
      <c r="H165" s="50">
        <f t="shared" si="7"/>
        <v>1.4602184087363494</v>
      </c>
      <c r="I165" s="49">
        <f>VLOOKUP($A165,'Data shares'!$C:$FB,66)</f>
        <v>12329100</v>
      </c>
      <c r="J165" s="49">
        <f>VLOOKUP($A165,'Data shares'!$C:$FB,67)</f>
        <v>17318500</v>
      </c>
      <c r="K165" s="50">
        <f t="shared" si="8"/>
        <v>-40.468485128679305</v>
      </c>
      <c r="L165" s="50">
        <f>VLOOKUP($A165,'Data shares'!$C:$FB,118)</f>
        <v>0.64</v>
      </c>
      <c r="M165" s="50">
        <f>VLOOKUP($A165,'Data shares'!$C:$FB,119)</f>
        <v>0.65</v>
      </c>
      <c r="N165" s="50">
        <f>VLOOKUP($A165,'Data shares'!$C:$FB,121)*100</f>
        <v>-1.54</v>
      </c>
      <c r="O165" s="50">
        <f>VLOOKUP($A165,'Data shares'!$C:$FB,124)</f>
        <v>0.44</v>
      </c>
      <c r="P165" s="50">
        <f>VLOOKUP($A165,'Data shares'!$C:$FB,125)</f>
        <v>0.52</v>
      </c>
      <c r="Q165" s="50">
        <f>VLOOKUP($A165,'Data shares'!$C:$FB,127)*100</f>
        <v>-15.379999999999999</v>
      </c>
    </row>
    <row r="166" spans="1:17" x14ac:dyDescent="0.25">
      <c r="A166" s="97" t="str">
        <f>'Data Vlaue (Cr)'!C161</f>
        <v>PFC</v>
      </c>
      <c r="B166" s="140">
        <f>VLOOKUP($A166,'Data shares'!$C:$FB,7)</f>
        <v>464.85</v>
      </c>
      <c r="C166" s="140">
        <f>VLOOKUP($A166,'Data shares'!$C:$FB,3)</f>
        <v>466</v>
      </c>
      <c r="D166" s="140">
        <f>VLOOKUP($A166,'Data shares'!$C:$FB,4)</f>
        <v>458.95</v>
      </c>
      <c r="E166" s="50">
        <f t="shared" si="6"/>
        <v>1.5361150452118992</v>
      </c>
      <c r="F166" s="49">
        <f>VLOOKUP($A166,'Data shares'!$C:$FB,98)</f>
        <v>105086800</v>
      </c>
      <c r="G166" s="49">
        <f>VLOOKUP($A166,'Data shares'!$C:$FB,99)</f>
        <v>100952800</v>
      </c>
      <c r="H166" s="50">
        <f t="shared" si="7"/>
        <v>4.0949830019573499</v>
      </c>
      <c r="I166" s="49">
        <f>VLOOKUP($A166,'Data shares'!$C:$FB,66)</f>
        <v>88002200</v>
      </c>
      <c r="J166" s="49">
        <f>VLOOKUP($A166,'Data shares'!$C:$FB,67)</f>
        <v>170067300</v>
      </c>
      <c r="K166" s="50">
        <f t="shared" si="8"/>
        <v>-93.253464117942514</v>
      </c>
      <c r="L166" s="50">
        <f>VLOOKUP($A166,'Data shares'!$C:$FB,118)</f>
        <v>0.73</v>
      </c>
      <c r="M166" s="50">
        <f>VLOOKUP($A166,'Data shares'!$C:$FB,119)</f>
        <v>0.7</v>
      </c>
      <c r="N166" s="50">
        <f>VLOOKUP($A166,'Data shares'!$C:$FB,121)*100</f>
        <v>4.29</v>
      </c>
      <c r="O166" s="50">
        <f>VLOOKUP($A166,'Data shares'!$C:$FB,124)</f>
        <v>0.52</v>
      </c>
      <c r="P166" s="50">
        <f>VLOOKUP($A166,'Data shares'!$C:$FB,125)</f>
        <v>0.52</v>
      </c>
      <c r="Q166" s="50">
        <f>VLOOKUP($A166,'Data shares'!$C:$FB,127)*100</f>
        <v>0</v>
      </c>
    </row>
    <row r="167" spans="1:17" x14ac:dyDescent="0.25">
      <c r="A167" s="97" t="str">
        <f>'Data Vlaue (Cr)'!C162</f>
        <v>PGEL</v>
      </c>
      <c r="B167" s="140">
        <f>VLOOKUP($A167,'Data shares'!$C:$FB,7)</f>
        <v>561.4</v>
      </c>
      <c r="C167" s="140">
        <f>VLOOKUP($A167,'Data shares'!$C:$FB,3)</f>
        <v>562.65</v>
      </c>
      <c r="D167" s="140">
        <f>VLOOKUP($A167,'Data shares'!$C:$FB,4)</f>
        <v>557.20000000000005</v>
      </c>
      <c r="E167" s="50">
        <f t="shared" si="6"/>
        <v>0.97810480976308878</v>
      </c>
      <c r="F167" s="49">
        <f>VLOOKUP($A167,'Data shares'!$C:$FB,98)</f>
        <v>34576200</v>
      </c>
      <c r="G167" s="49">
        <f>VLOOKUP($A167,'Data shares'!$C:$FB,99)</f>
        <v>34942900</v>
      </c>
      <c r="H167" s="50">
        <f t="shared" si="7"/>
        <v>-1.0494263498450329</v>
      </c>
      <c r="I167" s="49">
        <f>VLOOKUP($A167,'Data shares'!$C:$FB,66)</f>
        <v>24452050</v>
      </c>
      <c r="J167" s="49">
        <f>VLOOKUP($A167,'Data shares'!$C:$FB,67)</f>
        <v>48172600</v>
      </c>
      <c r="K167" s="50">
        <f t="shared" si="8"/>
        <v>-97.008430785966823</v>
      </c>
      <c r="L167" s="50">
        <f>VLOOKUP($A167,'Data shares'!$C:$FB,118)</f>
        <v>1.18</v>
      </c>
      <c r="M167" s="50">
        <f>VLOOKUP($A167,'Data shares'!$C:$FB,119)</f>
        <v>1.19</v>
      </c>
      <c r="N167" s="50">
        <f>VLOOKUP($A167,'Data shares'!$C:$FB,121)*100</f>
        <v>-0.84</v>
      </c>
      <c r="O167" s="50">
        <f>VLOOKUP($A167,'Data shares'!$C:$FB,124)</f>
        <v>1.01</v>
      </c>
      <c r="P167" s="50">
        <f>VLOOKUP($A167,'Data shares'!$C:$FB,125)</f>
        <v>0.61</v>
      </c>
      <c r="Q167" s="50">
        <f>VLOOKUP($A167,'Data shares'!$C:$FB,127)*100</f>
        <v>65.569999999999993</v>
      </c>
    </row>
    <row r="168" spans="1:17" x14ac:dyDescent="0.25">
      <c r="A168" s="97" t="str">
        <f>'Data Vlaue (Cr)'!C163</f>
        <v>PHOENIXLTD</v>
      </c>
      <c r="B168" s="140">
        <f>VLOOKUP($A168,'Data shares'!$C:$FB,7)</f>
        <v>1792.2</v>
      </c>
      <c r="C168" s="140">
        <f>VLOOKUP($A168,'Data shares'!$C:$FB,3)</f>
        <v>1798.6</v>
      </c>
      <c r="D168" s="140">
        <f>VLOOKUP($A168,'Data shares'!$C:$FB,4)</f>
        <v>1786.7</v>
      </c>
      <c r="E168" s="50">
        <f t="shared" si="6"/>
        <v>0.66603235014271356</v>
      </c>
      <c r="F168" s="49">
        <f>VLOOKUP($A168,'Data shares'!$C:$FB,98)</f>
        <v>5154450</v>
      </c>
      <c r="G168" s="49">
        <f>VLOOKUP($A168,'Data shares'!$C:$FB,99)</f>
        <v>5199250</v>
      </c>
      <c r="H168" s="50">
        <f t="shared" si="7"/>
        <v>-0.86166273981824293</v>
      </c>
      <c r="I168" s="49">
        <f>VLOOKUP($A168,'Data shares'!$C:$FB,66)</f>
        <v>969150</v>
      </c>
      <c r="J168" s="49">
        <f>VLOOKUP($A168,'Data shares'!$C:$FB,67)</f>
        <v>1573600</v>
      </c>
      <c r="K168" s="50">
        <f t="shared" si="8"/>
        <v>-62.369086312748287</v>
      </c>
      <c r="L168" s="50">
        <f>VLOOKUP($A168,'Data shares'!$C:$FB,118)</f>
        <v>0.86</v>
      </c>
      <c r="M168" s="50">
        <f>VLOOKUP($A168,'Data shares'!$C:$FB,119)</f>
        <v>0.95</v>
      </c>
      <c r="N168" s="50">
        <f>VLOOKUP($A168,'Data shares'!$C:$FB,121)*100</f>
        <v>-9.4700000000000006</v>
      </c>
      <c r="O168" s="50">
        <f>VLOOKUP($A168,'Data shares'!$C:$FB,124)</f>
        <v>0.72</v>
      </c>
      <c r="P168" s="50">
        <f>VLOOKUP($A168,'Data shares'!$C:$FB,125)</f>
        <v>1.32</v>
      </c>
      <c r="Q168" s="50">
        <f>VLOOKUP($A168,'Data shares'!$C:$FB,127)*100</f>
        <v>-45.45</v>
      </c>
    </row>
    <row r="169" spans="1:17" x14ac:dyDescent="0.25">
      <c r="A169" s="97" t="str">
        <f>'Data Vlaue (Cr)'!C164</f>
        <v>PIDILITIND</v>
      </c>
      <c r="B169" s="140">
        <f>VLOOKUP($A169,'Data shares'!$C:$FB,7)</f>
        <v>1393.4</v>
      </c>
      <c r="C169" s="140">
        <f>VLOOKUP($A169,'Data shares'!$C:$FB,3)</f>
        <v>1396.9</v>
      </c>
      <c r="D169" s="140">
        <f>VLOOKUP($A169,'Data shares'!$C:$FB,4)</f>
        <v>1331.3</v>
      </c>
      <c r="E169" s="50">
        <f t="shared" si="6"/>
        <v>4.9275144595508253</v>
      </c>
      <c r="F169" s="49">
        <f>VLOOKUP($A169,'Data shares'!$C:$FB,98)</f>
        <v>11606000</v>
      </c>
      <c r="G169" s="49">
        <f>VLOOKUP($A169,'Data shares'!$C:$FB,99)</f>
        <v>11404000</v>
      </c>
      <c r="H169" s="50">
        <f t="shared" si="7"/>
        <v>1.7713083128726763</v>
      </c>
      <c r="I169" s="49">
        <f>VLOOKUP($A169,'Data shares'!$C:$FB,66)</f>
        <v>13960000</v>
      </c>
      <c r="J169" s="49">
        <f>VLOOKUP($A169,'Data shares'!$C:$FB,67)</f>
        <v>5085000</v>
      </c>
      <c r="K169" s="50">
        <f t="shared" si="8"/>
        <v>63.574498567335247</v>
      </c>
      <c r="L169" s="50">
        <f>VLOOKUP($A169,'Data shares'!$C:$FB,118)</f>
        <v>0.66</v>
      </c>
      <c r="M169" s="50">
        <f>VLOOKUP($A169,'Data shares'!$C:$FB,119)</f>
        <v>0.67</v>
      </c>
      <c r="N169" s="50">
        <f>VLOOKUP($A169,'Data shares'!$C:$FB,121)*100</f>
        <v>-1.49</v>
      </c>
      <c r="O169" s="50">
        <f>VLOOKUP($A169,'Data shares'!$C:$FB,124)</f>
        <v>0.33</v>
      </c>
      <c r="P169" s="50">
        <f>VLOOKUP($A169,'Data shares'!$C:$FB,125)</f>
        <v>0.59</v>
      </c>
      <c r="Q169" s="50">
        <f>VLOOKUP($A169,'Data shares'!$C:$FB,127)*100</f>
        <v>-44.07</v>
      </c>
    </row>
    <row r="170" spans="1:17" x14ac:dyDescent="0.25">
      <c r="A170" s="97" t="str">
        <f>'Data Vlaue (Cr)'!C165</f>
        <v>PIIND</v>
      </c>
      <c r="B170" s="140">
        <f>VLOOKUP($A170,'Data shares'!$C:$FB,7)</f>
        <v>3139.7</v>
      </c>
      <c r="C170" s="140">
        <f>VLOOKUP($A170,'Data shares'!$C:$FB,3)</f>
        <v>3116.8</v>
      </c>
      <c r="D170" s="140">
        <f>VLOOKUP($A170,'Data shares'!$C:$FB,4)</f>
        <v>3106.9</v>
      </c>
      <c r="E170" s="50">
        <f t="shared" si="6"/>
        <v>0.31864559528791048</v>
      </c>
      <c r="F170" s="49">
        <f>VLOOKUP($A170,'Data shares'!$C:$FB,98)</f>
        <v>4015200</v>
      </c>
      <c r="G170" s="49">
        <f>VLOOKUP($A170,'Data shares'!$C:$FB,99)</f>
        <v>3824275</v>
      </c>
      <c r="H170" s="50">
        <f t="shared" si="7"/>
        <v>4.9924495492609706</v>
      </c>
      <c r="I170" s="49">
        <f>VLOOKUP($A170,'Data shares'!$C:$FB,66)</f>
        <v>2131500</v>
      </c>
      <c r="J170" s="49">
        <f>VLOOKUP($A170,'Data shares'!$C:$FB,67)</f>
        <v>3166975</v>
      </c>
      <c r="K170" s="50">
        <f t="shared" si="8"/>
        <v>-48.579638752052546</v>
      </c>
      <c r="L170" s="50">
        <f>VLOOKUP($A170,'Data shares'!$C:$FB,118)</f>
        <v>1.01</v>
      </c>
      <c r="M170" s="50">
        <f>VLOOKUP($A170,'Data shares'!$C:$FB,119)</f>
        <v>1.03</v>
      </c>
      <c r="N170" s="50">
        <f>VLOOKUP($A170,'Data shares'!$C:$FB,121)*100</f>
        <v>-1.94</v>
      </c>
      <c r="O170" s="50">
        <f>VLOOKUP($A170,'Data shares'!$C:$FB,124)</f>
        <v>0.56999999999999995</v>
      </c>
      <c r="P170" s="50">
        <f>VLOOKUP($A170,'Data shares'!$C:$FB,125)</f>
        <v>0.45</v>
      </c>
      <c r="Q170" s="50">
        <f>VLOOKUP($A170,'Data shares'!$C:$FB,127)*100</f>
        <v>26.669999999999998</v>
      </c>
    </row>
    <row r="171" spans="1:17" x14ac:dyDescent="0.25">
      <c r="A171" s="97" t="str">
        <f>'Data Vlaue (Cr)'!C166</f>
        <v>PNB</v>
      </c>
      <c r="B171" s="140">
        <f>VLOOKUP($A171,'Data shares'!$C:$FB,7)</f>
        <v>114.48</v>
      </c>
      <c r="C171" s="140">
        <f>VLOOKUP($A171,'Data shares'!$C:$FB,3)</f>
        <v>114.73</v>
      </c>
      <c r="D171" s="140">
        <f>VLOOKUP($A171,'Data shares'!$C:$FB,4)</f>
        <v>113.72</v>
      </c>
      <c r="E171" s="50">
        <f t="shared" si="6"/>
        <v>0.88814632430531582</v>
      </c>
      <c r="F171" s="49">
        <f>VLOOKUP($A171,'Data shares'!$C:$FB,98)</f>
        <v>424744000</v>
      </c>
      <c r="G171" s="49">
        <f>VLOOKUP($A171,'Data shares'!$C:$FB,99)</f>
        <v>423456000</v>
      </c>
      <c r="H171" s="50">
        <f t="shared" si="7"/>
        <v>0.30416383284213711</v>
      </c>
      <c r="I171" s="49">
        <f>VLOOKUP($A171,'Data shares'!$C:$FB,66)</f>
        <v>173592000</v>
      </c>
      <c r="J171" s="49">
        <f>VLOOKUP($A171,'Data shares'!$C:$FB,67)</f>
        <v>184528000</v>
      </c>
      <c r="K171" s="50">
        <f t="shared" si="8"/>
        <v>-6.2998294852297336</v>
      </c>
      <c r="L171" s="50">
        <f>VLOOKUP($A171,'Data shares'!$C:$FB,118)</f>
        <v>0.88</v>
      </c>
      <c r="M171" s="50">
        <f>VLOOKUP($A171,'Data shares'!$C:$FB,119)</f>
        <v>0.89</v>
      </c>
      <c r="N171" s="50">
        <f>VLOOKUP($A171,'Data shares'!$C:$FB,121)*100</f>
        <v>-1.1199999999999999</v>
      </c>
      <c r="O171" s="50">
        <f>VLOOKUP($A171,'Data shares'!$C:$FB,124)</f>
        <v>0.59</v>
      </c>
      <c r="P171" s="50">
        <f>VLOOKUP($A171,'Data shares'!$C:$FB,125)</f>
        <v>0.57999999999999996</v>
      </c>
      <c r="Q171" s="50">
        <f>VLOOKUP($A171,'Data shares'!$C:$FB,127)*100</f>
        <v>1.72</v>
      </c>
    </row>
    <row r="172" spans="1:17" x14ac:dyDescent="0.25">
      <c r="A172" s="97" t="str">
        <f>'Data Vlaue (Cr)'!C167</f>
        <v>PNBHOUSING</v>
      </c>
      <c r="B172" s="140">
        <f>VLOOKUP($A172,'Data shares'!$C:$FB,7)</f>
        <v>923.7</v>
      </c>
      <c r="C172" s="140">
        <f>VLOOKUP($A172,'Data shares'!$C:$FB,3)</f>
        <v>924.4</v>
      </c>
      <c r="D172" s="140">
        <f>VLOOKUP($A172,'Data shares'!$C:$FB,4)</f>
        <v>896.45</v>
      </c>
      <c r="E172" s="50">
        <f t="shared" si="6"/>
        <v>3.1178537564839006</v>
      </c>
      <c r="F172" s="49">
        <f>VLOOKUP($A172,'Data shares'!$C:$FB,98)</f>
        <v>18905900</v>
      </c>
      <c r="G172" s="49">
        <f>VLOOKUP($A172,'Data shares'!$C:$FB,99)</f>
        <v>17486950</v>
      </c>
      <c r="H172" s="50">
        <f t="shared" si="7"/>
        <v>8.1143366910753461</v>
      </c>
      <c r="I172" s="49">
        <f>VLOOKUP($A172,'Data shares'!$C:$FB,66)</f>
        <v>16272100</v>
      </c>
      <c r="J172" s="49">
        <f>VLOOKUP($A172,'Data shares'!$C:$FB,67)</f>
        <v>16268200</v>
      </c>
      <c r="K172" s="50">
        <f t="shared" si="8"/>
        <v>2.3967404330111051E-2</v>
      </c>
      <c r="L172" s="50">
        <f>VLOOKUP($A172,'Data shares'!$C:$FB,118)</f>
        <v>1</v>
      </c>
      <c r="M172" s="50">
        <f>VLOOKUP($A172,'Data shares'!$C:$FB,119)</f>
        <v>0.92</v>
      </c>
      <c r="N172" s="50">
        <f>VLOOKUP($A172,'Data shares'!$C:$FB,121)*100</f>
        <v>8.6999999999999993</v>
      </c>
      <c r="O172" s="50">
        <f>VLOOKUP($A172,'Data shares'!$C:$FB,124)</f>
        <v>0.34</v>
      </c>
      <c r="P172" s="50">
        <f>VLOOKUP($A172,'Data shares'!$C:$FB,125)</f>
        <v>0.28999999999999998</v>
      </c>
      <c r="Q172" s="50">
        <f>VLOOKUP($A172,'Data shares'!$C:$FB,127)*100</f>
        <v>17.239999999999998</v>
      </c>
    </row>
    <row r="173" spans="1:17" x14ac:dyDescent="0.25">
      <c r="A173" s="97" t="str">
        <f>'Data Vlaue (Cr)'!C168</f>
        <v>POLICYBZR</v>
      </c>
      <c r="B173" s="140">
        <f>VLOOKUP($A173,'Data shares'!$C:$FB,7)</f>
        <v>1600.6</v>
      </c>
      <c r="C173" s="140">
        <f>VLOOKUP($A173,'Data shares'!$C:$FB,3)</f>
        <v>1601.1</v>
      </c>
      <c r="D173" s="140">
        <f>VLOOKUP($A173,'Data shares'!$C:$FB,4)</f>
        <v>1555.3</v>
      </c>
      <c r="E173" s="50">
        <f t="shared" ref="E173:E182" si="9">(C173-D173)/D173*100</f>
        <v>2.9447694978460719</v>
      </c>
      <c r="F173" s="49">
        <f>VLOOKUP($A173,'Data shares'!$C:$FB,98)</f>
        <v>12047700</v>
      </c>
      <c r="G173" s="49">
        <f>VLOOKUP($A173,'Data shares'!$C:$FB,99)</f>
        <v>12372850</v>
      </c>
      <c r="H173" s="50">
        <f t="shared" ref="H173:H182" si="10">(F173-G173)/G173*100</f>
        <v>-2.6279313173601877</v>
      </c>
      <c r="I173" s="49">
        <f>VLOOKUP($A173,'Data shares'!$C:$FB,66)</f>
        <v>26378450</v>
      </c>
      <c r="J173" s="49">
        <f>VLOOKUP($A173,'Data shares'!$C:$FB,67)</f>
        <v>16936850</v>
      </c>
      <c r="K173" s="50">
        <f t="shared" ref="K173:K182" si="11">(I173-J173)/I173*100</f>
        <v>35.792853636206829</v>
      </c>
      <c r="L173" s="50">
        <f>VLOOKUP($A173,'Data shares'!$C:$FB,118)</f>
        <v>0.66</v>
      </c>
      <c r="M173" s="50">
        <f>VLOOKUP($A173,'Data shares'!$C:$FB,119)</f>
        <v>0.6</v>
      </c>
      <c r="N173" s="50">
        <f>VLOOKUP($A173,'Data shares'!$C:$FB,121)*100</f>
        <v>10</v>
      </c>
      <c r="O173" s="50">
        <f>VLOOKUP($A173,'Data shares'!$C:$FB,124)</f>
        <v>0.35</v>
      </c>
      <c r="P173" s="50">
        <f>VLOOKUP($A173,'Data shares'!$C:$FB,125)</f>
        <v>0.3</v>
      </c>
      <c r="Q173" s="50">
        <f>VLOOKUP($A173,'Data shares'!$C:$FB,127)*100</f>
        <v>16.669999999999998</v>
      </c>
    </row>
    <row r="174" spans="1:17" x14ac:dyDescent="0.25">
      <c r="A174" s="97" t="str">
        <f>'Data Vlaue (Cr)'!C169</f>
        <v>POLYCAB</v>
      </c>
      <c r="B174" s="140">
        <f>VLOOKUP($A174,'Data shares'!$C:$FB,7)</f>
        <v>8182.5</v>
      </c>
      <c r="C174" s="140">
        <f>VLOOKUP($A174,'Data shares'!$C:$FB,3)</f>
        <v>8162</v>
      </c>
      <c r="D174" s="140">
        <f>VLOOKUP($A174,'Data shares'!$C:$FB,4)</f>
        <v>7925</v>
      </c>
      <c r="E174" s="50">
        <f t="shared" si="9"/>
        <v>2.9905362776025237</v>
      </c>
      <c r="F174" s="49">
        <f>VLOOKUP($A174,'Data shares'!$C:$FB,98)</f>
        <v>4457125</v>
      </c>
      <c r="G174" s="49">
        <f>VLOOKUP($A174,'Data shares'!$C:$FB,99)</f>
        <v>4134500</v>
      </c>
      <c r="H174" s="50">
        <f t="shared" si="10"/>
        <v>7.8032410206796463</v>
      </c>
      <c r="I174" s="49">
        <f>VLOOKUP($A174,'Data shares'!$C:$FB,66)</f>
        <v>11672750</v>
      </c>
      <c r="J174" s="49">
        <f>VLOOKUP($A174,'Data shares'!$C:$FB,67)</f>
        <v>3654250</v>
      </c>
      <c r="K174" s="50">
        <f t="shared" si="11"/>
        <v>68.694180891392335</v>
      </c>
      <c r="L174" s="50">
        <f>VLOOKUP($A174,'Data shares'!$C:$FB,118)</f>
        <v>1.24</v>
      </c>
      <c r="M174" s="50">
        <f>VLOOKUP($A174,'Data shares'!$C:$FB,119)</f>
        <v>1.39</v>
      </c>
      <c r="N174" s="50">
        <f>VLOOKUP($A174,'Data shares'!$C:$FB,121)*100</f>
        <v>-10.79</v>
      </c>
      <c r="O174" s="50">
        <f>VLOOKUP($A174,'Data shares'!$C:$FB,124)</f>
        <v>0.68</v>
      </c>
      <c r="P174" s="50">
        <f>VLOOKUP($A174,'Data shares'!$C:$FB,125)</f>
        <v>0.8</v>
      </c>
      <c r="Q174" s="50">
        <f>VLOOKUP($A174,'Data shares'!$C:$FB,127)*100</f>
        <v>-15</v>
      </c>
    </row>
    <row r="175" spans="1:17" x14ac:dyDescent="0.25">
      <c r="A175" s="97" t="str">
        <f>'Data Vlaue (Cr)'!C170</f>
        <v>POWERGRID</v>
      </c>
      <c r="B175" s="140">
        <f>VLOOKUP($A175,'Data shares'!$C:$FB,7)</f>
        <v>318.10000000000002</v>
      </c>
      <c r="C175" s="140">
        <f>VLOOKUP($A175,'Data shares'!$C:$FB,3)</f>
        <v>317.64999999999998</v>
      </c>
      <c r="D175" s="140">
        <f>VLOOKUP($A175,'Data shares'!$C:$FB,4)</f>
        <v>311.85000000000002</v>
      </c>
      <c r="E175" s="50">
        <f t="shared" si="9"/>
        <v>1.8598685265351786</v>
      </c>
      <c r="F175" s="49">
        <f>VLOOKUP($A175,'Data shares'!$C:$FB,98)</f>
        <v>140269400</v>
      </c>
      <c r="G175" s="49">
        <f>VLOOKUP($A175,'Data shares'!$C:$FB,99)</f>
        <v>139327000</v>
      </c>
      <c r="H175" s="50">
        <f t="shared" si="10"/>
        <v>0.6763943815627983</v>
      </c>
      <c r="I175" s="49">
        <f>VLOOKUP($A175,'Data shares'!$C:$FB,66)</f>
        <v>130283000</v>
      </c>
      <c r="J175" s="49">
        <f>VLOOKUP($A175,'Data shares'!$C:$FB,67)</f>
        <v>126614100</v>
      </c>
      <c r="K175" s="50">
        <f t="shared" si="11"/>
        <v>2.8161003354236547</v>
      </c>
      <c r="L175" s="50">
        <f>VLOOKUP($A175,'Data shares'!$C:$FB,118)</f>
        <v>0.63</v>
      </c>
      <c r="M175" s="50">
        <f>VLOOKUP($A175,'Data shares'!$C:$FB,119)</f>
        <v>0.5</v>
      </c>
      <c r="N175" s="50">
        <f>VLOOKUP($A175,'Data shares'!$C:$FB,121)*100</f>
        <v>26</v>
      </c>
      <c r="O175" s="50">
        <f>VLOOKUP($A175,'Data shares'!$C:$FB,124)</f>
        <v>0.38</v>
      </c>
      <c r="P175" s="50">
        <f>VLOOKUP($A175,'Data shares'!$C:$FB,125)</f>
        <v>0.28999999999999998</v>
      </c>
      <c r="Q175" s="50">
        <f>VLOOKUP($A175,'Data shares'!$C:$FB,127)*100</f>
        <v>31.03</v>
      </c>
    </row>
    <row r="176" spans="1:17" x14ac:dyDescent="0.25">
      <c r="A176" s="97" t="str">
        <f>'Data Vlaue (Cr)'!C171</f>
        <v>POWERINDIA</v>
      </c>
      <c r="B176" s="140">
        <f>VLOOKUP($A176,'Data shares'!$C:$FB,7)</f>
        <v>28925</v>
      </c>
      <c r="C176" s="140">
        <f>VLOOKUP($A176,'Data shares'!$C:$FB,3)</f>
        <v>28970</v>
      </c>
      <c r="D176" s="140">
        <f>VLOOKUP($A176,'Data shares'!$C:$FB,4)</f>
        <v>28325</v>
      </c>
      <c r="E176" s="50">
        <f t="shared" si="9"/>
        <v>2.2771403353927626</v>
      </c>
      <c r="F176" s="49">
        <f>VLOOKUP($A176,'Data shares'!$C:$FB,98)</f>
        <v>902600</v>
      </c>
      <c r="G176" s="49">
        <f>VLOOKUP($A176,'Data shares'!$C:$FB,99)</f>
        <v>889500</v>
      </c>
      <c r="H176" s="50">
        <f t="shared" si="10"/>
        <v>1.4727374929735808</v>
      </c>
      <c r="I176" s="49">
        <f>VLOOKUP($A176,'Data shares'!$C:$FB,66)</f>
        <v>849550</v>
      </c>
      <c r="J176" s="49">
        <f>VLOOKUP($A176,'Data shares'!$C:$FB,67)</f>
        <v>883500</v>
      </c>
      <c r="K176" s="50">
        <f t="shared" si="11"/>
        <v>-3.9962332999823436</v>
      </c>
      <c r="L176" s="50">
        <f>VLOOKUP($A176,'Data shares'!$C:$FB,118)</f>
        <v>1.05</v>
      </c>
      <c r="M176" s="50">
        <f>VLOOKUP($A176,'Data shares'!$C:$FB,119)</f>
        <v>0.85</v>
      </c>
      <c r="N176" s="50">
        <f>VLOOKUP($A176,'Data shares'!$C:$FB,121)*100</f>
        <v>23.53</v>
      </c>
      <c r="O176" s="50">
        <f>VLOOKUP($A176,'Data shares'!$C:$FB,124)</f>
        <v>0.67</v>
      </c>
      <c r="P176" s="50">
        <f>VLOOKUP($A176,'Data shares'!$C:$FB,125)</f>
        <v>0.6</v>
      </c>
      <c r="Q176" s="50">
        <f>VLOOKUP($A176,'Data shares'!$C:$FB,127)*100</f>
        <v>11.67</v>
      </c>
    </row>
    <row r="177" spans="1:17" x14ac:dyDescent="0.25">
      <c r="A177" s="97" t="str">
        <f>'Data Vlaue (Cr)'!C172</f>
        <v>PPLPHARMA</v>
      </c>
      <c r="B177" s="140">
        <f>VLOOKUP($A177,'Data shares'!$C:$FB,7)</f>
        <v>148.85</v>
      </c>
      <c r="C177" s="140">
        <f>VLOOKUP($A177,'Data shares'!$C:$FB,3)</f>
        <v>148.41</v>
      </c>
      <c r="D177" s="140">
        <f>VLOOKUP($A177,'Data shares'!$C:$FB,4)</f>
        <v>147.63</v>
      </c>
      <c r="E177" s="50">
        <f t="shared" si="9"/>
        <v>0.52834789676895022</v>
      </c>
      <c r="F177" s="49">
        <f>VLOOKUP($A177,'Data shares'!$C:$FB,98)</f>
        <v>20690250</v>
      </c>
      <c r="G177" s="49">
        <f>VLOOKUP($A177,'Data shares'!$C:$FB,99)</f>
        <v>20787375</v>
      </c>
      <c r="H177" s="50">
        <f t="shared" si="10"/>
        <v>-0.46723071094835211</v>
      </c>
      <c r="I177" s="49">
        <f>VLOOKUP($A177,'Data shares'!$C:$FB,66)</f>
        <v>9366000</v>
      </c>
      <c r="J177" s="49">
        <f>VLOOKUP($A177,'Data shares'!$C:$FB,67)</f>
        <v>10195500</v>
      </c>
      <c r="K177" s="50">
        <f t="shared" si="11"/>
        <v>-8.8565022421524677</v>
      </c>
      <c r="L177" s="50">
        <f>VLOOKUP($A177,'Data shares'!$C:$FB,118)</f>
        <v>0.6</v>
      </c>
      <c r="M177" s="50">
        <f>VLOOKUP($A177,'Data shares'!$C:$FB,119)</f>
        <v>0.57999999999999996</v>
      </c>
      <c r="N177" s="50">
        <f>VLOOKUP($A177,'Data shares'!$C:$FB,121)*100</f>
        <v>3.45</v>
      </c>
      <c r="O177" s="50">
        <f>VLOOKUP($A177,'Data shares'!$C:$FB,124)</f>
        <v>0.25</v>
      </c>
      <c r="P177" s="50">
        <f>VLOOKUP($A177,'Data shares'!$C:$FB,125)</f>
        <v>0.34</v>
      </c>
      <c r="Q177" s="50">
        <f>VLOOKUP($A177,'Data shares'!$C:$FB,127)*100</f>
        <v>-26.47</v>
      </c>
    </row>
    <row r="178" spans="1:17" x14ac:dyDescent="0.25">
      <c r="A178" s="97" t="str">
        <f>'Data Vlaue (Cr)'!C173</f>
        <v>PREMIERENE</v>
      </c>
      <c r="B178" s="140">
        <f>VLOOKUP($A178,'Data shares'!$C:$FB,7)</f>
        <v>1034.5999999999999</v>
      </c>
      <c r="C178" s="140">
        <f>VLOOKUP($A178,'Data shares'!$C:$FB,3)</f>
        <v>1006.65</v>
      </c>
      <c r="D178" s="140">
        <f>VLOOKUP($A178,'Data shares'!$C:$FB,4)</f>
        <v>1004.05</v>
      </c>
      <c r="E178" s="50">
        <f t="shared" si="9"/>
        <v>0.25895124744783854</v>
      </c>
      <c r="F178" s="49">
        <f>VLOOKUP($A178,'Data shares'!$C:$FB,98)</f>
        <v>17182725</v>
      </c>
      <c r="G178" s="49">
        <f>VLOOKUP($A178,'Data shares'!$C:$FB,99)</f>
        <v>14766000</v>
      </c>
      <c r="H178" s="50">
        <f t="shared" si="10"/>
        <v>16.366822429906541</v>
      </c>
      <c r="I178" s="49">
        <f>VLOOKUP($A178,'Data shares'!$C:$FB,66)</f>
        <v>14350850</v>
      </c>
      <c r="J178" s="49">
        <f>VLOOKUP($A178,'Data shares'!$C:$FB,67)</f>
        <v>6324425</v>
      </c>
      <c r="K178" s="50">
        <f t="shared" si="11"/>
        <v>55.929962336725701</v>
      </c>
      <c r="L178" s="50">
        <f>VLOOKUP($A178,'Data shares'!$C:$FB,118)</f>
        <v>0.81</v>
      </c>
      <c r="M178" s="50">
        <f>VLOOKUP($A178,'Data shares'!$C:$FB,119)</f>
        <v>0.82</v>
      </c>
      <c r="N178" s="50">
        <f>VLOOKUP($A178,'Data shares'!$C:$FB,121)*100</f>
        <v>-1.22</v>
      </c>
      <c r="O178" s="50">
        <f>VLOOKUP($A178,'Data shares'!$C:$FB,124)</f>
        <v>0.69</v>
      </c>
      <c r="P178" s="50">
        <f>VLOOKUP($A178,'Data shares'!$C:$FB,125)</f>
        <v>0.44</v>
      </c>
      <c r="Q178" s="50">
        <f>VLOOKUP($A178,'Data shares'!$C:$FB,127)*100</f>
        <v>56.820000000000007</v>
      </c>
    </row>
    <row r="179" spans="1:17" x14ac:dyDescent="0.25">
      <c r="A179" s="97" t="str">
        <f>'Data Vlaue (Cr)'!C174</f>
        <v>PRESTIGE</v>
      </c>
      <c r="B179" s="140">
        <f>VLOOKUP($A179,'Data shares'!$C:$FB,7)</f>
        <v>1356.8</v>
      </c>
      <c r="C179" s="140">
        <f>VLOOKUP($A179,'Data shares'!$C:$FB,3)</f>
        <v>1357.6</v>
      </c>
      <c r="D179" s="140">
        <f>VLOOKUP($A179,'Data shares'!$C:$FB,4)</f>
        <v>1339</v>
      </c>
      <c r="E179" s="50">
        <f t="shared" si="9"/>
        <v>1.3890963405526444</v>
      </c>
      <c r="F179" s="49">
        <f>VLOOKUP($A179,'Data shares'!$C:$FB,98)</f>
        <v>10787850</v>
      </c>
      <c r="G179" s="49">
        <f>VLOOKUP($A179,'Data shares'!$C:$FB,99)</f>
        <v>10934100</v>
      </c>
      <c r="H179" s="50">
        <f t="shared" si="10"/>
        <v>-1.3375586468022058</v>
      </c>
      <c r="I179" s="49">
        <f>VLOOKUP($A179,'Data shares'!$C:$FB,66)</f>
        <v>4607550</v>
      </c>
      <c r="J179" s="49">
        <f>VLOOKUP($A179,'Data shares'!$C:$FB,67)</f>
        <v>4872600</v>
      </c>
      <c r="K179" s="50">
        <f t="shared" si="11"/>
        <v>-5.7525148940326201</v>
      </c>
      <c r="L179" s="50">
        <f>VLOOKUP($A179,'Data shares'!$C:$FB,118)</f>
        <v>0.74</v>
      </c>
      <c r="M179" s="50">
        <f>VLOOKUP($A179,'Data shares'!$C:$FB,119)</f>
        <v>0.68</v>
      </c>
      <c r="N179" s="50">
        <f>VLOOKUP($A179,'Data shares'!$C:$FB,121)*100</f>
        <v>8.82</v>
      </c>
      <c r="O179" s="50">
        <f>VLOOKUP($A179,'Data shares'!$C:$FB,124)</f>
        <v>0.43</v>
      </c>
      <c r="P179" s="50">
        <f>VLOOKUP($A179,'Data shares'!$C:$FB,125)</f>
        <v>0.66</v>
      </c>
      <c r="Q179" s="50">
        <f>VLOOKUP($A179,'Data shares'!$C:$FB,127)*100</f>
        <v>-34.849999999999994</v>
      </c>
    </row>
    <row r="180" spans="1:17" x14ac:dyDescent="0.25">
      <c r="A180" s="97" t="str">
        <f>'Data Vlaue (Cr)'!C175</f>
        <v>RBLBANK</v>
      </c>
      <c r="B180" s="140">
        <f>VLOOKUP($A180,'Data shares'!$C:$FB,7)</f>
        <v>315.55</v>
      </c>
      <c r="C180" s="140">
        <f>VLOOKUP($A180,'Data shares'!$C:$FB,3)</f>
        <v>316.64999999999998</v>
      </c>
      <c r="D180" s="140">
        <f>VLOOKUP($A180,'Data shares'!$C:$FB,4)</f>
        <v>315.95</v>
      </c>
      <c r="E180" s="50">
        <f t="shared" si="9"/>
        <v>0.22155404336128776</v>
      </c>
      <c r="F180" s="49">
        <f>VLOOKUP($A180,'Data shares'!$C:$FB,98)</f>
        <v>119948325</v>
      </c>
      <c r="G180" s="49">
        <f>VLOOKUP($A180,'Data shares'!$C:$FB,99)</f>
        <v>120189625</v>
      </c>
      <c r="H180" s="50">
        <f t="shared" si="10"/>
        <v>-0.20076608109893013</v>
      </c>
      <c r="I180" s="49">
        <f>VLOOKUP($A180,'Data shares'!$C:$FB,66)</f>
        <v>55679975</v>
      </c>
      <c r="J180" s="49">
        <f>VLOOKUP($A180,'Data shares'!$C:$FB,67)</f>
        <v>46662975</v>
      </c>
      <c r="K180" s="50">
        <f t="shared" si="11"/>
        <v>16.194331983805668</v>
      </c>
      <c r="L180" s="50">
        <f>VLOOKUP($A180,'Data shares'!$C:$FB,118)</f>
        <v>0.9</v>
      </c>
      <c r="M180" s="50">
        <f>VLOOKUP($A180,'Data shares'!$C:$FB,119)</f>
        <v>0.88</v>
      </c>
      <c r="N180" s="50">
        <f>VLOOKUP($A180,'Data shares'!$C:$FB,121)*100</f>
        <v>2.27</v>
      </c>
      <c r="O180" s="50">
        <f>VLOOKUP($A180,'Data shares'!$C:$FB,124)</f>
        <v>0.39</v>
      </c>
      <c r="P180" s="50">
        <f>VLOOKUP($A180,'Data shares'!$C:$FB,125)</f>
        <v>0.56999999999999995</v>
      </c>
      <c r="Q180" s="50">
        <f>VLOOKUP($A180,'Data shares'!$C:$FB,127)*100</f>
        <v>-31.580000000000002</v>
      </c>
    </row>
    <row r="181" spans="1:17" x14ac:dyDescent="0.25">
      <c r="A181" s="97" t="str">
        <f>'Data Vlaue (Cr)'!C176</f>
        <v>RECLTD</v>
      </c>
      <c r="B181" s="140">
        <f>VLOOKUP($A181,'Data shares'!$C:$FB,7)</f>
        <v>373.3</v>
      </c>
      <c r="C181" s="140">
        <f>VLOOKUP($A181,'Data shares'!$C:$FB,3)</f>
        <v>374.45</v>
      </c>
      <c r="D181" s="140">
        <f>VLOOKUP($A181,'Data shares'!$C:$FB,4)</f>
        <v>365.15</v>
      </c>
      <c r="E181" s="50">
        <f t="shared" si="9"/>
        <v>2.5468985348486957</v>
      </c>
      <c r="F181" s="49">
        <f>VLOOKUP($A181,'Data shares'!$C:$FB,98)</f>
        <v>119600600</v>
      </c>
      <c r="G181" s="49">
        <f>VLOOKUP($A181,'Data shares'!$C:$FB,99)</f>
        <v>119778400</v>
      </c>
      <c r="H181" s="50">
        <f t="shared" si="10"/>
        <v>-0.14844078732058535</v>
      </c>
      <c r="I181" s="49">
        <f>VLOOKUP($A181,'Data shares'!$C:$FB,66)</f>
        <v>102711000</v>
      </c>
      <c r="J181" s="49">
        <f>VLOOKUP($A181,'Data shares'!$C:$FB,67)</f>
        <v>170258200</v>
      </c>
      <c r="K181" s="50">
        <f t="shared" si="11"/>
        <v>-65.764329039732843</v>
      </c>
      <c r="L181" s="50">
        <f>VLOOKUP($A181,'Data shares'!$C:$FB,118)</f>
        <v>0.92</v>
      </c>
      <c r="M181" s="50">
        <f>VLOOKUP($A181,'Data shares'!$C:$FB,119)</f>
        <v>0.83</v>
      </c>
      <c r="N181" s="50">
        <f>VLOOKUP($A181,'Data shares'!$C:$FB,121)*100</f>
        <v>10.84</v>
      </c>
      <c r="O181" s="50">
        <f>VLOOKUP($A181,'Data shares'!$C:$FB,124)</f>
        <v>0.59</v>
      </c>
      <c r="P181" s="50">
        <f>VLOOKUP($A181,'Data shares'!$C:$FB,125)</f>
        <v>0.41</v>
      </c>
      <c r="Q181" s="50">
        <f>VLOOKUP($A181,'Data shares'!$C:$FB,127)*100</f>
        <v>43.9</v>
      </c>
    </row>
    <row r="182" spans="1:17" x14ac:dyDescent="0.25">
      <c r="A182" s="97" t="str">
        <f>'Data Vlaue (Cr)'!C177</f>
        <v>RELIANCE</v>
      </c>
      <c r="B182" s="140">
        <f>VLOOKUP($A182,'Data shares'!$C:$FB,7)</f>
        <v>1365</v>
      </c>
      <c r="C182" s="140">
        <f>VLOOKUP($A182,'Data shares'!$C:$FB,3)</f>
        <v>1366.3</v>
      </c>
      <c r="D182" s="140">
        <f>VLOOKUP($A182,'Data shares'!$C:$FB,4)</f>
        <v>1344.6</v>
      </c>
      <c r="E182" s="50">
        <f t="shared" si="9"/>
        <v>1.6138628588427819</v>
      </c>
      <c r="F182" s="49">
        <f>VLOOKUP($A182,'Data shares'!$C:$FB,98)</f>
        <v>214571500</v>
      </c>
      <c r="G182" s="49">
        <f>VLOOKUP($A182,'Data shares'!$C:$FB,99)</f>
        <v>218069000</v>
      </c>
      <c r="H182" s="50">
        <f t="shared" si="10"/>
        <v>-1.6038501575189503</v>
      </c>
      <c r="I182" s="49">
        <f>VLOOKUP($A182,'Data shares'!$C:$FB,66)</f>
        <v>166007000</v>
      </c>
      <c r="J182" s="49">
        <f>VLOOKUP($A182,'Data shares'!$C:$FB,67)</f>
        <v>119887500</v>
      </c>
      <c r="K182" s="50">
        <f t="shared" si="11"/>
        <v>27.781659809526104</v>
      </c>
      <c r="L182" s="50">
        <f>VLOOKUP($A182,'Data shares'!$C:$FB,118)</f>
        <v>0.48</v>
      </c>
      <c r="M182" s="50">
        <f>VLOOKUP($A182,'Data shares'!$C:$FB,119)</f>
        <v>0.45</v>
      </c>
      <c r="N182" s="50">
        <f>VLOOKUP($A182,'Data shares'!$C:$FB,121)*100</f>
        <v>6.67</v>
      </c>
      <c r="O182" s="50">
        <f>VLOOKUP($A182,'Data shares'!$C:$FB,124)</f>
        <v>0.48</v>
      </c>
      <c r="P182" s="50">
        <f>VLOOKUP($A182,'Data shares'!$C:$FB,125)</f>
        <v>0.51</v>
      </c>
      <c r="Q182" s="50">
        <f>VLOOKUP($A182,'Data shares'!$C:$FB,127)*100</f>
        <v>-5.88</v>
      </c>
    </row>
    <row r="183" spans="1:17" x14ac:dyDescent="0.25">
      <c r="A183" s="97" t="str">
        <f>'Data Vlaue (Cr)'!C178</f>
        <v>RVNL</v>
      </c>
      <c r="B183" s="140">
        <f>VLOOKUP($A183,'Data shares'!$C:$FB,7)</f>
        <v>303.06</v>
      </c>
      <c r="C183" s="140">
        <f>VLOOKUP($A183,'Data shares'!$C:$FB,3)</f>
        <v>299.66000000000003</v>
      </c>
      <c r="D183" s="140">
        <f>VLOOKUP($A183,'Data shares'!$C:$FB,4)</f>
        <v>292.2</v>
      </c>
      <c r="E183" s="50">
        <f>(C183-D183)/D183*100</f>
        <v>2.5530458590006968</v>
      </c>
      <c r="F183" s="49">
        <f>VLOOKUP($A183,'Data shares'!$C:$FB,98)</f>
        <v>106646300</v>
      </c>
      <c r="G183" s="49">
        <f>VLOOKUP($A183,'Data shares'!$C:$FB,99)</f>
        <v>91580825</v>
      </c>
      <c r="H183" s="50">
        <f>(F183-G183)/G183*100</f>
        <v>16.450468752601868</v>
      </c>
      <c r="I183" s="49">
        <f>VLOOKUP($A183,'Data shares'!$C:$FB,66)</f>
        <v>180646925</v>
      </c>
      <c r="J183" s="49">
        <f>VLOOKUP($A183,'Data shares'!$C:$FB,67)</f>
        <v>77752125</v>
      </c>
      <c r="K183" s="50">
        <f>(I183-J183)/I183*100</f>
        <v>56.959065314839982</v>
      </c>
      <c r="L183" s="50">
        <f>VLOOKUP($A183,'Data shares'!$C:$FB,118)</f>
        <v>0.66</v>
      </c>
      <c r="M183" s="50">
        <f>VLOOKUP($A183,'Data shares'!$C:$FB,119)</f>
        <v>0.72</v>
      </c>
      <c r="N183" s="50">
        <f>VLOOKUP($A183,'Data shares'!$C:$FB,121)*100</f>
        <v>-8.33</v>
      </c>
      <c r="O183" s="50">
        <f>VLOOKUP($A183,'Data shares'!$C:$FB,124)</f>
        <v>0.3</v>
      </c>
      <c r="P183" s="50">
        <f>VLOOKUP($A183,'Data shares'!$C:$FB,125)</f>
        <v>0.28000000000000003</v>
      </c>
      <c r="Q183" s="50">
        <f>VLOOKUP($A183,'Data shares'!$C:$FB,127)*100</f>
        <v>7.1400000000000006</v>
      </c>
    </row>
    <row r="184" spans="1:17" x14ac:dyDescent="0.25">
      <c r="A184" s="97" t="str">
        <f>'Data Vlaue (Cr)'!C179</f>
        <v>SAIL</v>
      </c>
      <c r="B184" s="140">
        <f>VLOOKUP($A184,'Data shares'!$C:$FB,7)</f>
        <v>173.33</v>
      </c>
      <c r="C184" s="140">
        <f>VLOOKUP($A184,'Data shares'!$C:$FB,3)</f>
        <v>173.23</v>
      </c>
      <c r="D184" s="140">
        <f>VLOOKUP($A184,'Data shares'!$C:$FB,4)</f>
        <v>171.53</v>
      </c>
      <c r="E184" s="50">
        <f t="shared" ref="E184:E188" si="12">(C184-D184)/D184*100</f>
        <v>0.99108027750247107</v>
      </c>
      <c r="F184" s="49">
        <f>VLOOKUP($A184,'Data shares'!$C:$FB,98)</f>
        <v>219584000</v>
      </c>
      <c r="G184" s="49">
        <f>VLOOKUP($A184,'Data shares'!$C:$FB,99)</f>
        <v>221614400</v>
      </c>
      <c r="H184" s="50">
        <f t="shared" ref="H184:H188" si="13">(F184-G184)/G184*100</f>
        <v>-0.91618595181540563</v>
      </c>
      <c r="I184" s="49">
        <f>VLOOKUP($A184,'Data shares'!$C:$FB,66)</f>
        <v>3149000</v>
      </c>
      <c r="J184" s="49">
        <f>VLOOKUP($A184,'Data shares'!$C:$FB,67)</f>
        <v>4361600</v>
      </c>
      <c r="K184" s="50">
        <f t="shared" ref="K184:K188" si="14">(I184-J184)/I184*100</f>
        <v>-38.507462686567159</v>
      </c>
      <c r="L184" s="50">
        <f>VLOOKUP($A184,'Data shares'!$C:$FB,118)</f>
        <v>0.74</v>
      </c>
      <c r="M184" s="50">
        <f>VLOOKUP($A184,'Data shares'!$C:$FB,119)</f>
        <v>0.74</v>
      </c>
      <c r="N184" s="50">
        <f>VLOOKUP($A184,'Data shares'!$C:$FB,121)*100</f>
        <v>0</v>
      </c>
      <c r="O184" s="50">
        <f>VLOOKUP($A184,'Data shares'!$C:$FB,124)</f>
        <v>0.53</v>
      </c>
      <c r="P184" s="50">
        <f>VLOOKUP($A184,'Data shares'!$C:$FB,125)</f>
        <v>0.28999999999999998</v>
      </c>
      <c r="Q184" s="50">
        <f>VLOOKUP($A184,'Data shares'!$C:$FB,127)*100</f>
        <v>82.76</v>
      </c>
    </row>
    <row r="185" spans="1:17" x14ac:dyDescent="0.25">
      <c r="A185" s="97" t="str">
        <f>'Data Vlaue (Cr)'!C180</f>
        <v>SAMMAANCAP</v>
      </c>
      <c r="B185" s="140">
        <f>VLOOKUP($A185,'Data shares'!$C:$FB,7)</f>
        <v>154.53</v>
      </c>
      <c r="C185" s="140">
        <f>VLOOKUP($A185,'Data shares'!$C:$FB,3)</f>
        <v>154.51</v>
      </c>
      <c r="D185" s="140">
        <f>VLOOKUP($A185,'Data shares'!$C:$FB,4)</f>
        <v>154.91999999999999</v>
      </c>
      <c r="E185" s="50">
        <f t="shared" si="12"/>
        <v>-0.26465272398657153</v>
      </c>
      <c r="F185" s="49">
        <f>VLOOKUP($A185,'Data shares'!$C:$FB,98)</f>
        <v>134783500</v>
      </c>
      <c r="G185" s="49">
        <f>VLOOKUP($A185,'Data shares'!$C:$FB,99)</f>
        <v>136507800</v>
      </c>
      <c r="H185" s="50">
        <f t="shared" si="13"/>
        <v>-1.2631512631512631</v>
      </c>
      <c r="I185" s="49">
        <f>VLOOKUP($A185,'Data shares'!$C:$FB,66)</f>
        <v>2171500</v>
      </c>
      <c r="J185" s="49">
        <f>VLOOKUP($A185,'Data shares'!$C:$FB,67)</f>
        <v>2614400</v>
      </c>
      <c r="K185" s="50">
        <f t="shared" si="14"/>
        <v>-20.396039603960396</v>
      </c>
      <c r="L185" s="50">
        <f>VLOOKUP($A185,'Data shares'!$C:$FB,118)</f>
        <v>1.08</v>
      </c>
      <c r="M185" s="50">
        <f>VLOOKUP($A185,'Data shares'!$C:$FB,119)</f>
        <v>1.0900000000000001</v>
      </c>
      <c r="N185" s="50">
        <f>VLOOKUP($A185,'Data shares'!$C:$FB,121)*100</f>
        <v>-0.91999999999999993</v>
      </c>
      <c r="O185" s="50">
        <f>VLOOKUP($A185,'Data shares'!$C:$FB,124)</f>
        <v>0.97</v>
      </c>
      <c r="P185" s="50">
        <f>VLOOKUP($A185,'Data shares'!$C:$FB,125)</f>
        <v>0.91</v>
      </c>
      <c r="Q185" s="50">
        <f>VLOOKUP($A185,'Data shares'!$C:$FB,127)*100</f>
        <v>6.59</v>
      </c>
    </row>
    <row r="186" spans="1:17" x14ac:dyDescent="0.25">
      <c r="A186" s="97" t="str">
        <f>'Data Vlaue (Cr)'!C181</f>
        <v>SBICARD</v>
      </c>
      <c r="B186" s="140">
        <f>VLOOKUP($A186,'Data shares'!$C:$FB,7)</f>
        <v>695.2</v>
      </c>
      <c r="C186" s="140">
        <f>VLOOKUP($A186,'Data shares'!$C:$FB,3)</f>
        <v>696.1</v>
      </c>
      <c r="D186" s="140">
        <f>VLOOKUP($A186,'Data shares'!$C:$FB,4)</f>
        <v>685.5</v>
      </c>
      <c r="E186" s="50">
        <f t="shared" si="12"/>
        <v>1.5463165572574795</v>
      </c>
      <c r="F186" s="49">
        <f>VLOOKUP($A186,'Data shares'!$C:$FB,98)</f>
        <v>41009600</v>
      </c>
      <c r="G186" s="49">
        <f>VLOOKUP($A186,'Data shares'!$C:$FB,99)</f>
        <v>39529600</v>
      </c>
      <c r="H186" s="50">
        <f t="shared" si="13"/>
        <v>3.7440297903343316</v>
      </c>
      <c r="I186" s="49">
        <f>VLOOKUP($A186,'Data shares'!$C:$FB,66)</f>
        <v>12296000</v>
      </c>
      <c r="J186" s="49">
        <f>VLOOKUP($A186,'Data shares'!$C:$FB,67)</f>
        <v>10966400</v>
      </c>
      <c r="K186" s="50">
        <f t="shared" si="14"/>
        <v>10.813272608978529</v>
      </c>
      <c r="L186" s="50">
        <f>VLOOKUP($A186,'Data shares'!$C:$FB,118)</f>
        <v>0.74</v>
      </c>
      <c r="M186" s="50">
        <f>VLOOKUP($A186,'Data shares'!$C:$FB,119)</f>
        <v>0.79</v>
      </c>
      <c r="N186" s="50">
        <f>VLOOKUP($A186,'Data shares'!$C:$FB,121)*100</f>
        <v>-6.3299999999999992</v>
      </c>
      <c r="O186" s="50">
        <f>VLOOKUP($A186,'Data shares'!$C:$FB,124)</f>
        <v>0.56999999999999995</v>
      </c>
      <c r="P186" s="50">
        <f>VLOOKUP($A186,'Data shares'!$C:$FB,125)</f>
        <v>0.71</v>
      </c>
      <c r="Q186" s="50">
        <f>VLOOKUP($A186,'Data shares'!$C:$FB,127)*100</f>
        <v>-19.72</v>
      </c>
    </row>
    <row r="187" spans="1:17" x14ac:dyDescent="0.25">
      <c r="A187" s="97" t="str">
        <f>'Data Vlaue (Cr)'!C182</f>
        <v>SBILIFE</v>
      </c>
      <c r="B187" s="140">
        <f>VLOOKUP($A187,'Data shares'!$C:$FB,7)</f>
        <v>1970.9</v>
      </c>
      <c r="C187" s="140">
        <f>VLOOKUP($A187,'Data shares'!$C:$FB,3)</f>
        <v>1970.4</v>
      </c>
      <c r="D187" s="140">
        <f>VLOOKUP($A187,'Data shares'!$C:$FB,4)</f>
        <v>1975.2</v>
      </c>
      <c r="E187" s="50">
        <f t="shared" si="12"/>
        <v>-0.24301336573511312</v>
      </c>
      <c r="F187" s="49">
        <f>VLOOKUP($A187,'Data shares'!$C:$FB,98)</f>
        <v>16536375</v>
      </c>
      <c r="G187" s="49">
        <f>VLOOKUP($A187,'Data shares'!$C:$FB,99)</f>
        <v>15611625</v>
      </c>
      <c r="H187" s="50">
        <f t="shared" si="13"/>
        <v>5.9234704907400735</v>
      </c>
      <c r="I187" s="49">
        <f>VLOOKUP($A187,'Data shares'!$C:$FB,66)</f>
        <v>4383000</v>
      </c>
      <c r="J187" s="49">
        <f>VLOOKUP($A187,'Data shares'!$C:$FB,67)</f>
        <v>5213250</v>
      </c>
      <c r="K187" s="50">
        <f t="shared" si="14"/>
        <v>-18.942505133470224</v>
      </c>
      <c r="L187" s="50">
        <f>VLOOKUP($A187,'Data shares'!$C:$FB,118)</f>
        <v>0.61</v>
      </c>
      <c r="M187" s="50">
        <f>VLOOKUP($A187,'Data shares'!$C:$FB,119)</f>
        <v>0.69</v>
      </c>
      <c r="N187" s="50">
        <f>VLOOKUP($A187,'Data shares'!$C:$FB,121)*100</f>
        <v>-11.59</v>
      </c>
      <c r="O187" s="50">
        <f>VLOOKUP($A187,'Data shares'!$C:$FB,124)</f>
        <v>0.44</v>
      </c>
      <c r="P187" s="50">
        <f>VLOOKUP($A187,'Data shares'!$C:$FB,125)</f>
        <v>0.59</v>
      </c>
      <c r="Q187" s="50">
        <f>VLOOKUP($A187,'Data shares'!$C:$FB,127)*100</f>
        <v>-25.419999999999998</v>
      </c>
    </row>
    <row r="188" spans="1:17" x14ac:dyDescent="0.25">
      <c r="A188" s="97" t="str">
        <f>'Data Vlaue (Cr)'!C183</f>
        <v>SBIN</v>
      </c>
      <c r="B188" s="140">
        <f>VLOOKUP($A188,'Data shares'!$C:$FB,7)</f>
        <v>1080.25</v>
      </c>
      <c r="C188" s="140">
        <f>VLOOKUP($A188,'Data shares'!$C:$FB,3)</f>
        <v>1082.8</v>
      </c>
      <c r="D188" s="140">
        <f>VLOOKUP($A188,'Data shares'!$C:$FB,4)</f>
        <v>1070.1500000000001</v>
      </c>
      <c r="E188" s="50">
        <f t="shared" si="12"/>
        <v>1.1820772788861245</v>
      </c>
      <c r="F188" s="49">
        <f>VLOOKUP($A188,'Data shares'!$C:$FB,98)</f>
        <v>161564250</v>
      </c>
      <c r="G188" s="49">
        <f>VLOOKUP($A188,'Data shares'!$C:$FB,99)</f>
        <v>158238000</v>
      </c>
      <c r="H188" s="50">
        <f t="shared" si="13"/>
        <v>2.1020551321427217</v>
      </c>
      <c r="I188" s="49">
        <f>VLOOKUP($A188,'Data shares'!$C:$FB,66)</f>
        <v>104343750</v>
      </c>
      <c r="J188" s="49">
        <f>VLOOKUP($A188,'Data shares'!$C:$FB,67)</f>
        <v>85534500</v>
      </c>
      <c r="K188" s="50">
        <f t="shared" si="14"/>
        <v>18.026235399820305</v>
      </c>
      <c r="L188" s="50">
        <f>VLOOKUP($A188,'Data shares'!$C:$FB,118)</f>
        <v>0.81</v>
      </c>
      <c r="M188" s="50">
        <f>VLOOKUP($A188,'Data shares'!$C:$FB,119)</f>
        <v>0.73</v>
      </c>
      <c r="N188" s="50">
        <f>VLOOKUP($A188,'Data shares'!$C:$FB,121)*100</f>
        <v>10.96</v>
      </c>
      <c r="O188" s="50">
        <f>VLOOKUP($A188,'Data shares'!$C:$FB,124)</f>
        <v>0.62</v>
      </c>
      <c r="P188" s="50">
        <f>VLOOKUP($A188,'Data shares'!$C:$FB,125)</f>
        <v>0.65</v>
      </c>
      <c r="Q188" s="50">
        <f>VLOOKUP($A188,'Data shares'!$C:$FB,127)*100</f>
        <v>-4.62</v>
      </c>
    </row>
    <row r="189" spans="1:17" x14ac:dyDescent="0.25">
      <c r="A189" s="97" t="str">
        <f>'Data Vlaue (Cr)'!C184</f>
        <v>SHREECEM</v>
      </c>
      <c r="B189" s="140">
        <f>VLOOKUP($A189,'Data shares'!$C:$FB,7)</f>
        <v>25290</v>
      </c>
      <c r="C189" s="140">
        <f>VLOOKUP($A189,'Data shares'!$C:$FB,3)</f>
        <v>25280</v>
      </c>
      <c r="D189" s="140">
        <f>VLOOKUP($A189,'Data shares'!$C:$FB,4)</f>
        <v>25185</v>
      </c>
      <c r="E189" s="50">
        <f t="shared" ref="E189:E209" si="15">(C189-D189)/D189*100</f>
        <v>0.37720865594599962</v>
      </c>
      <c r="F189" s="49">
        <f>VLOOKUP($A189,'Data shares'!$C:$FB,98)</f>
        <v>482900</v>
      </c>
      <c r="G189" s="49">
        <f>VLOOKUP($A189,'Data shares'!$C:$FB,99)</f>
        <v>479975</v>
      </c>
      <c r="H189" s="50">
        <f t="shared" ref="H189:H209" si="16">(F189-G189)/G189*100</f>
        <v>0.60940673993437156</v>
      </c>
      <c r="I189" s="49">
        <f>VLOOKUP($A189,'Data shares'!$C:$FB,66)</f>
        <v>64625</v>
      </c>
      <c r="J189" s="49">
        <f>VLOOKUP($A189,'Data shares'!$C:$FB,67)</f>
        <v>77875</v>
      </c>
      <c r="K189" s="50">
        <f t="shared" ref="K189:K209" si="17">(I189-J189)/I189*100</f>
        <v>-20.502901353965182</v>
      </c>
      <c r="L189" s="50">
        <f>VLOOKUP($A189,'Data shares'!$C:$FB,118)</f>
        <v>0.85</v>
      </c>
      <c r="M189" s="50">
        <f>VLOOKUP($A189,'Data shares'!$C:$FB,119)</f>
        <v>0.85</v>
      </c>
      <c r="N189" s="50">
        <f>VLOOKUP($A189,'Data shares'!$C:$FB,121)*100</f>
        <v>0</v>
      </c>
      <c r="O189" s="50">
        <f>VLOOKUP($A189,'Data shares'!$C:$FB,124)</f>
        <v>0.2</v>
      </c>
      <c r="P189" s="50">
        <f>VLOOKUP($A189,'Data shares'!$C:$FB,125)</f>
        <v>0.36</v>
      </c>
      <c r="Q189" s="50">
        <f>VLOOKUP($A189,'Data shares'!$C:$FB,127)*100</f>
        <v>-44.440000000000005</v>
      </c>
    </row>
    <row r="190" spans="1:17" x14ac:dyDescent="0.25">
      <c r="A190" s="97" t="str">
        <f>'Data Vlaue (Cr)'!C185</f>
        <v>SHRIRAMFIN</v>
      </c>
      <c r="B190" s="140">
        <f>VLOOKUP($A190,'Data shares'!$C:$FB,7)</f>
        <v>1036.95</v>
      </c>
      <c r="C190" s="140">
        <f>VLOOKUP($A190,'Data shares'!$C:$FB,3)</f>
        <v>1036.7</v>
      </c>
      <c r="D190" s="140">
        <f>VLOOKUP($A190,'Data shares'!$C:$FB,4)</f>
        <v>1023.45</v>
      </c>
      <c r="E190" s="50">
        <f t="shared" si="15"/>
        <v>1.2946406761444134</v>
      </c>
      <c r="F190" s="49">
        <f>VLOOKUP($A190,'Data shares'!$C:$FB,98)</f>
        <v>64866450</v>
      </c>
      <c r="G190" s="49">
        <f>VLOOKUP($A190,'Data shares'!$C:$FB,99)</f>
        <v>66008250</v>
      </c>
      <c r="H190" s="50">
        <f t="shared" si="16"/>
        <v>-1.7297837770278717</v>
      </c>
      <c r="I190" s="49">
        <f>VLOOKUP($A190,'Data shares'!$C:$FB,66)</f>
        <v>25090725</v>
      </c>
      <c r="J190" s="49">
        <f>VLOOKUP($A190,'Data shares'!$C:$FB,67)</f>
        <v>27530250</v>
      </c>
      <c r="K190" s="50">
        <f t="shared" si="17"/>
        <v>-9.7228159010949256</v>
      </c>
      <c r="L190" s="50">
        <f>VLOOKUP($A190,'Data shares'!$C:$FB,118)</f>
        <v>0.73</v>
      </c>
      <c r="M190" s="50">
        <f>VLOOKUP($A190,'Data shares'!$C:$FB,119)</f>
        <v>0.71</v>
      </c>
      <c r="N190" s="50">
        <f>VLOOKUP($A190,'Data shares'!$C:$FB,121)*100</f>
        <v>2.82</v>
      </c>
      <c r="O190" s="50">
        <f>VLOOKUP($A190,'Data shares'!$C:$FB,124)</f>
        <v>0.45</v>
      </c>
      <c r="P190" s="50">
        <f>VLOOKUP($A190,'Data shares'!$C:$FB,125)</f>
        <v>0.56000000000000005</v>
      </c>
      <c r="Q190" s="50">
        <f>VLOOKUP($A190,'Data shares'!$C:$FB,127)*100</f>
        <v>-19.64</v>
      </c>
    </row>
    <row r="191" spans="1:17" x14ac:dyDescent="0.25">
      <c r="A191" s="97" t="str">
        <f>'Data Vlaue (Cr)'!C186</f>
        <v>SIEMENS</v>
      </c>
      <c r="B191" s="140">
        <f>VLOOKUP($A191,'Data shares'!$C:$FB,7)</f>
        <v>3707.9</v>
      </c>
      <c r="C191" s="140">
        <f>VLOOKUP($A191,'Data shares'!$C:$FB,3)</f>
        <v>3708.6</v>
      </c>
      <c r="D191" s="140">
        <f>VLOOKUP($A191,'Data shares'!$C:$FB,4)</f>
        <v>3563.6</v>
      </c>
      <c r="E191" s="50">
        <f t="shared" si="15"/>
        <v>4.0689190706027611</v>
      </c>
      <c r="F191" s="49">
        <f>VLOOKUP($A191,'Data shares'!$C:$FB,98)</f>
        <v>6184500</v>
      </c>
      <c r="G191" s="49">
        <f>VLOOKUP($A191,'Data shares'!$C:$FB,99)</f>
        <v>6042225</v>
      </c>
      <c r="H191" s="50">
        <f t="shared" si="16"/>
        <v>2.3546789469111129</v>
      </c>
      <c r="I191" s="49">
        <f>VLOOKUP($A191,'Data shares'!$C:$FB,66)</f>
        <v>14361900</v>
      </c>
      <c r="J191" s="49">
        <f>VLOOKUP($A191,'Data shares'!$C:$FB,67)</f>
        <v>9171575</v>
      </c>
      <c r="K191" s="50">
        <f t="shared" si="17"/>
        <v>36.139542818150801</v>
      </c>
      <c r="L191" s="50">
        <f>VLOOKUP($A191,'Data shares'!$C:$FB,118)</f>
        <v>0.95</v>
      </c>
      <c r="M191" s="50">
        <f>VLOOKUP($A191,'Data shares'!$C:$FB,119)</f>
        <v>0.77</v>
      </c>
      <c r="N191" s="50">
        <f>VLOOKUP($A191,'Data shares'!$C:$FB,121)*100</f>
        <v>23.380000000000003</v>
      </c>
      <c r="O191" s="50">
        <f>VLOOKUP($A191,'Data shares'!$C:$FB,124)</f>
        <v>0.46</v>
      </c>
      <c r="P191" s="50">
        <f>VLOOKUP($A191,'Data shares'!$C:$FB,125)</f>
        <v>0.49</v>
      </c>
      <c r="Q191" s="50">
        <f>VLOOKUP($A191,'Data shares'!$C:$FB,127)*100</f>
        <v>-6.12</v>
      </c>
    </row>
    <row r="192" spans="1:17" x14ac:dyDescent="0.25">
      <c r="A192" s="97" t="str">
        <f>'Data Vlaue (Cr)'!C187</f>
        <v>SOLARINDS</v>
      </c>
      <c r="B192" s="140">
        <f>VLOOKUP($A192,'Data shares'!$C:$FB,7)</f>
        <v>15089</v>
      </c>
      <c r="C192" s="140">
        <f>VLOOKUP($A192,'Data shares'!$C:$FB,3)</f>
        <v>15140</v>
      </c>
      <c r="D192" s="140">
        <f>VLOOKUP($A192,'Data shares'!$C:$FB,4)</f>
        <v>15048</v>
      </c>
      <c r="E192" s="50">
        <f t="shared" si="15"/>
        <v>0.61137692716640091</v>
      </c>
      <c r="F192" s="49">
        <f>VLOOKUP($A192,'Data shares'!$C:$FB,98)</f>
        <v>1317150</v>
      </c>
      <c r="G192" s="49">
        <f>VLOOKUP($A192,'Data shares'!$C:$FB,99)</f>
        <v>1285650</v>
      </c>
      <c r="H192" s="50">
        <f t="shared" si="16"/>
        <v>2.4501225061253065</v>
      </c>
      <c r="I192" s="49">
        <f>VLOOKUP($A192,'Data shares'!$C:$FB,66)</f>
        <v>1286750</v>
      </c>
      <c r="J192" s="49">
        <f>VLOOKUP($A192,'Data shares'!$C:$FB,67)</f>
        <v>908850</v>
      </c>
      <c r="K192" s="50">
        <f t="shared" si="17"/>
        <v>29.368564212162422</v>
      </c>
      <c r="L192" s="50">
        <f>VLOOKUP($A192,'Data shares'!$C:$FB,118)</f>
        <v>0.76</v>
      </c>
      <c r="M192" s="50">
        <f>VLOOKUP($A192,'Data shares'!$C:$FB,119)</f>
        <v>0.74</v>
      </c>
      <c r="N192" s="50">
        <f>VLOOKUP($A192,'Data shares'!$C:$FB,121)*100</f>
        <v>2.7</v>
      </c>
      <c r="O192" s="50">
        <f>VLOOKUP($A192,'Data shares'!$C:$FB,124)</f>
        <v>2.71</v>
      </c>
      <c r="P192" s="50">
        <f>VLOOKUP($A192,'Data shares'!$C:$FB,125)</f>
        <v>0.56000000000000005</v>
      </c>
      <c r="Q192" s="50">
        <f>VLOOKUP($A192,'Data shares'!$C:$FB,127)*100</f>
        <v>383.93</v>
      </c>
    </row>
    <row r="193" spans="1:17" x14ac:dyDescent="0.25">
      <c r="A193" s="97" t="str">
        <f>'Data Vlaue (Cr)'!C188</f>
        <v>SONACOMS</v>
      </c>
      <c r="B193" s="140">
        <f>VLOOKUP($A193,'Data shares'!$C:$FB,7)</f>
        <v>593.85</v>
      </c>
      <c r="C193" s="140">
        <f>VLOOKUP($A193,'Data shares'!$C:$FB,3)</f>
        <v>594.95000000000005</v>
      </c>
      <c r="D193" s="140">
        <f>VLOOKUP($A193,'Data shares'!$C:$FB,4)</f>
        <v>583.1</v>
      </c>
      <c r="E193" s="50">
        <f t="shared" si="15"/>
        <v>2.0322414680157816</v>
      </c>
      <c r="F193" s="49">
        <f>VLOOKUP($A193,'Data shares'!$C:$FB,98)</f>
        <v>22351350</v>
      </c>
      <c r="G193" s="49">
        <f>VLOOKUP($A193,'Data shares'!$C:$FB,99)</f>
        <v>22195775</v>
      </c>
      <c r="H193" s="50">
        <f t="shared" si="16"/>
        <v>0.70092168441966995</v>
      </c>
      <c r="I193" s="49">
        <f>VLOOKUP($A193,'Data shares'!$C:$FB,66)</f>
        <v>17935225</v>
      </c>
      <c r="J193" s="49">
        <f>VLOOKUP($A193,'Data shares'!$C:$FB,67)</f>
        <v>9394525</v>
      </c>
      <c r="K193" s="50">
        <f t="shared" si="17"/>
        <v>47.619698108052724</v>
      </c>
      <c r="L193" s="50">
        <f>VLOOKUP($A193,'Data shares'!$C:$FB,118)</f>
        <v>0.79</v>
      </c>
      <c r="M193" s="50">
        <f>VLOOKUP($A193,'Data shares'!$C:$FB,119)</f>
        <v>0.8</v>
      </c>
      <c r="N193" s="50">
        <f>VLOOKUP($A193,'Data shares'!$C:$FB,121)*100</f>
        <v>-1.25</v>
      </c>
      <c r="O193" s="50">
        <f>VLOOKUP($A193,'Data shares'!$C:$FB,124)</f>
        <v>0.35</v>
      </c>
      <c r="P193" s="50">
        <f>VLOOKUP($A193,'Data shares'!$C:$FB,125)</f>
        <v>0.54</v>
      </c>
      <c r="Q193" s="50">
        <f>VLOOKUP($A193,'Data shares'!$C:$FB,127)*100</f>
        <v>-35.19</v>
      </c>
    </row>
    <row r="194" spans="1:17" x14ac:dyDescent="0.25">
      <c r="A194" s="97" t="str">
        <f>'Data Vlaue (Cr)'!C189</f>
        <v>SRF</v>
      </c>
      <c r="B194" s="140">
        <f>VLOOKUP($A194,'Data shares'!$C:$FB,7)</f>
        <v>2494.5</v>
      </c>
      <c r="C194" s="140">
        <f>VLOOKUP($A194,'Data shares'!$C:$FB,3)</f>
        <v>2495.3000000000002</v>
      </c>
      <c r="D194" s="140">
        <f>VLOOKUP($A194,'Data shares'!$C:$FB,4)</f>
        <v>2507.9</v>
      </c>
      <c r="E194" s="50">
        <f t="shared" si="15"/>
        <v>-0.50241237688902707</v>
      </c>
      <c r="F194" s="49">
        <f>VLOOKUP($A194,'Data shares'!$C:$FB,98)</f>
        <v>7488800</v>
      </c>
      <c r="G194" s="49">
        <f>VLOOKUP($A194,'Data shares'!$C:$FB,99)</f>
        <v>6983800</v>
      </c>
      <c r="H194" s="50">
        <f t="shared" si="16"/>
        <v>7.231020361407829</v>
      </c>
      <c r="I194" s="49">
        <f>VLOOKUP($A194,'Data shares'!$C:$FB,66)</f>
        <v>4218200</v>
      </c>
      <c r="J194" s="49">
        <f>VLOOKUP($A194,'Data shares'!$C:$FB,67)</f>
        <v>3003800</v>
      </c>
      <c r="K194" s="50">
        <f t="shared" si="17"/>
        <v>28.789531079607418</v>
      </c>
      <c r="L194" s="50">
        <f>VLOOKUP($A194,'Data shares'!$C:$FB,118)</f>
        <v>0.59</v>
      </c>
      <c r="M194" s="50">
        <f>VLOOKUP($A194,'Data shares'!$C:$FB,119)</f>
        <v>0.68</v>
      </c>
      <c r="N194" s="50">
        <f>VLOOKUP($A194,'Data shares'!$C:$FB,121)*100</f>
        <v>-13.239999999999998</v>
      </c>
      <c r="O194" s="50">
        <f>VLOOKUP($A194,'Data shares'!$C:$FB,124)</f>
        <v>0.35</v>
      </c>
      <c r="P194" s="50">
        <f>VLOOKUP($A194,'Data shares'!$C:$FB,125)</f>
        <v>0.32</v>
      </c>
      <c r="Q194" s="50">
        <f>VLOOKUP($A194,'Data shares'!$C:$FB,127)*100</f>
        <v>9.370000000000001</v>
      </c>
    </row>
    <row r="195" spans="1:17" x14ac:dyDescent="0.25">
      <c r="A195" s="97" t="str">
        <f>'Data Vlaue (Cr)'!C190</f>
        <v>SUNPHARMA</v>
      </c>
      <c r="B195" s="140">
        <f>VLOOKUP($A195,'Data shares'!$C:$FB,7)</f>
        <v>1675.5</v>
      </c>
      <c r="C195" s="140">
        <f>VLOOKUP($A195,'Data shares'!$C:$FB,3)</f>
        <v>1674.9</v>
      </c>
      <c r="D195" s="140">
        <f>VLOOKUP($A195,'Data shares'!$C:$FB,4)</f>
        <v>1692.9</v>
      </c>
      <c r="E195" s="50">
        <f t="shared" si="15"/>
        <v>-1.0632642211589578</v>
      </c>
      <c r="F195" s="49">
        <f>VLOOKUP($A195,'Data shares'!$C:$FB,98)</f>
        <v>32741800</v>
      </c>
      <c r="G195" s="49">
        <f>VLOOKUP($A195,'Data shares'!$C:$FB,99)</f>
        <v>31182550</v>
      </c>
      <c r="H195" s="50">
        <f t="shared" si="16"/>
        <v>5.0003928479229565</v>
      </c>
      <c r="I195" s="49">
        <f>VLOOKUP($A195,'Data shares'!$C:$FB,66)</f>
        <v>19776050</v>
      </c>
      <c r="J195" s="49">
        <f>VLOOKUP($A195,'Data shares'!$C:$FB,67)</f>
        <v>32537750</v>
      </c>
      <c r="K195" s="50">
        <f t="shared" si="17"/>
        <v>-64.531086844946287</v>
      </c>
      <c r="L195" s="50">
        <f>VLOOKUP($A195,'Data shares'!$C:$FB,118)</f>
        <v>0.71</v>
      </c>
      <c r="M195" s="50">
        <f>VLOOKUP($A195,'Data shares'!$C:$FB,119)</f>
        <v>0.83</v>
      </c>
      <c r="N195" s="50">
        <f>VLOOKUP($A195,'Data shares'!$C:$FB,121)*100</f>
        <v>-14.46</v>
      </c>
      <c r="O195" s="50">
        <f>VLOOKUP($A195,'Data shares'!$C:$FB,124)</f>
        <v>0.74</v>
      </c>
      <c r="P195" s="50">
        <f>VLOOKUP($A195,'Data shares'!$C:$FB,125)</f>
        <v>0.81</v>
      </c>
      <c r="Q195" s="50">
        <f>VLOOKUP($A195,'Data shares'!$C:$FB,127)*100</f>
        <v>-8.64</v>
      </c>
    </row>
    <row r="196" spans="1:17" x14ac:dyDescent="0.25">
      <c r="A196" s="97" t="str">
        <f>'Data Vlaue (Cr)'!C191</f>
        <v>SUPREMEIND</v>
      </c>
      <c r="B196" s="140">
        <f>VLOOKUP($A196,'Data shares'!$C:$FB,7)</f>
        <v>3709</v>
      </c>
      <c r="C196" s="140">
        <f>VLOOKUP($A196,'Data shares'!$C:$FB,3)</f>
        <v>3720.7</v>
      </c>
      <c r="D196" s="140">
        <f>VLOOKUP($A196,'Data shares'!$C:$FB,4)</f>
        <v>3673.3</v>
      </c>
      <c r="E196" s="50">
        <f t="shared" si="15"/>
        <v>1.290392834780705</v>
      </c>
      <c r="F196" s="49">
        <f>VLOOKUP($A196,'Data shares'!$C:$FB,98)</f>
        <v>3358075</v>
      </c>
      <c r="G196" s="49">
        <f>VLOOKUP($A196,'Data shares'!$C:$FB,99)</f>
        <v>3318525</v>
      </c>
      <c r="H196" s="50">
        <f t="shared" si="16"/>
        <v>1.1917945472762748</v>
      </c>
      <c r="I196" s="49">
        <f>VLOOKUP($A196,'Data shares'!$C:$FB,66)</f>
        <v>2318050</v>
      </c>
      <c r="J196" s="49">
        <f>VLOOKUP($A196,'Data shares'!$C:$FB,67)</f>
        <v>2951025</v>
      </c>
      <c r="K196" s="50">
        <f t="shared" si="17"/>
        <v>-27.306356635965574</v>
      </c>
      <c r="L196" s="50">
        <f>VLOOKUP($A196,'Data shares'!$C:$FB,118)</f>
        <v>0.52</v>
      </c>
      <c r="M196" s="50">
        <f>VLOOKUP($A196,'Data shares'!$C:$FB,119)</f>
        <v>0.49</v>
      </c>
      <c r="N196" s="50">
        <f>VLOOKUP($A196,'Data shares'!$C:$FB,121)*100</f>
        <v>6.12</v>
      </c>
      <c r="O196" s="50">
        <f>VLOOKUP($A196,'Data shares'!$C:$FB,124)</f>
        <v>0.42</v>
      </c>
      <c r="P196" s="50">
        <f>VLOOKUP($A196,'Data shares'!$C:$FB,125)</f>
        <v>0.86</v>
      </c>
      <c r="Q196" s="50">
        <f>VLOOKUP($A196,'Data shares'!$C:$FB,127)*100</f>
        <v>-51.160000000000004</v>
      </c>
    </row>
    <row r="197" spans="1:17" x14ac:dyDescent="0.25">
      <c r="A197" s="97" t="str">
        <f>'Data Vlaue (Cr)'!C192</f>
        <v>SUZLON</v>
      </c>
      <c r="B197" s="140">
        <f>VLOOKUP($A197,'Data shares'!$C:$FB,7)</f>
        <v>52.93</v>
      </c>
      <c r="C197" s="140">
        <f>VLOOKUP($A197,'Data shares'!$C:$FB,3)</f>
        <v>52.96</v>
      </c>
      <c r="D197" s="140">
        <f>VLOOKUP($A197,'Data shares'!$C:$FB,4)</f>
        <v>50.3</v>
      </c>
      <c r="E197" s="50">
        <f t="shared" si="15"/>
        <v>5.288270377733606</v>
      </c>
      <c r="F197" s="49">
        <f>VLOOKUP($A197,'Data shares'!$C:$FB,98)</f>
        <v>709608675</v>
      </c>
      <c r="G197" s="49">
        <f>VLOOKUP($A197,'Data shares'!$C:$FB,99)</f>
        <v>674393125</v>
      </c>
      <c r="H197" s="50">
        <f t="shared" si="16"/>
        <v>5.2218133154901309</v>
      </c>
      <c r="I197" s="49">
        <f>VLOOKUP($A197,'Data shares'!$C:$FB,66)</f>
        <v>1120544000</v>
      </c>
      <c r="J197" s="49">
        <f>VLOOKUP($A197,'Data shares'!$C:$FB,67)</f>
        <v>596687875</v>
      </c>
      <c r="K197" s="50">
        <f t="shared" si="17"/>
        <v>46.750161082474229</v>
      </c>
      <c r="L197" s="50">
        <f>VLOOKUP($A197,'Data shares'!$C:$FB,118)</f>
        <v>0.97</v>
      </c>
      <c r="M197" s="50">
        <f>VLOOKUP($A197,'Data shares'!$C:$FB,119)</f>
        <v>0.91</v>
      </c>
      <c r="N197" s="50">
        <f>VLOOKUP($A197,'Data shares'!$C:$FB,121)*100</f>
        <v>6.59</v>
      </c>
      <c r="O197" s="50">
        <f>VLOOKUP($A197,'Data shares'!$C:$FB,124)</f>
        <v>0.47</v>
      </c>
      <c r="P197" s="50">
        <f>VLOOKUP($A197,'Data shares'!$C:$FB,125)</f>
        <v>0.6</v>
      </c>
      <c r="Q197" s="50">
        <f>VLOOKUP($A197,'Data shares'!$C:$FB,127)*100</f>
        <v>-21.67</v>
      </c>
    </row>
    <row r="198" spans="1:17" x14ac:dyDescent="0.25">
      <c r="A198" s="97" t="str">
        <f>'Data Vlaue (Cr)'!C193</f>
        <v>SWIGGY</v>
      </c>
      <c r="B198" s="140">
        <f>VLOOKUP($A198,'Data shares'!$C:$FB,7)</f>
        <v>277.45</v>
      </c>
      <c r="C198" s="140">
        <f>VLOOKUP($A198,'Data shares'!$C:$FB,3)</f>
        <v>277.45</v>
      </c>
      <c r="D198" s="140">
        <f>VLOOKUP($A198,'Data shares'!$C:$FB,4)</f>
        <v>281</v>
      </c>
      <c r="E198" s="50">
        <f t="shared" si="15"/>
        <v>-1.2633451957295414</v>
      </c>
      <c r="F198" s="49">
        <f>VLOOKUP($A198,'Data shares'!$C:$FB,98)</f>
        <v>69911400</v>
      </c>
      <c r="G198" s="49">
        <f>VLOOKUP($A198,'Data shares'!$C:$FB,99)</f>
        <v>66693900</v>
      </c>
      <c r="H198" s="50">
        <f t="shared" si="16"/>
        <v>4.8242792819133387</v>
      </c>
      <c r="I198" s="49">
        <f>VLOOKUP($A198,'Data shares'!$C:$FB,66)</f>
        <v>32104800</v>
      </c>
      <c r="J198" s="49">
        <f>VLOOKUP($A198,'Data shares'!$C:$FB,67)</f>
        <v>32832800</v>
      </c>
      <c r="K198" s="50">
        <f t="shared" si="17"/>
        <v>-2.2675736961451247</v>
      </c>
      <c r="L198" s="50">
        <f>VLOOKUP($A198,'Data shares'!$C:$FB,118)</f>
        <v>0.56000000000000005</v>
      </c>
      <c r="M198" s="50">
        <f>VLOOKUP($A198,'Data shares'!$C:$FB,119)</f>
        <v>0.6</v>
      </c>
      <c r="N198" s="50">
        <f>VLOOKUP($A198,'Data shares'!$C:$FB,121)*100</f>
        <v>-6.67</v>
      </c>
      <c r="O198" s="50">
        <f>VLOOKUP($A198,'Data shares'!$C:$FB,124)</f>
        <v>0.31</v>
      </c>
      <c r="P198" s="50">
        <f>VLOOKUP($A198,'Data shares'!$C:$FB,125)</f>
        <v>0.35</v>
      </c>
      <c r="Q198" s="50">
        <f>VLOOKUP($A198,'Data shares'!$C:$FB,127)*100</f>
        <v>-11.43</v>
      </c>
    </row>
    <row r="199" spans="1:17" x14ac:dyDescent="0.25">
      <c r="A199" s="97" t="str">
        <f>'Data Vlaue (Cr)'!C194</f>
        <v>TATACONSUM</v>
      </c>
      <c r="B199" s="140">
        <f>VLOOKUP($A199,'Data shares'!$C:$FB,7)</f>
        <v>1113.2</v>
      </c>
      <c r="C199" s="140">
        <f>VLOOKUP($A199,'Data shares'!$C:$FB,3)</f>
        <v>1113.9000000000001</v>
      </c>
      <c r="D199" s="140">
        <f>VLOOKUP($A199,'Data shares'!$C:$FB,4)</f>
        <v>1102.7</v>
      </c>
      <c r="E199" s="50">
        <f t="shared" si="15"/>
        <v>1.015688763943053</v>
      </c>
      <c r="F199" s="49">
        <f>VLOOKUP($A199,'Data shares'!$C:$FB,98)</f>
        <v>18161000</v>
      </c>
      <c r="G199" s="49">
        <f>VLOOKUP($A199,'Data shares'!$C:$FB,99)</f>
        <v>17458100</v>
      </c>
      <c r="H199" s="50">
        <f t="shared" si="16"/>
        <v>4.0262113288387624</v>
      </c>
      <c r="I199" s="49">
        <f>VLOOKUP($A199,'Data shares'!$C:$FB,66)</f>
        <v>9319750</v>
      </c>
      <c r="J199" s="49">
        <f>VLOOKUP($A199,'Data shares'!$C:$FB,67)</f>
        <v>4384050</v>
      </c>
      <c r="K199" s="50">
        <f t="shared" si="17"/>
        <v>52.959575095898494</v>
      </c>
      <c r="L199" s="50">
        <f>VLOOKUP($A199,'Data shares'!$C:$FB,118)</f>
        <v>1</v>
      </c>
      <c r="M199" s="50">
        <f>VLOOKUP($A199,'Data shares'!$C:$FB,119)</f>
        <v>1.1599999999999999</v>
      </c>
      <c r="N199" s="50">
        <f>VLOOKUP($A199,'Data shares'!$C:$FB,121)*100</f>
        <v>-13.79</v>
      </c>
      <c r="O199" s="50">
        <f>VLOOKUP($A199,'Data shares'!$C:$FB,124)</f>
        <v>0.24</v>
      </c>
      <c r="P199" s="50">
        <f>VLOOKUP($A199,'Data shares'!$C:$FB,125)</f>
        <v>0.54</v>
      </c>
      <c r="Q199" s="50">
        <f>VLOOKUP($A199,'Data shares'!$C:$FB,127)*100</f>
        <v>-55.559999999999995</v>
      </c>
    </row>
    <row r="200" spans="1:17" x14ac:dyDescent="0.25">
      <c r="A200" s="97" t="str">
        <f>'Data Vlaue (Cr)'!C195</f>
        <v>TATAELXSI</v>
      </c>
      <c r="B200" s="140">
        <f>VLOOKUP($A200,'Data shares'!$C:$FB,7)</f>
        <v>4592.5</v>
      </c>
      <c r="C200" s="140">
        <f>VLOOKUP($A200,'Data shares'!$C:$FB,3)</f>
        <v>4602</v>
      </c>
      <c r="D200" s="140">
        <f>VLOOKUP($A200,'Data shares'!$C:$FB,4)</f>
        <v>4603.8</v>
      </c>
      <c r="E200" s="50">
        <f t="shared" si="15"/>
        <v>-3.9098136322172593E-2</v>
      </c>
      <c r="F200" s="49">
        <f>VLOOKUP($A200,'Data shares'!$C:$FB,98)</f>
        <v>3221500</v>
      </c>
      <c r="G200" s="49">
        <f>VLOOKUP($A200,'Data shares'!$C:$FB,99)</f>
        <v>3038600</v>
      </c>
      <c r="H200" s="50">
        <f t="shared" si="16"/>
        <v>6.0192193773448297</v>
      </c>
      <c r="I200" s="49">
        <f>VLOOKUP($A200,'Data shares'!$C:$FB,66)</f>
        <v>3808100</v>
      </c>
      <c r="J200" s="49">
        <f>VLOOKUP($A200,'Data shares'!$C:$FB,67)</f>
        <v>3065400</v>
      </c>
      <c r="K200" s="50">
        <f t="shared" si="17"/>
        <v>19.503164307659986</v>
      </c>
      <c r="L200" s="50">
        <f>VLOOKUP($A200,'Data shares'!$C:$FB,118)</f>
        <v>0.55000000000000004</v>
      </c>
      <c r="M200" s="50">
        <f>VLOOKUP($A200,'Data shares'!$C:$FB,119)</f>
        <v>0.66</v>
      </c>
      <c r="N200" s="50">
        <f>VLOOKUP($A200,'Data shares'!$C:$FB,121)*100</f>
        <v>-16.669999999999998</v>
      </c>
      <c r="O200" s="50">
        <f>VLOOKUP($A200,'Data shares'!$C:$FB,124)</f>
        <v>0.42</v>
      </c>
      <c r="P200" s="50">
        <f>VLOOKUP($A200,'Data shares'!$C:$FB,125)</f>
        <v>0.46</v>
      </c>
      <c r="Q200" s="50">
        <f>VLOOKUP($A200,'Data shares'!$C:$FB,127)*100</f>
        <v>-8.6999999999999993</v>
      </c>
    </row>
    <row r="201" spans="1:17" x14ac:dyDescent="0.25">
      <c r="A201" s="97" t="str">
        <f>'Data Vlaue (Cr)'!C196</f>
        <v>TATAPOWER</v>
      </c>
      <c r="B201" s="140">
        <f>VLOOKUP($A201,'Data shares'!$C:$FB,7)</f>
        <v>427.6</v>
      </c>
      <c r="C201" s="140">
        <f>VLOOKUP($A201,'Data shares'!$C:$FB,3)</f>
        <v>427.95</v>
      </c>
      <c r="D201" s="140">
        <f>VLOOKUP($A201,'Data shares'!$C:$FB,4)</f>
        <v>427.55</v>
      </c>
      <c r="E201" s="50">
        <f t="shared" si="15"/>
        <v>9.3556309203596602E-2</v>
      </c>
      <c r="F201" s="49">
        <f>VLOOKUP($A201,'Data shares'!$C:$FB,98)</f>
        <v>125146600</v>
      </c>
      <c r="G201" s="49">
        <f>VLOOKUP($A201,'Data shares'!$C:$FB,99)</f>
        <v>123934400</v>
      </c>
      <c r="H201" s="50">
        <f t="shared" si="16"/>
        <v>0.97809809060277042</v>
      </c>
      <c r="I201" s="49">
        <f>VLOOKUP($A201,'Data shares'!$C:$FB,66)</f>
        <v>97145650</v>
      </c>
      <c r="J201" s="49">
        <f>VLOOKUP($A201,'Data shares'!$C:$FB,67)</f>
        <v>153048950</v>
      </c>
      <c r="K201" s="50">
        <f t="shared" si="17"/>
        <v>-57.545860262399806</v>
      </c>
      <c r="L201" s="50">
        <f>VLOOKUP($A201,'Data shares'!$C:$FB,118)</f>
        <v>0.86</v>
      </c>
      <c r="M201" s="50">
        <f>VLOOKUP($A201,'Data shares'!$C:$FB,119)</f>
        <v>0.78</v>
      </c>
      <c r="N201" s="50">
        <f>VLOOKUP($A201,'Data shares'!$C:$FB,121)*100</f>
        <v>10.26</v>
      </c>
      <c r="O201" s="50">
        <f>VLOOKUP($A201,'Data shares'!$C:$FB,124)</f>
        <v>0.75</v>
      </c>
      <c r="P201" s="50">
        <f>VLOOKUP($A201,'Data shares'!$C:$FB,125)</f>
        <v>0.4</v>
      </c>
      <c r="Q201" s="50">
        <f>VLOOKUP($A201,'Data shares'!$C:$FB,127)*100</f>
        <v>87.5</v>
      </c>
    </row>
    <row r="202" spans="1:17" x14ac:dyDescent="0.25">
      <c r="A202" s="97" t="str">
        <f>'Data Vlaue (Cr)'!C197</f>
        <v>TATASTEEL</v>
      </c>
      <c r="B202" s="140">
        <f>VLOOKUP($A202,'Data shares'!$C:$FB,7)</f>
        <v>212.12</v>
      </c>
      <c r="C202" s="140">
        <f>VLOOKUP($A202,'Data shares'!$C:$FB,3)</f>
        <v>212.3</v>
      </c>
      <c r="D202" s="140">
        <f>VLOOKUP($A202,'Data shares'!$C:$FB,4)</f>
        <v>210.72</v>
      </c>
      <c r="E202" s="50">
        <f t="shared" si="15"/>
        <v>0.74981017463933775</v>
      </c>
      <c r="F202" s="49">
        <f>VLOOKUP($A202,'Data shares'!$C:$FB,98)</f>
        <v>394652500</v>
      </c>
      <c r="G202" s="49">
        <f>VLOOKUP($A202,'Data shares'!$C:$FB,99)</f>
        <v>390819000</v>
      </c>
      <c r="H202" s="50">
        <f t="shared" si="16"/>
        <v>0.98088885136086024</v>
      </c>
      <c r="I202" s="49">
        <f>VLOOKUP($A202,'Data shares'!$C:$FB,66)</f>
        <v>224889500</v>
      </c>
      <c r="J202" s="49">
        <f>VLOOKUP($A202,'Data shares'!$C:$FB,67)</f>
        <v>271859500</v>
      </c>
      <c r="K202" s="50">
        <f t="shared" si="17"/>
        <v>-20.885812810291277</v>
      </c>
      <c r="L202" s="50">
        <f>VLOOKUP($A202,'Data shares'!$C:$FB,118)</f>
        <v>0.86</v>
      </c>
      <c r="M202" s="50">
        <f>VLOOKUP($A202,'Data shares'!$C:$FB,119)</f>
        <v>0.8</v>
      </c>
      <c r="N202" s="50">
        <f>VLOOKUP($A202,'Data shares'!$C:$FB,121)*100</f>
        <v>7.5</v>
      </c>
      <c r="O202" s="50">
        <f>VLOOKUP($A202,'Data shares'!$C:$FB,124)</f>
        <v>0.65</v>
      </c>
      <c r="P202" s="50">
        <f>VLOOKUP($A202,'Data shares'!$C:$FB,125)</f>
        <v>0.52</v>
      </c>
      <c r="Q202" s="50">
        <f>VLOOKUP($A202,'Data shares'!$C:$FB,127)*100</f>
        <v>25</v>
      </c>
    </row>
    <row r="203" spans="1:17" x14ac:dyDescent="0.25">
      <c r="A203" s="97" t="str">
        <f>'Data Vlaue (Cr)'!C198</f>
        <v>TATATECH</v>
      </c>
      <c r="B203" s="140">
        <f>VLOOKUP($A203,'Data shares'!$C:$FB,7)</f>
        <v>589.29999999999995</v>
      </c>
      <c r="C203" s="140">
        <f>VLOOKUP($A203,'Data shares'!$C:$FB,3)</f>
        <v>590.9</v>
      </c>
      <c r="D203" s="140">
        <f>VLOOKUP($A203,'Data shares'!$C:$FB,4)</f>
        <v>588</v>
      </c>
      <c r="E203" s="50">
        <f t="shared" si="15"/>
        <v>0.49319727891156079</v>
      </c>
      <c r="F203" s="49">
        <f>VLOOKUP($A203,'Data shares'!$C:$FB,98)</f>
        <v>10664000</v>
      </c>
      <c r="G203" s="49">
        <f>VLOOKUP($A203,'Data shares'!$C:$FB,99)</f>
        <v>10706400</v>
      </c>
      <c r="H203" s="50">
        <f t="shared" si="16"/>
        <v>-0.39602480759172087</v>
      </c>
      <c r="I203" s="49">
        <f>VLOOKUP($A203,'Data shares'!$C:$FB,66)</f>
        <v>2275200</v>
      </c>
      <c r="J203" s="49">
        <f>VLOOKUP($A203,'Data shares'!$C:$FB,67)</f>
        <v>6507200</v>
      </c>
      <c r="K203" s="50">
        <f t="shared" si="17"/>
        <v>-186.00562587904358</v>
      </c>
      <c r="L203" s="50">
        <f>VLOOKUP($A203,'Data shares'!$C:$FB,118)</f>
        <v>0.66</v>
      </c>
      <c r="M203" s="50">
        <f>VLOOKUP($A203,'Data shares'!$C:$FB,119)</f>
        <v>0.68</v>
      </c>
      <c r="N203" s="50">
        <f>VLOOKUP($A203,'Data shares'!$C:$FB,121)*100</f>
        <v>-2.94</v>
      </c>
      <c r="O203" s="50">
        <f>VLOOKUP($A203,'Data shares'!$C:$FB,124)</f>
        <v>0.32</v>
      </c>
      <c r="P203" s="50">
        <f>VLOOKUP($A203,'Data shares'!$C:$FB,125)</f>
        <v>0.28000000000000003</v>
      </c>
      <c r="Q203" s="50">
        <f>VLOOKUP($A203,'Data shares'!$C:$FB,127)*100</f>
        <v>14.29</v>
      </c>
    </row>
    <row r="204" spans="1:17" x14ac:dyDescent="0.25">
      <c r="A204" s="97" t="str">
        <f>'Data Vlaue (Cr)'!C199</f>
        <v>TCS</v>
      </c>
      <c r="B204" s="140">
        <f>VLOOKUP($A204,'Data shares'!$C:$FB,7)</f>
        <v>2581.5</v>
      </c>
      <c r="C204" s="140">
        <f>VLOOKUP($A204,'Data shares'!$C:$FB,3)</f>
        <v>2561.1999999999998</v>
      </c>
      <c r="D204" s="140">
        <f>VLOOKUP($A204,'Data shares'!$C:$FB,4)</f>
        <v>2555.6</v>
      </c>
      <c r="E204" s="50">
        <f t="shared" si="15"/>
        <v>0.21912662388479848</v>
      </c>
      <c r="F204" s="49">
        <f>VLOOKUP($A204,'Data shares'!$C:$FB,98)</f>
        <v>65483075</v>
      </c>
      <c r="G204" s="49">
        <f>VLOOKUP($A204,'Data shares'!$C:$FB,99)</f>
        <v>66019450</v>
      </c>
      <c r="H204" s="50">
        <f t="shared" si="16"/>
        <v>-0.81244996739597197</v>
      </c>
      <c r="I204" s="49">
        <f>VLOOKUP($A204,'Data shares'!$C:$FB,66)</f>
        <v>29588825</v>
      </c>
      <c r="J204" s="49">
        <f>VLOOKUP($A204,'Data shares'!$C:$FB,67)</f>
        <v>43231825</v>
      </c>
      <c r="K204" s="50">
        <f t="shared" si="17"/>
        <v>-46.108623779416725</v>
      </c>
      <c r="L204" s="50">
        <f>VLOOKUP($A204,'Data shares'!$C:$FB,118)</f>
        <v>0.65</v>
      </c>
      <c r="M204" s="50">
        <f>VLOOKUP($A204,'Data shares'!$C:$FB,119)</f>
        <v>0.61</v>
      </c>
      <c r="N204" s="50">
        <f>VLOOKUP($A204,'Data shares'!$C:$FB,121)*100</f>
        <v>6.5600000000000005</v>
      </c>
      <c r="O204" s="50">
        <f>VLOOKUP($A204,'Data shares'!$C:$FB,124)</f>
        <v>0.57999999999999996</v>
      </c>
      <c r="P204" s="50">
        <f>VLOOKUP($A204,'Data shares'!$C:$FB,125)</f>
        <v>0.55000000000000004</v>
      </c>
      <c r="Q204" s="50">
        <f>VLOOKUP($A204,'Data shares'!$C:$FB,127)*100</f>
        <v>5.45</v>
      </c>
    </row>
    <row r="205" spans="1:17" x14ac:dyDescent="0.25">
      <c r="A205" s="97" t="str">
        <f>'Data Vlaue (Cr)'!C200</f>
        <v>TECHM</v>
      </c>
      <c r="B205" s="140">
        <f>VLOOKUP($A205,'Data shares'!$C:$FB,7)</f>
        <v>1511.4</v>
      </c>
      <c r="C205" s="140">
        <f>VLOOKUP($A205,'Data shares'!$C:$FB,3)</f>
        <v>1503.1</v>
      </c>
      <c r="D205" s="140">
        <f>VLOOKUP($A205,'Data shares'!$C:$FB,4)</f>
        <v>1485.2</v>
      </c>
      <c r="E205" s="50">
        <f t="shared" si="15"/>
        <v>1.2052248855372922</v>
      </c>
      <c r="F205" s="49">
        <f>VLOOKUP($A205,'Data shares'!$C:$FB,98)</f>
        <v>27787800</v>
      </c>
      <c r="G205" s="49">
        <f>VLOOKUP($A205,'Data shares'!$C:$FB,99)</f>
        <v>27628800</v>
      </c>
      <c r="H205" s="50">
        <f t="shared" si="16"/>
        <v>0.57548644892286305</v>
      </c>
      <c r="I205" s="49">
        <f>VLOOKUP($A205,'Data shares'!$C:$FB,66)</f>
        <v>19380600</v>
      </c>
      <c r="J205" s="49">
        <f>VLOOKUP($A205,'Data shares'!$C:$FB,67)</f>
        <v>12498600</v>
      </c>
      <c r="K205" s="50">
        <f t="shared" si="17"/>
        <v>35.509736540664377</v>
      </c>
      <c r="L205" s="50">
        <f>VLOOKUP($A205,'Data shares'!$C:$FB,118)</f>
        <v>0.84</v>
      </c>
      <c r="M205" s="50">
        <f>VLOOKUP($A205,'Data shares'!$C:$FB,119)</f>
        <v>0.92</v>
      </c>
      <c r="N205" s="50">
        <f>VLOOKUP($A205,'Data shares'!$C:$FB,121)*100</f>
        <v>-8.6999999999999993</v>
      </c>
      <c r="O205" s="50">
        <f>VLOOKUP($A205,'Data shares'!$C:$FB,124)</f>
        <v>0.46</v>
      </c>
      <c r="P205" s="50">
        <f>VLOOKUP($A205,'Data shares'!$C:$FB,125)</f>
        <v>0.56000000000000005</v>
      </c>
      <c r="Q205" s="50">
        <f>VLOOKUP($A205,'Data shares'!$C:$FB,127)*100</f>
        <v>-17.86</v>
      </c>
    </row>
    <row r="206" spans="1:17" x14ac:dyDescent="0.25">
      <c r="A206" s="97" t="str">
        <f>'Data Vlaue (Cr)'!C201</f>
        <v>TIINDIA</v>
      </c>
      <c r="B206" s="140">
        <f>VLOOKUP($A206,'Data shares'!$C:$FB,7)</f>
        <v>2790.2</v>
      </c>
      <c r="C206" s="140">
        <f>VLOOKUP($A206,'Data shares'!$C:$FB,3)</f>
        <v>2798.1</v>
      </c>
      <c r="D206" s="140">
        <f>VLOOKUP($A206,'Data shares'!$C:$FB,4)</f>
        <v>2763.7</v>
      </c>
      <c r="E206" s="50">
        <f t="shared" si="15"/>
        <v>1.2447081810616236</v>
      </c>
      <c r="F206" s="49">
        <f>VLOOKUP($A206,'Data shares'!$C:$FB,98)</f>
        <v>3446800</v>
      </c>
      <c r="G206" s="49">
        <f>VLOOKUP($A206,'Data shares'!$C:$FB,99)</f>
        <v>3322200</v>
      </c>
      <c r="H206" s="50">
        <f t="shared" si="16"/>
        <v>3.7505267593763172</v>
      </c>
      <c r="I206" s="49">
        <f>VLOOKUP($A206,'Data shares'!$C:$FB,66)</f>
        <v>1415000</v>
      </c>
      <c r="J206" s="49">
        <f>VLOOKUP($A206,'Data shares'!$C:$FB,67)</f>
        <v>994000</v>
      </c>
      <c r="K206" s="50">
        <f t="shared" si="17"/>
        <v>29.752650176678447</v>
      </c>
      <c r="L206" s="50">
        <f>VLOOKUP($A206,'Data shares'!$C:$FB,118)</f>
        <v>0.44</v>
      </c>
      <c r="M206" s="50">
        <f>VLOOKUP($A206,'Data shares'!$C:$FB,119)</f>
        <v>0.51</v>
      </c>
      <c r="N206" s="50">
        <f>VLOOKUP($A206,'Data shares'!$C:$FB,121)*100</f>
        <v>-13.73</v>
      </c>
      <c r="O206" s="50">
        <f>VLOOKUP($A206,'Data shares'!$C:$FB,124)</f>
        <v>0.14000000000000001</v>
      </c>
      <c r="P206" s="50">
        <f>VLOOKUP($A206,'Data shares'!$C:$FB,125)</f>
        <v>0.22</v>
      </c>
      <c r="Q206" s="50">
        <f>VLOOKUP($A206,'Data shares'!$C:$FB,127)*100</f>
        <v>-36.36</v>
      </c>
    </row>
    <row r="207" spans="1:17" x14ac:dyDescent="0.25">
      <c r="A207" s="97" t="str">
        <f>'Data Vlaue (Cr)'!C202</f>
        <v>TITAN</v>
      </c>
      <c r="B207" s="140">
        <f>VLOOKUP($A207,'Data shares'!$C:$FB,7)</f>
        <v>4525.8999999999996</v>
      </c>
      <c r="C207" s="140">
        <f>VLOOKUP($A207,'Data shares'!$C:$FB,3)</f>
        <v>4525</v>
      </c>
      <c r="D207" s="140">
        <f>VLOOKUP($A207,'Data shares'!$C:$FB,4)</f>
        <v>4475.8</v>
      </c>
      <c r="E207" s="50">
        <f t="shared" si="15"/>
        <v>1.0992448277402882</v>
      </c>
      <c r="F207" s="49">
        <f>VLOOKUP($A207,'Data shares'!$C:$FB,98)</f>
        <v>16115225</v>
      </c>
      <c r="G207" s="49">
        <f>VLOOKUP($A207,'Data shares'!$C:$FB,99)</f>
        <v>16101400</v>
      </c>
      <c r="H207" s="50">
        <f t="shared" si="16"/>
        <v>8.5862098947917576E-2</v>
      </c>
      <c r="I207" s="49">
        <f>VLOOKUP($A207,'Data shares'!$C:$FB,66)</f>
        <v>29014475</v>
      </c>
      <c r="J207" s="49">
        <f>VLOOKUP($A207,'Data shares'!$C:$FB,67)</f>
        <v>8516900</v>
      </c>
      <c r="K207" s="50">
        <f t="shared" si="17"/>
        <v>70.646030989704272</v>
      </c>
      <c r="L207" s="50">
        <f>VLOOKUP($A207,'Data shares'!$C:$FB,118)</f>
        <v>0.81</v>
      </c>
      <c r="M207" s="50">
        <f>VLOOKUP($A207,'Data shares'!$C:$FB,119)</f>
        <v>0.7</v>
      </c>
      <c r="N207" s="50">
        <f>VLOOKUP($A207,'Data shares'!$C:$FB,121)*100</f>
        <v>15.709999999999999</v>
      </c>
      <c r="O207" s="50">
        <f>VLOOKUP($A207,'Data shares'!$C:$FB,124)</f>
        <v>0.93</v>
      </c>
      <c r="P207" s="50">
        <f>VLOOKUP($A207,'Data shares'!$C:$FB,125)</f>
        <v>0.72</v>
      </c>
      <c r="Q207" s="50">
        <f>VLOOKUP($A207,'Data shares'!$C:$FB,127)*100</f>
        <v>29.17</v>
      </c>
    </row>
    <row r="208" spans="1:17" x14ac:dyDescent="0.25">
      <c r="A208" s="97" t="str">
        <f>'Data Vlaue (Cr)'!C203</f>
        <v>TMPV</v>
      </c>
      <c r="B208" s="140">
        <f>VLOOKUP($A208,'Data shares'!$C:$FB,7)</f>
        <v>360.1</v>
      </c>
      <c r="C208" s="140">
        <f>VLOOKUP($A208,'Data shares'!$C:$FB,3)</f>
        <v>360.25</v>
      </c>
      <c r="D208" s="140">
        <f>VLOOKUP($A208,'Data shares'!$C:$FB,4)</f>
        <v>356.8</v>
      </c>
      <c r="E208" s="50">
        <f t="shared" si="15"/>
        <v>0.96692825112107295</v>
      </c>
      <c r="F208" s="49">
        <f>VLOOKUP($A208,'Data shares'!$C:$FB,98)</f>
        <v>123376000</v>
      </c>
      <c r="G208" s="49">
        <f>VLOOKUP($A208,'Data shares'!$C:$FB,99)</f>
        <v>122641600</v>
      </c>
      <c r="H208" s="50">
        <f t="shared" si="16"/>
        <v>0.59881801933438572</v>
      </c>
      <c r="I208" s="49">
        <f>VLOOKUP($A208,'Data shares'!$C:$FB,66)</f>
        <v>68090400</v>
      </c>
      <c r="J208" s="49">
        <f>VLOOKUP($A208,'Data shares'!$C:$FB,67)</f>
        <v>72284000</v>
      </c>
      <c r="K208" s="50">
        <f t="shared" si="17"/>
        <v>-6.1588711477682612</v>
      </c>
      <c r="L208" s="50">
        <f>VLOOKUP($A208,'Data shares'!$C:$FB,118)</f>
        <v>0.8</v>
      </c>
      <c r="M208" s="50">
        <f>VLOOKUP($A208,'Data shares'!$C:$FB,119)</f>
        <v>0.77</v>
      </c>
      <c r="N208" s="50">
        <f>VLOOKUP($A208,'Data shares'!$C:$FB,121)*100</f>
        <v>3.9</v>
      </c>
      <c r="O208" s="50">
        <f>VLOOKUP($A208,'Data shares'!$C:$FB,124)</f>
        <v>0.69</v>
      </c>
      <c r="P208" s="50">
        <f>VLOOKUP($A208,'Data shares'!$C:$FB,125)</f>
        <v>0.6</v>
      </c>
      <c r="Q208" s="50">
        <f>VLOOKUP($A208,'Data shares'!$C:$FB,127)*100</f>
        <v>15</v>
      </c>
    </row>
    <row r="209" spans="1:17" x14ac:dyDescent="0.25">
      <c r="A209" s="97" t="str">
        <f>'Data Vlaue (Cr)'!C204</f>
        <v>TORNTPHARM</v>
      </c>
      <c r="B209" s="140">
        <f>VLOOKUP($A209,'Data shares'!$C:$FB,7)</f>
        <v>4179.5</v>
      </c>
      <c r="C209" s="140">
        <f>VLOOKUP($A209,'Data shares'!$C:$FB,3)</f>
        <v>4174.8</v>
      </c>
      <c r="D209" s="140">
        <f>VLOOKUP($A209,'Data shares'!$C:$FB,4)</f>
        <v>4142.1000000000004</v>
      </c>
      <c r="E209" s="50">
        <f t="shared" si="15"/>
        <v>0.78945462446584624</v>
      </c>
      <c r="F209" s="49">
        <f>VLOOKUP($A209,'Data shares'!$C:$FB,98)</f>
        <v>4320000</v>
      </c>
      <c r="G209" s="49">
        <f>VLOOKUP($A209,'Data shares'!$C:$FB,99)</f>
        <v>4390250</v>
      </c>
      <c r="H209" s="50">
        <f t="shared" si="16"/>
        <v>-1.6001366664768522</v>
      </c>
      <c r="I209" s="49">
        <f>VLOOKUP($A209,'Data shares'!$C:$FB,66)</f>
        <v>1280250</v>
      </c>
      <c r="J209" s="49">
        <f>VLOOKUP($A209,'Data shares'!$C:$FB,67)</f>
        <v>1429000</v>
      </c>
      <c r="K209" s="50">
        <f t="shared" si="17"/>
        <v>-11.618824448349931</v>
      </c>
      <c r="L209" s="50">
        <f>VLOOKUP($A209,'Data shares'!$C:$FB,118)</f>
        <v>0.7</v>
      </c>
      <c r="M209" s="50">
        <f>VLOOKUP($A209,'Data shares'!$C:$FB,119)</f>
        <v>0.67</v>
      </c>
      <c r="N209" s="50">
        <f>VLOOKUP($A209,'Data shares'!$C:$FB,121)*100</f>
        <v>4.4799999999999995</v>
      </c>
      <c r="O209" s="50">
        <f>VLOOKUP($A209,'Data shares'!$C:$FB,124)</f>
        <v>0.47</v>
      </c>
      <c r="P209" s="50">
        <f>VLOOKUP($A209,'Data shares'!$C:$FB,125)</f>
        <v>0.87</v>
      </c>
      <c r="Q209" s="50">
        <f>VLOOKUP($A209,'Data shares'!$C:$FB,127)*100</f>
        <v>-45.98</v>
      </c>
    </row>
    <row r="210" spans="1:17" x14ac:dyDescent="0.25">
      <c r="A210" s="97" t="str">
        <f>'Data Vlaue (Cr)'!C205</f>
        <v>TORNTPOWER</v>
      </c>
      <c r="B210" s="140">
        <f>VLOOKUP($A210,'Data shares'!$C:$FB,7)</f>
        <v>1565</v>
      </c>
      <c r="C210" s="140">
        <f>VLOOKUP($A210,'Data shares'!$C:$FB,3)</f>
        <v>1564.8</v>
      </c>
      <c r="D210" s="140">
        <f>VLOOKUP($A210,'Data shares'!$C:$FB,4)</f>
        <v>1528.4</v>
      </c>
      <c r="E210" s="50">
        <f t="shared" ref="E210:E217" si="18">(C210-D210)/D210*100</f>
        <v>2.3815755037948092</v>
      </c>
      <c r="F210" s="49">
        <f>VLOOKUP($A210,'Data shares'!$C:$FB,98)</f>
        <v>5094050</v>
      </c>
      <c r="G210" s="49">
        <f>VLOOKUP($A210,'Data shares'!$C:$FB,99)</f>
        <v>4936800</v>
      </c>
      <c r="H210" s="50">
        <f t="shared" ref="H210:H217" si="19">(F210-G210)/G210*100</f>
        <v>3.1852617079889809</v>
      </c>
      <c r="I210" s="49">
        <f>VLOOKUP($A210,'Data shares'!$C:$FB,66)</f>
        <v>2924425</v>
      </c>
      <c r="J210" s="49">
        <f>VLOOKUP($A210,'Data shares'!$C:$FB,67)</f>
        <v>1873400</v>
      </c>
      <c r="K210" s="50">
        <f t="shared" ref="K210:K217" si="20">(I210-J210)/I210*100</f>
        <v>35.939543670978061</v>
      </c>
      <c r="L210" s="50">
        <f>VLOOKUP($A210,'Data shares'!$C:$FB,118)</f>
        <v>0.73</v>
      </c>
      <c r="M210" s="50">
        <f>VLOOKUP($A210,'Data shares'!$C:$FB,119)</f>
        <v>0.78</v>
      </c>
      <c r="N210" s="50">
        <f>VLOOKUP($A210,'Data shares'!$C:$FB,121)*100</f>
        <v>-6.41</v>
      </c>
      <c r="O210" s="50">
        <f>VLOOKUP($A210,'Data shares'!$C:$FB,124)</f>
        <v>0.28000000000000003</v>
      </c>
      <c r="P210" s="50">
        <f>VLOOKUP($A210,'Data shares'!$C:$FB,125)</f>
        <v>0.24</v>
      </c>
      <c r="Q210" s="50">
        <f>VLOOKUP($A210,'Data shares'!$C:$FB,127)*100</f>
        <v>16.669999999999998</v>
      </c>
    </row>
    <row r="211" spans="1:17" x14ac:dyDescent="0.25">
      <c r="A211" s="97" t="str">
        <f>'Data Vlaue (Cr)'!C206</f>
        <v>TRENT</v>
      </c>
      <c r="B211" s="140">
        <f>VLOOKUP($A211,'Data shares'!$C:$FB,7)</f>
        <v>4107.7</v>
      </c>
      <c r="C211" s="140">
        <f>VLOOKUP($A211,'Data shares'!$C:$FB,3)</f>
        <v>4108.3999999999996</v>
      </c>
      <c r="D211" s="140">
        <f>VLOOKUP($A211,'Data shares'!$C:$FB,4)</f>
        <v>4096.7</v>
      </c>
      <c r="E211" s="50">
        <f t="shared" si="18"/>
        <v>0.28559572338711203</v>
      </c>
      <c r="F211" s="49">
        <f>VLOOKUP($A211,'Data shares'!$C:$FB,98)</f>
        <v>13600800</v>
      </c>
      <c r="G211" s="49">
        <f>VLOOKUP($A211,'Data shares'!$C:$FB,99)</f>
        <v>13320600</v>
      </c>
      <c r="H211" s="50">
        <f t="shared" si="19"/>
        <v>2.10350885095266</v>
      </c>
      <c r="I211" s="49">
        <f>VLOOKUP($A211,'Data shares'!$C:$FB,66)</f>
        <v>10686300</v>
      </c>
      <c r="J211" s="49">
        <f>VLOOKUP($A211,'Data shares'!$C:$FB,67)</f>
        <v>15560900</v>
      </c>
      <c r="K211" s="50">
        <f t="shared" si="20"/>
        <v>-45.61541412836997</v>
      </c>
      <c r="L211" s="50">
        <f>VLOOKUP($A211,'Data shares'!$C:$FB,118)</f>
        <v>0.86</v>
      </c>
      <c r="M211" s="50">
        <f>VLOOKUP($A211,'Data shares'!$C:$FB,119)</f>
        <v>0.9</v>
      </c>
      <c r="N211" s="50">
        <f>VLOOKUP($A211,'Data shares'!$C:$FB,121)*100</f>
        <v>-4.4400000000000004</v>
      </c>
      <c r="O211" s="50">
        <f>VLOOKUP($A211,'Data shares'!$C:$FB,124)</f>
        <v>0.48</v>
      </c>
      <c r="P211" s="50">
        <f>VLOOKUP($A211,'Data shares'!$C:$FB,125)</f>
        <v>0.47</v>
      </c>
      <c r="Q211" s="50">
        <f>VLOOKUP($A211,'Data shares'!$C:$FB,127)*100</f>
        <v>2.13</v>
      </c>
    </row>
    <row r="212" spans="1:17" x14ac:dyDescent="0.25">
      <c r="A212" s="97" t="str">
        <f>'Data Vlaue (Cr)'!C207</f>
        <v>TVSMOTOR</v>
      </c>
      <c r="B212" s="140">
        <f>VLOOKUP($A212,'Data shares'!$C:$FB,7)</f>
        <v>3735.8</v>
      </c>
      <c r="C212" s="140">
        <f>VLOOKUP($A212,'Data shares'!$C:$FB,3)</f>
        <v>3747.3</v>
      </c>
      <c r="D212" s="140">
        <f>VLOOKUP($A212,'Data shares'!$C:$FB,4)</f>
        <v>3766.9</v>
      </c>
      <c r="E212" s="50">
        <f t="shared" si="18"/>
        <v>-0.52032174998008729</v>
      </c>
      <c r="F212" s="49">
        <f>VLOOKUP($A212,'Data shares'!$C:$FB,98)</f>
        <v>11033575</v>
      </c>
      <c r="G212" s="49">
        <f>VLOOKUP($A212,'Data shares'!$C:$FB,99)</f>
        <v>10948875</v>
      </c>
      <c r="H212" s="50">
        <f t="shared" si="19"/>
        <v>0.77359546072085028</v>
      </c>
      <c r="I212" s="49">
        <f>VLOOKUP($A212,'Data shares'!$C:$FB,66)</f>
        <v>3058825</v>
      </c>
      <c r="J212" s="49">
        <f>VLOOKUP($A212,'Data shares'!$C:$FB,67)</f>
        <v>2892750</v>
      </c>
      <c r="K212" s="50">
        <f t="shared" si="20"/>
        <v>5.4293723897248123</v>
      </c>
      <c r="L212" s="50">
        <f>VLOOKUP($A212,'Data shares'!$C:$FB,118)</f>
        <v>0.7</v>
      </c>
      <c r="M212" s="50">
        <f>VLOOKUP($A212,'Data shares'!$C:$FB,119)</f>
        <v>0.71</v>
      </c>
      <c r="N212" s="50">
        <f>VLOOKUP($A212,'Data shares'!$C:$FB,121)*100</f>
        <v>-1.41</v>
      </c>
      <c r="O212" s="50">
        <f>VLOOKUP($A212,'Data shares'!$C:$FB,124)</f>
        <v>0.62</v>
      </c>
      <c r="P212" s="50">
        <f>VLOOKUP($A212,'Data shares'!$C:$FB,125)</f>
        <v>0.54</v>
      </c>
      <c r="Q212" s="50">
        <f>VLOOKUP($A212,'Data shares'!$C:$FB,127)*100</f>
        <v>14.81</v>
      </c>
    </row>
    <row r="213" spans="1:17" x14ac:dyDescent="0.25">
      <c r="A213" s="97" t="str">
        <f>'Data Vlaue (Cr)'!C208</f>
        <v>ULTRACEMCO</v>
      </c>
      <c r="B213" s="140">
        <f>VLOOKUP($A213,'Data shares'!$C:$FB,7)</f>
        <v>11886</v>
      </c>
      <c r="C213" s="140">
        <f>VLOOKUP($A213,'Data shares'!$C:$FB,3)</f>
        <v>11884</v>
      </c>
      <c r="D213" s="140">
        <f>VLOOKUP($A213,'Data shares'!$C:$FB,4)</f>
        <v>11823</v>
      </c>
      <c r="E213" s="50">
        <f t="shared" si="18"/>
        <v>0.51594349995770961</v>
      </c>
      <c r="F213" s="49">
        <f>VLOOKUP($A213,'Data shares'!$C:$FB,98)</f>
        <v>3534650</v>
      </c>
      <c r="G213" s="49">
        <f>VLOOKUP($A213,'Data shares'!$C:$FB,99)</f>
        <v>3406500</v>
      </c>
      <c r="H213" s="50">
        <f t="shared" si="19"/>
        <v>3.7619257302216353</v>
      </c>
      <c r="I213" s="49">
        <f>VLOOKUP($A213,'Data shares'!$C:$FB,66)</f>
        <v>1642100</v>
      </c>
      <c r="J213" s="49">
        <f>VLOOKUP($A213,'Data shares'!$C:$FB,67)</f>
        <v>1369150</v>
      </c>
      <c r="K213" s="50">
        <f t="shared" si="20"/>
        <v>16.622008403873089</v>
      </c>
      <c r="L213" s="50">
        <f>VLOOKUP($A213,'Data shares'!$C:$FB,118)</f>
        <v>0.62</v>
      </c>
      <c r="M213" s="50">
        <f>VLOOKUP($A213,'Data shares'!$C:$FB,119)</f>
        <v>0.63</v>
      </c>
      <c r="N213" s="50">
        <f>VLOOKUP($A213,'Data shares'!$C:$FB,121)*100</f>
        <v>-1.59</v>
      </c>
      <c r="O213" s="50">
        <f>VLOOKUP($A213,'Data shares'!$C:$FB,124)</f>
        <v>0.47</v>
      </c>
      <c r="P213" s="50">
        <f>VLOOKUP($A213,'Data shares'!$C:$FB,125)</f>
        <v>0.5</v>
      </c>
      <c r="Q213" s="50">
        <f>VLOOKUP($A213,'Data shares'!$C:$FB,127)*100</f>
        <v>-6</v>
      </c>
    </row>
    <row r="214" spans="1:17" x14ac:dyDescent="0.25">
      <c r="A214" s="97" t="str">
        <f>'Data Vlaue (Cr)'!C209</f>
        <v>UNIONBANK</v>
      </c>
      <c r="B214" s="140">
        <f>VLOOKUP($A214,'Data shares'!$C:$FB,7)</f>
        <v>188.91</v>
      </c>
      <c r="C214" s="140">
        <f>VLOOKUP($A214,'Data shares'!$C:$FB,3)</f>
        <v>188.51</v>
      </c>
      <c r="D214" s="140">
        <f>VLOOKUP($A214,'Data shares'!$C:$FB,4)</f>
        <v>188.18</v>
      </c>
      <c r="E214" s="50">
        <f t="shared" si="18"/>
        <v>0.17536401317886283</v>
      </c>
      <c r="F214" s="49">
        <f>VLOOKUP($A214,'Data shares'!$C:$FB,98)</f>
        <v>179115150</v>
      </c>
      <c r="G214" s="49">
        <f>VLOOKUP($A214,'Data shares'!$C:$FB,99)</f>
        <v>175446825</v>
      </c>
      <c r="H214" s="50">
        <f t="shared" si="19"/>
        <v>2.0908471840399505</v>
      </c>
      <c r="I214" s="49">
        <f>VLOOKUP($A214,'Data shares'!$C:$FB,66)</f>
        <v>56396625</v>
      </c>
      <c r="J214" s="49">
        <f>VLOOKUP($A214,'Data shares'!$C:$FB,67)</f>
        <v>68476875</v>
      </c>
      <c r="K214" s="50">
        <f t="shared" si="20"/>
        <v>-21.420164770498236</v>
      </c>
      <c r="L214" s="50">
        <f>VLOOKUP($A214,'Data shares'!$C:$FB,118)</f>
        <v>0.79</v>
      </c>
      <c r="M214" s="50">
        <f>VLOOKUP($A214,'Data shares'!$C:$FB,119)</f>
        <v>0.8</v>
      </c>
      <c r="N214" s="50">
        <f>VLOOKUP($A214,'Data shares'!$C:$FB,121)*100</f>
        <v>-1.25</v>
      </c>
      <c r="O214" s="50">
        <f>VLOOKUP($A214,'Data shares'!$C:$FB,124)</f>
        <v>0.56000000000000005</v>
      </c>
      <c r="P214" s="50">
        <f>VLOOKUP($A214,'Data shares'!$C:$FB,125)</f>
        <v>0.64</v>
      </c>
      <c r="Q214" s="50">
        <f>VLOOKUP($A214,'Data shares'!$C:$FB,127)*100</f>
        <v>-12.5</v>
      </c>
    </row>
    <row r="215" spans="1:17" x14ac:dyDescent="0.25">
      <c r="A215" s="97" t="str">
        <f>'Data Vlaue (Cr)'!C210</f>
        <v>UNITDSPR</v>
      </c>
      <c r="B215" s="140">
        <f>VLOOKUP($A215,'Data shares'!$C:$FB,7)</f>
        <v>1302.9000000000001</v>
      </c>
      <c r="C215" s="140">
        <f>VLOOKUP($A215,'Data shares'!$C:$FB,3)</f>
        <v>1305.7</v>
      </c>
      <c r="D215" s="140">
        <f>VLOOKUP($A215,'Data shares'!$C:$FB,4)</f>
        <v>1257.7</v>
      </c>
      <c r="E215" s="50">
        <f t="shared" si="18"/>
        <v>3.816490419018844</v>
      </c>
      <c r="F215" s="49">
        <f>VLOOKUP($A215,'Data shares'!$C:$FB,98)</f>
        <v>20594400</v>
      </c>
      <c r="G215" s="49">
        <f>VLOOKUP($A215,'Data shares'!$C:$FB,99)</f>
        <v>20602000</v>
      </c>
      <c r="H215" s="50">
        <f t="shared" si="19"/>
        <v>-3.6889622366760508E-2</v>
      </c>
      <c r="I215" s="49">
        <f>VLOOKUP($A215,'Data shares'!$C:$FB,66)</f>
        <v>22348400</v>
      </c>
      <c r="J215" s="49">
        <f>VLOOKUP($A215,'Data shares'!$C:$FB,67)</f>
        <v>6763200</v>
      </c>
      <c r="K215" s="50">
        <f t="shared" si="20"/>
        <v>69.737430867534144</v>
      </c>
      <c r="L215" s="50">
        <f>VLOOKUP($A215,'Data shares'!$C:$FB,118)</f>
        <v>0.65</v>
      </c>
      <c r="M215" s="50">
        <f>VLOOKUP($A215,'Data shares'!$C:$FB,119)</f>
        <v>0.56000000000000005</v>
      </c>
      <c r="N215" s="50">
        <f>VLOOKUP($A215,'Data shares'!$C:$FB,121)*100</f>
        <v>16.07</v>
      </c>
      <c r="O215" s="50">
        <f>VLOOKUP($A215,'Data shares'!$C:$FB,124)</f>
        <v>0.27</v>
      </c>
      <c r="P215" s="50">
        <f>VLOOKUP($A215,'Data shares'!$C:$FB,125)</f>
        <v>0.24</v>
      </c>
      <c r="Q215" s="50">
        <f>VLOOKUP($A215,'Data shares'!$C:$FB,127)*100</f>
        <v>12.5</v>
      </c>
    </row>
    <row r="216" spans="1:17" x14ac:dyDescent="0.25">
      <c r="A216" s="97" t="str">
        <f>'Data Vlaue (Cr)'!C211</f>
        <v>UNOMINDA</v>
      </c>
      <c r="B216" s="140">
        <f>VLOOKUP($A216,'Data shares'!$C:$FB,7)</f>
        <v>1097.8</v>
      </c>
      <c r="C216" s="140">
        <f>VLOOKUP($A216,'Data shares'!$C:$FB,3)</f>
        <v>1098.0999999999999</v>
      </c>
      <c r="D216" s="140">
        <f>VLOOKUP($A216,'Data shares'!$C:$FB,4)</f>
        <v>1109.0999999999999</v>
      </c>
      <c r="E216" s="50">
        <f t="shared" si="18"/>
        <v>-0.99179514922008838</v>
      </c>
      <c r="F216" s="49">
        <f>VLOOKUP($A216,'Data shares'!$C:$FB,98)</f>
        <v>7115350</v>
      </c>
      <c r="G216" s="49">
        <f>VLOOKUP($A216,'Data shares'!$C:$FB,99)</f>
        <v>6930550</v>
      </c>
      <c r="H216" s="50">
        <f t="shared" si="19"/>
        <v>2.6664550432505356</v>
      </c>
      <c r="I216" s="49">
        <f>VLOOKUP($A216,'Data shares'!$C:$FB,66)</f>
        <v>2035000</v>
      </c>
      <c r="J216" s="49">
        <f>VLOOKUP($A216,'Data shares'!$C:$FB,67)</f>
        <v>1684100</v>
      </c>
      <c r="K216" s="50">
        <f t="shared" si="20"/>
        <v>17.243243243243242</v>
      </c>
      <c r="L216" s="50">
        <f>VLOOKUP($A216,'Data shares'!$C:$FB,118)</f>
        <v>0.41</v>
      </c>
      <c r="M216" s="50">
        <f>VLOOKUP($A216,'Data shares'!$C:$FB,119)</f>
        <v>0.42</v>
      </c>
      <c r="N216" s="50">
        <f>VLOOKUP($A216,'Data shares'!$C:$FB,121)*100</f>
        <v>-2.3800000000000003</v>
      </c>
      <c r="O216" s="50">
        <f>VLOOKUP($A216,'Data shares'!$C:$FB,124)</f>
        <v>0.22</v>
      </c>
      <c r="P216" s="50">
        <f>VLOOKUP($A216,'Data shares'!$C:$FB,125)</f>
        <v>0.22</v>
      </c>
      <c r="Q216" s="50">
        <f>VLOOKUP($A216,'Data shares'!$C:$FB,127)*100</f>
        <v>0</v>
      </c>
    </row>
    <row r="217" spans="1:17" x14ac:dyDescent="0.25">
      <c r="A217" s="97" t="str">
        <f>'Data Vlaue (Cr)'!C212</f>
        <v>UPL</v>
      </c>
      <c r="B217" s="140">
        <f>VLOOKUP($A217,'Data shares'!$C:$FB,7)</f>
        <v>664.7</v>
      </c>
      <c r="C217" s="140">
        <f>VLOOKUP($A217,'Data shares'!$C:$FB,3)</f>
        <v>666.35</v>
      </c>
      <c r="D217" s="140">
        <f>VLOOKUP($A217,'Data shares'!$C:$FB,4)</f>
        <v>662.3</v>
      </c>
      <c r="E217" s="50">
        <f t="shared" si="18"/>
        <v>0.61150536010872236</v>
      </c>
      <c r="F217" s="49">
        <f>VLOOKUP($A217,'Data shares'!$C:$FB,98)</f>
        <v>47319310</v>
      </c>
      <c r="G217" s="49">
        <f>VLOOKUP($A217,'Data shares'!$C:$FB,99)</f>
        <v>47668900</v>
      </c>
      <c r="H217" s="50">
        <f t="shared" si="19"/>
        <v>-0.73337123365548607</v>
      </c>
      <c r="I217" s="49">
        <f>VLOOKUP($A217,'Data shares'!$C:$FB,66)</f>
        <v>14844025</v>
      </c>
      <c r="J217" s="49">
        <f>VLOOKUP($A217,'Data shares'!$C:$FB,67)</f>
        <v>22285685</v>
      </c>
      <c r="K217" s="50">
        <f t="shared" si="20"/>
        <v>-50.132359653126422</v>
      </c>
      <c r="L217" s="50">
        <f>VLOOKUP($A217,'Data shares'!$C:$FB,118)</f>
        <v>0.75</v>
      </c>
      <c r="M217" s="50">
        <f>VLOOKUP($A217,'Data shares'!$C:$FB,119)</f>
        <v>0.69</v>
      </c>
      <c r="N217" s="50">
        <f>VLOOKUP($A217,'Data shares'!$C:$FB,121)*100</f>
        <v>8.6999999999999993</v>
      </c>
      <c r="O217" s="50">
        <f>VLOOKUP($A217,'Data shares'!$C:$FB,124)</f>
        <v>0.72</v>
      </c>
      <c r="P217" s="50">
        <f>VLOOKUP($A217,'Data shares'!$C:$FB,125)</f>
        <v>0.5</v>
      </c>
      <c r="Q217" s="50">
        <f>VLOOKUP($A217,'Data shares'!$C:$FB,127)*100</f>
        <v>44</v>
      </c>
    </row>
    <row r="218" spans="1:17" x14ac:dyDescent="0.25">
      <c r="A218" s="97" t="str">
        <f>'Data Vlaue (Cr)'!C213</f>
        <v>VBL</v>
      </c>
      <c r="B218" s="140">
        <f>VLOOKUP($A218,'Data shares'!$C:$FB,7)</f>
        <v>473.9</v>
      </c>
      <c r="C218" s="140">
        <f>VLOOKUP($A218,'Data shares'!$C:$FB,3)</f>
        <v>473.65</v>
      </c>
      <c r="D218" s="140">
        <f>VLOOKUP($A218,'Data shares'!$C:$FB,4)</f>
        <v>462.2</v>
      </c>
      <c r="E218" s="50">
        <f t="shared" ref="E218:E225" si="21">(C218-D218)/D218*100</f>
        <v>2.4772825616616161</v>
      </c>
      <c r="F218" s="49">
        <f>VLOOKUP($A218,'Data shares'!$C:$FB,98)</f>
        <v>74008125</v>
      </c>
      <c r="G218" s="49">
        <f>VLOOKUP($A218,'Data shares'!$C:$FB,99)</f>
        <v>72825750</v>
      </c>
      <c r="H218" s="50">
        <f t="shared" ref="H218:H225" si="22">(F218-G218)/G218*100</f>
        <v>1.623567213519943</v>
      </c>
      <c r="I218" s="49">
        <f>VLOOKUP($A218,'Data shares'!$C:$FB,66)</f>
        <v>65037375</v>
      </c>
      <c r="J218" s="49">
        <f>VLOOKUP($A218,'Data shares'!$C:$FB,67)</f>
        <v>58084875</v>
      </c>
      <c r="K218" s="50">
        <f t="shared" ref="K218:K225" si="23">(I218-J218)/I218*100</f>
        <v>10.690007092075902</v>
      </c>
      <c r="L218" s="50">
        <f>VLOOKUP($A218,'Data shares'!$C:$FB,118)</f>
        <v>0.62</v>
      </c>
      <c r="M218" s="50">
        <f>VLOOKUP($A218,'Data shares'!$C:$FB,119)</f>
        <v>0.6</v>
      </c>
      <c r="N218" s="50">
        <f>VLOOKUP($A218,'Data shares'!$C:$FB,121)*100</f>
        <v>3.3300000000000005</v>
      </c>
      <c r="O218" s="50">
        <f>VLOOKUP($A218,'Data shares'!$C:$FB,124)</f>
        <v>0.45</v>
      </c>
      <c r="P218" s="50">
        <f>VLOOKUP($A218,'Data shares'!$C:$FB,125)</f>
        <v>0.49</v>
      </c>
      <c r="Q218" s="50">
        <f>VLOOKUP($A218,'Data shares'!$C:$FB,127)*100</f>
        <v>-8.16</v>
      </c>
    </row>
    <row r="219" spans="1:17" x14ac:dyDescent="0.25">
      <c r="A219" s="97" t="str">
        <f>'Data Vlaue (Cr)'!C214</f>
        <v>VEDL</v>
      </c>
      <c r="B219" s="140">
        <f>VLOOKUP($A219,'Data shares'!$C:$FB,7)</f>
        <v>787.5</v>
      </c>
      <c r="C219" s="140">
        <f>VLOOKUP($A219,'Data shares'!$C:$FB,3)</f>
        <v>788.75</v>
      </c>
      <c r="D219" s="140">
        <f>VLOOKUP($A219,'Data shares'!$C:$FB,4)</f>
        <v>784.35</v>
      </c>
      <c r="E219" s="50">
        <f t="shared" si="21"/>
        <v>0.56097405494995567</v>
      </c>
      <c r="F219" s="49">
        <f>VLOOKUP($A219,'Data shares'!$C:$FB,98)</f>
        <v>113772950</v>
      </c>
      <c r="G219" s="49">
        <f>VLOOKUP($A219,'Data shares'!$C:$FB,99)</f>
        <v>109325900</v>
      </c>
      <c r="H219" s="50">
        <f t="shared" si="22"/>
        <v>4.0677003345044493</v>
      </c>
      <c r="I219" s="49">
        <f>VLOOKUP($A219,'Data shares'!$C:$FB,66)</f>
        <v>90294550</v>
      </c>
      <c r="J219" s="49">
        <f>VLOOKUP($A219,'Data shares'!$C:$FB,67)</f>
        <v>114205350</v>
      </c>
      <c r="K219" s="50">
        <f t="shared" si="23"/>
        <v>-26.480889488900495</v>
      </c>
      <c r="L219" s="50">
        <f>VLOOKUP($A219,'Data shares'!$C:$FB,118)</f>
        <v>0.98</v>
      </c>
      <c r="M219" s="50">
        <f>VLOOKUP($A219,'Data shares'!$C:$FB,119)</f>
        <v>1</v>
      </c>
      <c r="N219" s="50">
        <f>VLOOKUP($A219,'Data shares'!$C:$FB,121)*100</f>
        <v>-2</v>
      </c>
      <c r="O219" s="50">
        <f>VLOOKUP($A219,'Data shares'!$C:$FB,124)</f>
        <v>0.7</v>
      </c>
      <c r="P219" s="50">
        <f>VLOOKUP($A219,'Data shares'!$C:$FB,125)</f>
        <v>0.63</v>
      </c>
      <c r="Q219" s="50">
        <f>VLOOKUP($A219,'Data shares'!$C:$FB,127)*100</f>
        <v>11.110000000000001</v>
      </c>
    </row>
    <row r="220" spans="1:17" x14ac:dyDescent="0.25">
      <c r="A220" s="97" t="str">
        <f>'Data Vlaue (Cr)'!C215</f>
        <v>VMM</v>
      </c>
      <c r="B220" s="140">
        <f>VLOOKUP($A220,'Data shares'!$C:$FB,7)</f>
        <v>118.95</v>
      </c>
      <c r="C220" s="140">
        <f>VLOOKUP($A220,'Data shares'!$C:$FB,3)</f>
        <v>118.85</v>
      </c>
      <c r="D220" s="140">
        <f>VLOOKUP($A220,'Data shares'!$C:$FB,4)</f>
        <v>117.97</v>
      </c>
      <c r="E220" s="50">
        <f t="shared" si="21"/>
        <v>0.74595236076968341</v>
      </c>
      <c r="F220" s="49">
        <f>VLOOKUP($A220,'Data shares'!$C:$FB,98)</f>
        <v>38121000</v>
      </c>
      <c r="G220" s="49">
        <f>VLOOKUP($A220,'Data shares'!$C:$FB,99)</f>
        <v>32621100</v>
      </c>
      <c r="H220" s="50">
        <f t="shared" si="22"/>
        <v>16.859946476360392</v>
      </c>
      <c r="I220" s="49">
        <f>VLOOKUP($A220,'Data shares'!$C:$FB,66)</f>
        <v>27853550</v>
      </c>
      <c r="J220" s="49">
        <f>VLOOKUP($A220,'Data shares'!$C:$FB,67)</f>
        <v>7672700</v>
      </c>
      <c r="K220" s="50">
        <f t="shared" si="23"/>
        <v>72.453421556677696</v>
      </c>
      <c r="L220" s="50">
        <f>VLOOKUP($A220,'Data shares'!$C:$FB,118)</f>
        <v>0.61</v>
      </c>
      <c r="M220" s="50">
        <f>VLOOKUP($A220,'Data shares'!$C:$FB,119)</f>
        <v>0.7</v>
      </c>
      <c r="N220" s="50">
        <f>VLOOKUP($A220,'Data shares'!$C:$FB,121)*100</f>
        <v>-12.86</v>
      </c>
      <c r="O220" s="50">
        <f>VLOOKUP($A220,'Data shares'!$C:$FB,124)</f>
        <v>0.17</v>
      </c>
      <c r="P220" s="50">
        <f>VLOOKUP($A220,'Data shares'!$C:$FB,125)</f>
        <v>0.48</v>
      </c>
      <c r="Q220" s="50">
        <f>VLOOKUP($A220,'Data shares'!$C:$FB,127)*100</f>
        <v>-64.58</v>
      </c>
    </row>
    <row r="221" spans="1:17" x14ac:dyDescent="0.25">
      <c r="A221" s="97" t="str">
        <f>'Data Vlaue (Cr)'!C216</f>
        <v>VOLTAS</v>
      </c>
      <c r="B221" s="140">
        <f>VLOOKUP($A221,'Data shares'!$C:$FB,7)</f>
        <v>1440.1</v>
      </c>
      <c r="C221" s="140">
        <f>VLOOKUP($A221,'Data shares'!$C:$FB,3)</f>
        <v>1441.5</v>
      </c>
      <c r="D221" s="140">
        <f>VLOOKUP($A221,'Data shares'!$C:$FB,4)</f>
        <v>1408.8</v>
      </c>
      <c r="E221" s="50">
        <f t="shared" si="21"/>
        <v>2.3211243611584358</v>
      </c>
      <c r="F221" s="49">
        <f>VLOOKUP($A221,'Data shares'!$C:$FB,98)</f>
        <v>20668125</v>
      </c>
      <c r="G221" s="49">
        <f>VLOOKUP($A221,'Data shares'!$C:$FB,99)</f>
        <v>20713500</v>
      </c>
      <c r="H221" s="50">
        <f t="shared" si="22"/>
        <v>-0.21906003331160837</v>
      </c>
      <c r="I221" s="49">
        <f>VLOOKUP($A221,'Data shares'!$C:$FB,66)</f>
        <v>15021375</v>
      </c>
      <c r="J221" s="49">
        <f>VLOOKUP($A221,'Data shares'!$C:$FB,67)</f>
        <v>13250250</v>
      </c>
      <c r="K221" s="50">
        <f t="shared" si="23"/>
        <v>11.790698254986644</v>
      </c>
      <c r="L221" s="50">
        <f>VLOOKUP($A221,'Data shares'!$C:$FB,118)</f>
        <v>0.95</v>
      </c>
      <c r="M221" s="50">
        <f>VLOOKUP($A221,'Data shares'!$C:$FB,119)</f>
        <v>0.79</v>
      </c>
      <c r="N221" s="50">
        <f>VLOOKUP($A221,'Data shares'!$C:$FB,121)*100</f>
        <v>20.25</v>
      </c>
      <c r="O221" s="50">
        <f>VLOOKUP($A221,'Data shares'!$C:$FB,124)</f>
        <v>0.52</v>
      </c>
      <c r="P221" s="50">
        <f>VLOOKUP($A221,'Data shares'!$C:$FB,125)</f>
        <v>0.52</v>
      </c>
      <c r="Q221" s="50">
        <f>VLOOKUP($A221,'Data shares'!$C:$FB,127)*100</f>
        <v>0</v>
      </c>
    </row>
    <row r="222" spans="1:17" x14ac:dyDescent="0.25">
      <c r="A222" s="97" t="str">
        <f>'Data Vlaue (Cr)'!C217</f>
        <v>WAAREEENER</v>
      </c>
      <c r="B222" s="140">
        <f>VLOOKUP($A222,'Data shares'!$C:$FB,7)</f>
        <v>3466.2</v>
      </c>
      <c r="C222" s="140">
        <f>VLOOKUP($A222,'Data shares'!$C:$FB,3)</f>
        <v>3470.3</v>
      </c>
      <c r="D222" s="140">
        <f>VLOOKUP($A222,'Data shares'!$C:$FB,4)</f>
        <v>3450.9</v>
      </c>
      <c r="E222" s="50">
        <f t="shared" si="21"/>
        <v>0.56217218696572169</v>
      </c>
      <c r="F222" s="49">
        <f>VLOOKUP($A222,'Data shares'!$C:$FB,98)</f>
        <v>8510425</v>
      </c>
      <c r="G222" s="49">
        <f>VLOOKUP($A222,'Data shares'!$C:$FB,99)</f>
        <v>8657075</v>
      </c>
      <c r="H222" s="50">
        <f t="shared" si="22"/>
        <v>-1.6939901756655682</v>
      </c>
      <c r="I222" s="49">
        <f>VLOOKUP($A222,'Data shares'!$C:$FB,66)</f>
        <v>12404350</v>
      </c>
      <c r="J222" s="49">
        <f>VLOOKUP($A222,'Data shares'!$C:$FB,67)</f>
        <v>6341825</v>
      </c>
      <c r="K222" s="50">
        <f t="shared" si="23"/>
        <v>48.874185265652777</v>
      </c>
      <c r="L222" s="50">
        <f>VLOOKUP($A222,'Data shares'!$C:$FB,118)</f>
        <v>0.74</v>
      </c>
      <c r="M222" s="50">
        <f>VLOOKUP($A222,'Data shares'!$C:$FB,119)</f>
        <v>0.82</v>
      </c>
      <c r="N222" s="50">
        <f>VLOOKUP($A222,'Data shares'!$C:$FB,121)*100</f>
        <v>-9.76</v>
      </c>
      <c r="O222" s="50">
        <f>VLOOKUP($A222,'Data shares'!$C:$FB,124)</f>
        <v>0.49</v>
      </c>
      <c r="P222" s="50">
        <f>VLOOKUP($A222,'Data shares'!$C:$FB,125)</f>
        <v>0.72</v>
      </c>
      <c r="Q222" s="50">
        <f>VLOOKUP($A222,'Data shares'!$C:$FB,127)*100</f>
        <v>-31.94</v>
      </c>
    </row>
    <row r="223" spans="1:17" x14ac:dyDescent="0.25">
      <c r="A223" s="97" t="str">
        <f>'Data Vlaue (Cr)'!C218</f>
        <v>WIPRO</v>
      </c>
      <c r="B223" s="140">
        <f>VLOOKUP($A223,'Data shares'!$C:$FB,7)</f>
        <v>204.32</v>
      </c>
      <c r="C223" s="140">
        <f>VLOOKUP($A223,'Data shares'!$C:$FB,3)</f>
        <v>202.37</v>
      </c>
      <c r="D223" s="140">
        <f>VLOOKUP($A223,'Data shares'!$C:$FB,4)</f>
        <v>204.81</v>
      </c>
      <c r="E223" s="50">
        <f t="shared" si="21"/>
        <v>-1.1913480787070934</v>
      </c>
      <c r="F223" s="49">
        <f>VLOOKUP($A223,'Data shares'!$C:$FB,98)</f>
        <v>575652000</v>
      </c>
      <c r="G223" s="49">
        <f>VLOOKUP($A223,'Data shares'!$C:$FB,99)</f>
        <v>492342000</v>
      </c>
      <c r="H223" s="50">
        <f t="shared" si="22"/>
        <v>16.92116455634498</v>
      </c>
      <c r="I223" s="49">
        <f>VLOOKUP($A223,'Data shares'!$C:$FB,66)</f>
        <v>799029000</v>
      </c>
      <c r="J223" s="49">
        <f>VLOOKUP($A223,'Data shares'!$C:$FB,67)</f>
        <v>429738000</v>
      </c>
      <c r="K223" s="50">
        <f t="shared" si="23"/>
        <v>46.217471455979698</v>
      </c>
      <c r="L223" s="50">
        <f>VLOOKUP($A223,'Data shares'!$C:$FB,118)</f>
        <v>0.49</v>
      </c>
      <c r="M223" s="50">
        <f>VLOOKUP($A223,'Data shares'!$C:$FB,119)</f>
        <v>0.51</v>
      </c>
      <c r="N223" s="50">
        <f>VLOOKUP($A223,'Data shares'!$C:$FB,121)*100</f>
        <v>-3.92</v>
      </c>
      <c r="O223" s="50">
        <f>VLOOKUP($A223,'Data shares'!$C:$FB,124)</f>
        <v>0.52</v>
      </c>
      <c r="P223" s="50">
        <f>VLOOKUP($A223,'Data shares'!$C:$FB,125)</f>
        <v>0.44</v>
      </c>
      <c r="Q223" s="50">
        <f>VLOOKUP($A223,'Data shares'!$C:$FB,127)*100</f>
        <v>18.18</v>
      </c>
    </row>
    <row r="224" spans="1:17" x14ac:dyDescent="0.25">
      <c r="A224" s="97" t="str">
        <f>'Data Vlaue (Cr)'!C219</f>
        <v>YESBANK</v>
      </c>
      <c r="B224" s="140">
        <f>VLOOKUP($A224,'Data shares'!$C:$FB,7)</f>
        <v>20.190000000000001</v>
      </c>
      <c r="C224" s="140">
        <f>VLOOKUP($A224,'Data shares'!$C:$FB,3)</f>
        <v>20.260000000000002</v>
      </c>
      <c r="D224" s="140">
        <f>VLOOKUP($A224,'Data shares'!$C:$FB,4)</f>
        <v>20</v>
      </c>
      <c r="E224" s="50">
        <f t="shared" si="21"/>
        <v>1.3000000000000078</v>
      </c>
      <c r="F224" s="49">
        <f>VLOOKUP($A224,'Data shares'!$C:$FB,98)</f>
        <v>2058198000</v>
      </c>
      <c r="G224" s="49">
        <f>VLOOKUP($A224,'Data shares'!$C:$FB,99)</f>
        <v>1779666400</v>
      </c>
      <c r="H224" s="50">
        <f t="shared" si="22"/>
        <v>15.65077589822452</v>
      </c>
      <c r="I224" s="49">
        <f>VLOOKUP($A224,'Data shares'!$C:$FB,66)</f>
        <v>1804422000</v>
      </c>
      <c r="J224" s="49">
        <f>VLOOKUP($A224,'Data shares'!$C:$FB,67)</f>
        <v>1364263700</v>
      </c>
      <c r="K224" s="50">
        <f t="shared" si="23"/>
        <v>24.393312650810064</v>
      </c>
      <c r="L224" s="50">
        <f>VLOOKUP($A224,'Data shares'!$C:$FB,118)</f>
        <v>0.63</v>
      </c>
      <c r="M224" s="50">
        <f>VLOOKUP($A224,'Data shares'!$C:$FB,119)</f>
        <v>0.86</v>
      </c>
      <c r="N224" s="50">
        <f>VLOOKUP($A224,'Data shares'!$C:$FB,121)*100</f>
        <v>-26.740000000000002</v>
      </c>
      <c r="O224" s="50">
        <f>VLOOKUP($A224,'Data shares'!$C:$FB,124)</f>
        <v>0.21</v>
      </c>
      <c r="P224" s="50">
        <f>VLOOKUP($A224,'Data shares'!$C:$FB,125)</f>
        <v>0.34</v>
      </c>
      <c r="Q224" s="50">
        <f>VLOOKUP($A224,'Data shares'!$C:$FB,127)*100</f>
        <v>-38.24</v>
      </c>
    </row>
    <row r="225" spans="1:17" x14ac:dyDescent="0.25">
      <c r="A225" s="97" t="str">
        <f>'Data Vlaue (Cr)'!C220</f>
        <v>ZYDUSLIFE</v>
      </c>
      <c r="B225" s="140">
        <f>VLOOKUP($A225,'Data shares'!$C:$FB,7)</f>
        <v>943.95</v>
      </c>
      <c r="C225" s="140">
        <f>VLOOKUP($A225,'Data shares'!$C:$FB,3)</f>
        <v>946.25</v>
      </c>
      <c r="D225" s="140">
        <f>VLOOKUP($A225,'Data shares'!$C:$FB,4)</f>
        <v>939.15</v>
      </c>
      <c r="E225" s="50">
        <f t="shared" si="21"/>
        <v>0.75600276846084469</v>
      </c>
      <c r="F225" s="49">
        <f>VLOOKUP($A225,'Data shares'!$C:$FB,98)</f>
        <v>14497200</v>
      </c>
      <c r="G225" s="49">
        <f>VLOOKUP($A225,'Data shares'!$C:$FB,99)</f>
        <v>14757300</v>
      </c>
      <c r="H225" s="50">
        <f t="shared" si="22"/>
        <v>-1.7625175336951884</v>
      </c>
      <c r="I225" s="49">
        <f>VLOOKUP($A225,'Data shares'!$C:$FB,66)</f>
        <v>5775300</v>
      </c>
      <c r="J225" s="49">
        <f>VLOOKUP($A225,'Data shares'!$C:$FB,67)</f>
        <v>4833900</v>
      </c>
      <c r="K225" s="50">
        <f t="shared" si="23"/>
        <v>16.300451924575345</v>
      </c>
      <c r="L225" s="50">
        <f>VLOOKUP($A225,'Data shares'!$C:$FB,118)</f>
        <v>0.77</v>
      </c>
      <c r="M225" s="50">
        <f>VLOOKUP($A225,'Data shares'!$C:$FB,119)</f>
        <v>0.78</v>
      </c>
      <c r="N225" s="50">
        <f>VLOOKUP($A225,'Data shares'!$C:$FB,121)*100</f>
        <v>-1.28</v>
      </c>
      <c r="O225" s="50">
        <f>VLOOKUP($A225,'Data shares'!$C:$FB,124)</f>
        <v>0.36</v>
      </c>
      <c r="P225" s="50">
        <f>VLOOKUP($A225,'Data shares'!$C:$FB,125)</f>
        <v>0.3</v>
      </c>
      <c r="Q225" s="50">
        <f>VLOOKUP($A225,'Data shares'!$C:$FB,127)*100</f>
        <v>20</v>
      </c>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7"/>
      <c r="B230" s="140"/>
      <c r="C230" s="140"/>
      <c r="D230" s="140"/>
      <c r="E230" s="50"/>
      <c r="F230" s="49"/>
      <c r="G230" s="49"/>
      <c r="H230" s="50"/>
      <c r="I230" s="49"/>
      <c r="J230" s="49"/>
      <c r="K230" s="50"/>
      <c r="L230" s="50"/>
      <c r="M230" s="50"/>
      <c r="N230" s="50"/>
      <c r="O230" s="50"/>
      <c r="P230" s="50"/>
      <c r="Q230" s="50"/>
    </row>
    <row r="231" spans="1:17" x14ac:dyDescent="0.25">
      <c r="A231" s="97"/>
      <c r="B231" s="140"/>
      <c r="C231" s="140"/>
      <c r="D231" s="140"/>
      <c r="E231" s="50"/>
      <c r="F231" s="49"/>
      <c r="G231" s="49"/>
      <c r="H231" s="50"/>
      <c r="I231" s="49"/>
      <c r="J231" s="49"/>
      <c r="K231" s="50"/>
      <c r="L231" s="50"/>
      <c r="M231" s="50"/>
      <c r="N231" s="50"/>
      <c r="O231" s="50"/>
      <c r="P231" s="50"/>
      <c r="Q231" s="50"/>
    </row>
    <row r="232" spans="1:17" x14ac:dyDescent="0.25">
      <c r="A232" s="97"/>
      <c r="B232" s="140"/>
      <c r="C232" s="140"/>
      <c r="D232" s="140"/>
      <c r="E232" s="50"/>
      <c r="F232" s="49"/>
      <c r="G232" s="49"/>
      <c r="H232" s="50"/>
      <c r="I232" s="49"/>
      <c r="J232" s="49"/>
      <c r="K232" s="50"/>
      <c r="L232" s="50"/>
      <c r="M232" s="50"/>
      <c r="N232" s="50"/>
      <c r="O232" s="50"/>
      <c r="P232" s="50"/>
      <c r="Q232" s="50"/>
    </row>
    <row r="233" spans="1:17" x14ac:dyDescent="0.25">
      <c r="A233" s="97"/>
      <c r="B233" s="140"/>
      <c r="C233" s="140"/>
      <c r="D233" s="140"/>
      <c r="E233" s="50"/>
      <c r="F233" s="49"/>
      <c r="G233" s="49"/>
      <c r="H233" s="50"/>
      <c r="I233" s="49"/>
      <c r="J233" s="49"/>
      <c r="K233" s="50"/>
      <c r="L233" s="50"/>
      <c r="M233" s="50"/>
      <c r="N233" s="50"/>
      <c r="O233" s="50"/>
      <c r="P233" s="50"/>
      <c r="Q233" s="50"/>
    </row>
    <row r="234" spans="1:17" x14ac:dyDescent="0.25">
      <c r="A234" s="97"/>
      <c r="B234" s="140"/>
      <c r="C234" s="140"/>
      <c r="D234" s="140"/>
      <c r="E234" s="50"/>
      <c r="F234" s="49"/>
      <c r="G234" s="49"/>
      <c r="H234" s="50"/>
      <c r="I234" s="49"/>
      <c r="J234" s="49"/>
      <c r="K234" s="50"/>
      <c r="L234" s="50"/>
      <c r="M234" s="50"/>
      <c r="N234" s="50"/>
      <c r="O234" s="50"/>
      <c r="P234" s="50"/>
      <c r="Q234" s="50"/>
    </row>
    <row r="235" spans="1:17" x14ac:dyDescent="0.25">
      <c r="A235" s="98"/>
      <c r="B235" s="17"/>
      <c r="C235" s="17"/>
      <c r="D235" s="17"/>
      <c r="E235" s="17"/>
      <c r="F235" s="17"/>
      <c r="G235" s="17"/>
      <c r="H235" s="17"/>
      <c r="I235" s="17"/>
      <c r="J235" s="17"/>
      <c r="K235" s="17"/>
      <c r="L235" s="17"/>
      <c r="M235" s="17"/>
      <c r="N235" s="17"/>
      <c r="O235" s="17"/>
      <c r="P235" s="17"/>
      <c r="Q235" s="17"/>
    </row>
    <row r="236" spans="1:17" s="64" customFormat="1" x14ac:dyDescent="0.25">
      <c r="A236" s="264" t="s">
        <v>391</v>
      </c>
      <c r="B236" s="264"/>
      <c r="C236" s="264"/>
      <c r="D236" s="264"/>
      <c r="E236" s="264"/>
      <c r="F236" s="113">
        <f>SUM(F7:F221)</f>
        <v>24129942067</v>
      </c>
      <c r="G236" s="113">
        <f>SUM(G7:G223)</f>
        <v>24194113761</v>
      </c>
      <c r="H236" s="114">
        <f>(F236-G236)/G236*100</f>
        <v>-0.26523680360403346</v>
      </c>
      <c r="I236" s="113">
        <f>SUM(I7:I222)</f>
        <v>17058540718</v>
      </c>
      <c r="J236" s="113">
        <f>SUM(J7:J223)</f>
        <v>13677911510</v>
      </c>
      <c r="K236" s="114">
        <f>(I236-J236)/J236*100</f>
        <v>24.715975136470231</v>
      </c>
      <c r="L236" s="113"/>
      <c r="M236" s="113"/>
      <c r="N236" s="113"/>
      <c r="O236" s="113"/>
      <c r="P236" s="264"/>
      <c r="Q236" s="264"/>
    </row>
    <row r="237" spans="1:17" s="64" customFormat="1" x14ac:dyDescent="0.25">
      <c r="A237" s="264" t="s">
        <v>398</v>
      </c>
      <c r="B237" s="264"/>
      <c r="C237" s="264"/>
      <c r="D237" s="264"/>
      <c r="E237" s="264"/>
      <c r="F237" s="113">
        <f>F236/10000000</f>
        <v>2412.9942067000002</v>
      </c>
      <c r="G237" s="113">
        <f>G236/10000000</f>
        <v>2419.4113760999999</v>
      </c>
      <c r="H237" s="114">
        <f>(F237-G237)/G237*100</f>
        <v>-0.2652368036040208</v>
      </c>
      <c r="I237" s="113">
        <f>I236/10000000</f>
        <v>1705.8540717999999</v>
      </c>
      <c r="J237" s="113">
        <f>J236/10000000</f>
        <v>1367.7911509999999</v>
      </c>
      <c r="K237" s="114">
        <f>(I237-J237)/J237*100</f>
        <v>24.715975136470234</v>
      </c>
      <c r="L237" s="113"/>
      <c r="M237" s="113"/>
      <c r="N237" s="113"/>
      <c r="O237" s="113"/>
      <c r="P237" s="264"/>
      <c r="Q237" s="264"/>
    </row>
  </sheetData>
  <mergeCells count="15">
    <mergeCell ref="A237:E237"/>
    <mergeCell ref="P236:Q236"/>
    <mergeCell ref="P237:Q237"/>
    <mergeCell ref="A236:E236"/>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J11" sqref="J11"/>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(Value)'!H155</f>
        <v>1264392</v>
      </c>
      <c r="C3" s="159">
        <f>'OI(Volume)'!G151</f>
        <v>-1.14E-2</v>
      </c>
      <c r="D3" s="153">
        <f>'Snapshot (Value)'!P151</f>
        <v>0.43</v>
      </c>
      <c r="E3" s="153">
        <f>'Snapshot (Value)'!R151</f>
        <v>0.43</v>
      </c>
      <c r="F3" s="153">
        <f>IV!E151</f>
        <v>17.7</v>
      </c>
      <c r="G3" s="153">
        <f>IV!B151</f>
        <v>18.309999999999999</v>
      </c>
      <c r="H3" s="153">
        <f>'Snapshot (Value)'!C155</f>
        <v>24353.55</v>
      </c>
      <c r="I3" s="153">
        <f>'Snapshot (Value)'!D155</f>
        <v>24368</v>
      </c>
      <c r="J3" s="153">
        <f>'Snapshot (Value)'!E155</f>
        <v>24195.8</v>
      </c>
      <c r="K3" s="153">
        <f>(I3-H3)</f>
        <v>14.450000000000728</v>
      </c>
      <c r="L3" s="232">
        <f>'Data Vlaue (Cr)'!V146</f>
        <v>24653</v>
      </c>
    </row>
    <row r="4" spans="1:12" x14ac:dyDescent="0.25">
      <c r="A4" t="s">
        <v>464</v>
      </c>
      <c r="B4" s="154">
        <f>'Snapshot (Value)'!H38</f>
        <v>232980</v>
      </c>
      <c r="C4" s="159">
        <f>'OI(Volume)'!G34</f>
        <v>-1.3899999999999999E-2</v>
      </c>
      <c r="D4" s="153">
        <f>'Snapshot (Value)'!P38</f>
        <v>0.93</v>
      </c>
      <c r="E4" s="153">
        <f>'Snapshot (Value)'!R38</f>
        <v>0.88</v>
      </c>
      <c r="F4" s="153">
        <f>IV!E34</f>
        <v>21.37</v>
      </c>
      <c r="G4" s="153">
        <f>IV!B34</f>
        <v>21.74</v>
      </c>
      <c r="H4" s="153">
        <f>'Snapshot (Value)'!C38</f>
        <v>56565.7</v>
      </c>
      <c r="I4" s="153">
        <f>'Snapshot (Value)'!D38</f>
        <v>56666.8</v>
      </c>
      <c r="J4" s="153">
        <f>'Snapshot (Value)'!E38</f>
        <v>56209.2</v>
      </c>
      <c r="K4" s="153">
        <f>(I4-H4)</f>
        <v>101.10000000000582</v>
      </c>
      <c r="L4" s="232">
        <f>'Data Vlaue (Cr)'!V29</f>
        <v>57250</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559</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8" t="s">
        <v>393</v>
      </c>
      <c r="B1" s="330" t="s">
        <v>631</v>
      </c>
      <c r="C1" s="331"/>
      <c r="D1" s="332"/>
      <c r="E1" s="333" t="s">
        <v>632</v>
      </c>
      <c r="F1" s="334"/>
      <c r="G1" s="335"/>
      <c r="H1" s="336" t="s">
        <v>633</v>
      </c>
      <c r="I1" s="337"/>
      <c r="J1" s="338"/>
      <c r="K1" s="339" t="s">
        <v>634</v>
      </c>
      <c r="L1" s="340"/>
      <c r="M1" s="341"/>
    </row>
    <row r="2" spans="1:13" ht="26.25" thickBot="1" x14ac:dyDescent="0.25">
      <c r="A2" s="329"/>
      <c r="B2" s="201" t="s">
        <v>635</v>
      </c>
      <c r="C2" s="201" t="s">
        <v>636</v>
      </c>
      <c r="D2" s="201" t="s">
        <v>369</v>
      </c>
      <c r="E2" s="202" t="s">
        <v>635</v>
      </c>
      <c r="F2" s="202" t="s">
        <v>636</v>
      </c>
      <c r="G2" s="202" t="s">
        <v>369</v>
      </c>
      <c r="H2" s="203" t="s">
        <v>635</v>
      </c>
      <c r="I2" s="203" t="s">
        <v>636</v>
      </c>
      <c r="J2" s="203" t="s">
        <v>369</v>
      </c>
      <c r="K2" s="204" t="s">
        <v>635</v>
      </c>
      <c r="L2" s="204" t="s">
        <v>636</v>
      </c>
      <c r="M2" s="204" t="s">
        <v>369</v>
      </c>
    </row>
    <row r="3" spans="1:13" x14ac:dyDescent="0.2">
      <c r="A3" s="205" t="s">
        <v>637</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638</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639</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8" t="s">
        <v>640</v>
      </c>
      <c r="B6" s="330" t="s">
        <v>631</v>
      </c>
      <c r="C6" s="331"/>
      <c r="D6" s="332"/>
      <c r="E6" s="333" t="s">
        <v>632</v>
      </c>
      <c r="F6" s="334"/>
      <c r="G6" s="335"/>
      <c r="H6" s="336" t="s">
        <v>633</v>
      </c>
      <c r="I6" s="337"/>
      <c r="J6" s="338"/>
      <c r="K6" s="339" t="s">
        <v>634</v>
      </c>
      <c r="L6" s="340"/>
      <c r="M6" s="341"/>
    </row>
    <row r="7" spans="1:13" ht="26.25" thickBot="1" x14ac:dyDescent="0.25">
      <c r="A7" s="329"/>
      <c r="B7" s="201" t="s">
        <v>635</v>
      </c>
      <c r="C7" s="201" t="s">
        <v>636</v>
      </c>
      <c r="D7" s="201" t="s">
        <v>369</v>
      </c>
      <c r="E7" s="202" t="s">
        <v>635</v>
      </c>
      <c r="F7" s="202" t="s">
        <v>636</v>
      </c>
      <c r="G7" s="202" t="s">
        <v>369</v>
      </c>
      <c r="H7" s="203" t="s">
        <v>635</v>
      </c>
      <c r="I7" s="203" t="s">
        <v>636</v>
      </c>
      <c r="J7" s="203" t="s">
        <v>369</v>
      </c>
      <c r="K7" s="204" t="s">
        <v>635</v>
      </c>
      <c r="L7" s="204" t="s">
        <v>636</v>
      </c>
      <c r="M7" s="204" t="s">
        <v>369</v>
      </c>
    </row>
    <row r="8" spans="1:13" x14ac:dyDescent="0.2">
      <c r="A8" s="205" t="s">
        <v>637</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638</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639</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8" t="s">
        <v>641</v>
      </c>
      <c r="B11" s="330" t="s">
        <v>631</v>
      </c>
      <c r="C11" s="331"/>
      <c r="D11" s="332"/>
      <c r="E11" s="333" t="s">
        <v>632</v>
      </c>
      <c r="F11" s="334"/>
      <c r="G11" s="335"/>
      <c r="H11" s="336" t="s">
        <v>633</v>
      </c>
      <c r="I11" s="337"/>
      <c r="J11" s="338"/>
      <c r="K11" s="339" t="s">
        <v>634</v>
      </c>
      <c r="L11" s="340"/>
      <c r="M11" s="341"/>
    </row>
    <row r="12" spans="1:13" ht="26.25" thickBot="1" x14ac:dyDescent="0.25">
      <c r="A12" s="329"/>
      <c r="B12" s="201" t="s">
        <v>635</v>
      </c>
      <c r="C12" s="201" t="s">
        <v>636</v>
      </c>
      <c r="D12" s="201" t="s">
        <v>369</v>
      </c>
      <c r="E12" s="202" t="s">
        <v>635</v>
      </c>
      <c r="F12" s="202" t="s">
        <v>636</v>
      </c>
      <c r="G12" s="202" t="s">
        <v>369</v>
      </c>
      <c r="H12" s="203" t="s">
        <v>635</v>
      </c>
      <c r="I12" s="203" t="s">
        <v>636</v>
      </c>
      <c r="J12" s="203" t="s">
        <v>369</v>
      </c>
      <c r="K12" s="204" t="s">
        <v>635</v>
      </c>
      <c r="L12" s="204" t="s">
        <v>636</v>
      </c>
      <c r="M12" s="204" t="s">
        <v>369</v>
      </c>
    </row>
    <row r="13" spans="1:13" x14ac:dyDescent="0.2">
      <c r="A13" s="205" t="s">
        <v>637</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638</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639</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8" t="s">
        <v>395</v>
      </c>
      <c r="B16" s="330" t="s">
        <v>631</v>
      </c>
      <c r="C16" s="331"/>
      <c r="D16" s="332"/>
      <c r="E16" s="333" t="s">
        <v>632</v>
      </c>
      <c r="F16" s="334"/>
      <c r="G16" s="335"/>
      <c r="H16" s="336" t="s">
        <v>633</v>
      </c>
      <c r="I16" s="337"/>
      <c r="J16" s="338"/>
      <c r="K16" s="339" t="s">
        <v>634</v>
      </c>
      <c r="L16" s="340"/>
      <c r="M16" s="341"/>
    </row>
    <row r="17" spans="1:13" ht="26.25" thickBot="1" x14ac:dyDescent="0.25">
      <c r="A17" s="329"/>
      <c r="B17" s="201" t="s">
        <v>635</v>
      </c>
      <c r="C17" s="201" t="s">
        <v>636</v>
      </c>
      <c r="D17" s="201" t="s">
        <v>369</v>
      </c>
      <c r="E17" s="202" t="s">
        <v>635</v>
      </c>
      <c r="F17" s="202" t="s">
        <v>636</v>
      </c>
      <c r="G17" s="202" t="s">
        <v>369</v>
      </c>
      <c r="H17" s="203" t="s">
        <v>635</v>
      </c>
      <c r="I17" s="203" t="s">
        <v>636</v>
      </c>
      <c r="J17" s="203" t="s">
        <v>369</v>
      </c>
      <c r="K17" s="204" t="s">
        <v>635</v>
      </c>
      <c r="L17" s="204" t="s">
        <v>636</v>
      </c>
      <c r="M17" s="204" t="s">
        <v>369</v>
      </c>
    </row>
    <row r="18" spans="1:13" x14ac:dyDescent="0.2">
      <c r="A18" s="205" t="s">
        <v>637</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638</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639</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8" t="s">
        <v>642</v>
      </c>
      <c r="B21" s="330" t="s">
        <v>631</v>
      </c>
      <c r="C21" s="331"/>
      <c r="D21" s="332"/>
      <c r="E21" s="333" t="s">
        <v>632</v>
      </c>
      <c r="F21" s="334"/>
      <c r="G21" s="335"/>
      <c r="H21" s="336" t="s">
        <v>633</v>
      </c>
      <c r="I21" s="337"/>
      <c r="J21" s="338"/>
      <c r="K21" s="339" t="s">
        <v>634</v>
      </c>
      <c r="L21" s="340"/>
      <c r="M21" s="341"/>
    </row>
    <row r="22" spans="1:13" ht="26.25" thickBot="1" x14ac:dyDescent="0.25">
      <c r="A22" s="329"/>
      <c r="B22" s="201" t="s">
        <v>635</v>
      </c>
      <c r="C22" s="201" t="s">
        <v>636</v>
      </c>
      <c r="D22" s="201" t="s">
        <v>369</v>
      </c>
      <c r="E22" s="202" t="s">
        <v>635</v>
      </c>
      <c r="F22" s="202" t="s">
        <v>636</v>
      </c>
      <c r="G22" s="202" t="s">
        <v>369</v>
      </c>
      <c r="H22" s="203" t="s">
        <v>635</v>
      </c>
      <c r="I22" s="203" t="s">
        <v>636</v>
      </c>
      <c r="J22" s="203" t="s">
        <v>369</v>
      </c>
      <c r="K22" s="204" t="s">
        <v>635</v>
      </c>
      <c r="L22" s="204" t="s">
        <v>636</v>
      </c>
      <c r="M22" s="204" t="s">
        <v>369</v>
      </c>
    </row>
    <row r="23" spans="1:13" x14ac:dyDescent="0.2">
      <c r="A23" s="205" t="s">
        <v>637</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638</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639</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8" t="s">
        <v>643</v>
      </c>
      <c r="B26" s="330" t="s">
        <v>631</v>
      </c>
      <c r="C26" s="331"/>
      <c r="D26" s="332"/>
      <c r="E26" s="333" t="s">
        <v>632</v>
      </c>
      <c r="F26" s="334"/>
      <c r="G26" s="335"/>
      <c r="H26" s="336" t="s">
        <v>633</v>
      </c>
      <c r="I26" s="337"/>
      <c r="J26" s="338"/>
      <c r="K26" s="339" t="s">
        <v>634</v>
      </c>
      <c r="L26" s="340"/>
      <c r="M26" s="341"/>
    </row>
    <row r="27" spans="1:13" ht="26.25" thickBot="1" x14ac:dyDescent="0.25">
      <c r="A27" s="329"/>
      <c r="B27" s="201" t="s">
        <v>635</v>
      </c>
      <c r="C27" s="201" t="s">
        <v>636</v>
      </c>
      <c r="D27" s="201" t="s">
        <v>369</v>
      </c>
      <c r="E27" s="202" t="s">
        <v>635</v>
      </c>
      <c r="F27" s="202" t="s">
        <v>636</v>
      </c>
      <c r="G27" s="202" t="s">
        <v>369</v>
      </c>
      <c r="H27" s="203" t="s">
        <v>635</v>
      </c>
      <c r="I27" s="203" t="s">
        <v>636</v>
      </c>
      <c r="J27" s="203" t="s">
        <v>369</v>
      </c>
      <c r="K27" s="204" t="s">
        <v>635</v>
      </c>
      <c r="L27" s="204" t="s">
        <v>636</v>
      </c>
      <c r="M27" s="204" t="s">
        <v>369</v>
      </c>
    </row>
    <row r="28" spans="1:13" x14ac:dyDescent="0.2">
      <c r="A28" s="205" t="s">
        <v>637</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638</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639</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646</v>
      </c>
      <c r="B1" s="216" t="s">
        <v>249</v>
      </c>
      <c r="C1" s="200"/>
      <c r="D1" s="200"/>
    </row>
    <row r="2" spans="1:4" x14ac:dyDescent="0.25">
      <c r="A2" s="217" t="s">
        <v>647</v>
      </c>
      <c r="B2" s="218">
        <f>VLOOKUP($B$1,'Snapshot (Value)'!$A:$S,2,0)</f>
        <v>175</v>
      </c>
      <c r="C2" s="200"/>
      <c r="D2" s="200"/>
    </row>
    <row r="3" spans="1:4" x14ac:dyDescent="0.25">
      <c r="A3" s="217" t="s">
        <v>312</v>
      </c>
      <c r="B3" s="219">
        <f>VLOOKUP($B$1,'Snapshot (Value)'!$A:$S,3,0)</f>
        <v>4096.1000000000004</v>
      </c>
      <c r="C3" s="200"/>
      <c r="D3" s="200"/>
    </row>
    <row r="4" spans="1:4" x14ac:dyDescent="0.25">
      <c r="A4" s="217" t="s">
        <v>320</v>
      </c>
      <c r="B4" s="220">
        <f>VLOOKUP($B$1,'Snapshot (Value)'!$A:$S,6,0)</f>
        <v>10.799999999999272</v>
      </c>
      <c r="C4" s="200"/>
      <c r="D4" s="200"/>
    </row>
    <row r="5" spans="1:4" x14ac:dyDescent="0.25">
      <c r="A5" s="221"/>
      <c r="B5" s="222" t="s">
        <v>648</v>
      </c>
      <c r="C5" s="222" t="s">
        <v>649</v>
      </c>
      <c r="D5" s="222" t="s">
        <v>650</v>
      </c>
    </row>
    <row r="6" spans="1:4" x14ac:dyDescent="0.25">
      <c r="A6" s="217" t="s">
        <v>651</v>
      </c>
      <c r="B6" s="219">
        <f>VLOOKUP($B$1,'Snapshot (Value)'!$A:$S,4,0)</f>
        <v>4106.8999999999996</v>
      </c>
      <c r="C6" s="219">
        <f>VLOOKUP($B$1,'Snapshot (Value)'!$A:$S,5,0)</f>
        <v>4118</v>
      </c>
      <c r="D6" s="219">
        <f>+(B6/C6-1)*100</f>
        <v>-0.26954832442934729</v>
      </c>
    </row>
    <row r="7" spans="1:4" x14ac:dyDescent="0.25">
      <c r="A7" s="217" t="s">
        <v>316</v>
      </c>
      <c r="B7" s="219">
        <f>VLOOKUP($B$1,'Snapshot (Volume)'!$A:$S,12,0)</f>
        <v>0.89</v>
      </c>
      <c r="C7" s="219">
        <f>VLOOKUP($B$1,'Snapshot (Volume)'!$A:$S,13,0)</f>
        <v>0.87</v>
      </c>
      <c r="D7" s="219">
        <f>+(B7/C7-1)*100</f>
        <v>2.2988505747126409</v>
      </c>
    </row>
    <row r="8" spans="1:4" x14ac:dyDescent="0.25">
      <c r="A8" s="217" t="s">
        <v>652</v>
      </c>
      <c r="B8" s="219">
        <f>VLOOKUP($B$1,'Snapshot (Volume)'!$A:$S,15,0)</f>
        <v>0.9</v>
      </c>
      <c r="C8" s="219">
        <f>VLOOKUP($B$1,'Snapshot (Volume)'!$A:$S,16,0)</f>
        <v>0.59</v>
      </c>
      <c r="D8" s="219">
        <f>+(B8/C8-1)*100</f>
        <v>52.542372881355945</v>
      </c>
    </row>
    <row r="9" spans="1:4" x14ac:dyDescent="0.25">
      <c r="A9" s="215" t="s">
        <v>653</v>
      </c>
      <c r="B9" s="222" t="s">
        <v>654</v>
      </c>
      <c r="C9" s="222" t="s">
        <v>369</v>
      </c>
      <c r="D9" s="222" t="s">
        <v>650</v>
      </c>
    </row>
    <row r="10" spans="1:4" x14ac:dyDescent="0.25">
      <c r="A10" s="217" t="s">
        <v>655</v>
      </c>
      <c r="B10" s="219">
        <f>VLOOKUP($B$1,'OI(Value)'!$A:$O,5,0)</f>
        <v>6096</v>
      </c>
      <c r="C10" s="219">
        <f>VLOOKUP($B$1,'OI(Value)'!$A:$O,6,0)</f>
        <v>-41</v>
      </c>
      <c r="D10" s="219">
        <f>VLOOKUP($B$1,'OI(Value)'!$A:$O,7,0)*100</f>
        <v>-0.67</v>
      </c>
    </row>
    <row r="11" spans="1:4" x14ac:dyDescent="0.25">
      <c r="A11" s="217" t="s">
        <v>656</v>
      </c>
      <c r="B11" s="219">
        <f>VLOOKUP($B$1,'OI(Value)'!$A:$O,8,0)</f>
        <v>3798</v>
      </c>
      <c r="C11" s="219">
        <f>VLOOKUP($B$1,'OI(Value)'!$A:$O,9,0)</f>
        <v>22</v>
      </c>
      <c r="D11" s="219">
        <f>VLOOKUP($B$1,'OI(Value)'!$A:$O,10,0)*100</f>
        <v>0.59</v>
      </c>
    </row>
    <row r="12" spans="1:4" x14ac:dyDescent="0.25">
      <c r="A12" s="217" t="s">
        <v>657</v>
      </c>
      <c r="B12" s="219">
        <f>VLOOKUP($B$1,'OI(Value)'!$A:$O,11,0)</f>
        <v>3376</v>
      </c>
      <c r="C12" s="219">
        <f>VLOOKUP($B$1,'OI(Value)'!$A:$O,12,0)</f>
        <v>89</v>
      </c>
      <c r="D12" s="219">
        <f>VLOOKUP($B$1,'OI(Value)'!$A:$O,13,0)*100</f>
        <v>2.69</v>
      </c>
    </row>
    <row r="13" spans="1:4" x14ac:dyDescent="0.25">
      <c r="A13" s="215" t="s">
        <v>658</v>
      </c>
      <c r="B13" s="223">
        <f>VLOOKUP($B$1,'OI(Value)'!$A:$O,2,0)</f>
        <v>13271</v>
      </c>
      <c r="C13" s="223">
        <f>VLOOKUP($B$1,'OI(Value)'!$A:$O,3,0)</f>
        <v>70</v>
      </c>
      <c r="D13" s="223">
        <f>VLOOKUP($B$1,'OI(Value)'!$A:$O,4,0)*100</f>
        <v>0.53</v>
      </c>
    </row>
    <row r="14" spans="1:4" x14ac:dyDescent="0.25">
      <c r="A14" s="215" t="s">
        <v>659</v>
      </c>
      <c r="B14" s="222" t="s">
        <v>660</v>
      </c>
      <c r="C14" s="222" t="s">
        <v>369</v>
      </c>
      <c r="D14" s="222" t="s">
        <v>650</v>
      </c>
    </row>
    <row r="15" spans="1:4" x14ac:dyDescent="0.25">
      <c r="A15" s="217" t="s">
        <v>655</v>
      </c>
      <c r="B15" s="219">
        <f>VLOOKUP($B$1,'OI(Volume)'!$A:$O,5,0)/10^5</f>
        <v>148.4385</v>
      </c>
      <c r="C15" s="219">
        <f>VLOOKUP($B$1,'OI(Volume)'!$A:$O,6,0)/10^5</f>
        <v>-1.0044999999999999</v>
      </c>
      <c r="D15" s="219">
        <f>(VLOOKUP($B$1,'OI(Volume)'!$A:$O,7,0))*100</f>
        <v>-0.67</v>
      </c>
    </row>
    <row r="16" spans="1:4" x14ac:dyDescent="0.25">
      <c r="A16" s="217" t="s">
        <v>656</v>
      </c>
      <c r="B16" s="219">
        <f>VLOOKUP($B$1,'OI(Volume)'!$A:$O,8,0)/10^5</f>
        <v>92.482249999999993</v>
      </c>
      <c r="C16" s="219">
        <f>VLOOKUP($B$1,'OI(Volume)'!$A:$O,9,0)/10^5</f>
        <v>0.54425000000000001</v>
      </c>
      <c r="D16" s="219">
        <f>(VLOOKUP($B$1,'OI(Volume)'!$A:$O,10,0))*100</f>
        <v>0.59</v>
      </c>
    </row>
    <row r="17" spans="1:4" x14ac:dyDescent="0.25">
      <c r="A17" s="217" t="s">
        <v>657</v>
      </c>
      <c r="B17" s="219">
        <f>VLOOKUP($B$1,'OI(Volume)'!$A:$O,11,0)/10^5</f>
        <v>82.211500000000001</v>
      </c>
      <c r="C17" s="219">
        <f>VLOOKUP($B$1,'OI(Volume)'!$A:$O,12,0)/10^5</f>
        <v>2.1560000000000001</v>
      </c>
      <c r="D17" s="219">
        <f>(VLOOKUP($B$1,'OI(Volume)'!$A:$O,13,0))*100</f>
        <v>2.69</v>
      </c>
    </row>
    <row r="18" spans="1:4" x14ac:dyDescent="0.25">
      <c r="A18" s="215" t="s">
        <v>661</v>
      </c>
      <c r="B18" s="223">
        <f>VLOOKUP($B$1,'OI(Volume)'!$A:$O,2,0)/10^5</f>
        <v>323.13225</v>
      </c>
      <c r="C18" s="223">
        <f>VLOOKUP($B$1,'OI(Volume)'!$A:$O,3,0)/10^5</f>
        <v>1.6957500000000001</v>
      </c>
      <c r="D18" s="223">
        <f>(VLOOKUP($B$1,'OI(Volume)'!$A:$O,4,0))*100</f>
        <v>0.53</v>
      </c>
    </row>
    <row r="20" spans="1:4" x14ac:dyDescent="0.25">
      <c r="A20" s="17" t="s">
        <v>417</v>
      </c>
      <c r="B20" s="224">
        <f>VLOOKUP($B$1,'Open Interest Position'!$A:$F,2,0)/10^5</f>
        <v>1360.99497</v>
      </c>
    </row>
    <row r="21" spans="1:4" x14ac:dyDescent="0.25">
      <c r="A21" s="17" t="s">
        <v>412</v>
      </c>
      <c r="B21" s="224">
        <f>VLOOKUP($B$1,'Open Interest Position'!$A:$F,3,0)/10^5</f>
        <v>315.88200000000001</v>
      </c>
    </row>
    <row r="22" spans="1:4" x14ac:dyDescent="0.25">
      <c r="A22" s="17" t="s">
        <v>418</v>
      </c>
      <c r="B22" s="224">
        <f>VLOOKUP($B$1,'Open Interest Position'!$A:$F,4,0)/10^5</f>
        <v>153.39111483697698</v>
      </c>
    </row>
    <row r="23" spans="1:4" x14ac:dyDescent="0.25">
      <c r="A23" s="17" t="s">
        <v>419</v>
      </c>
      <c r="B23" s="225">
        <f>VLOOKUP($B$1,'Open Interest Position'!$A:$F,6,0)</f>
        <v>0.23209637578601777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6" t="s">
        <v>329</v>
      </c>
      <c r="B3" s="267"/>
      <c r="C3" s="267"/>
      <c r="D3" s="267"/>
      <c r="E3" s="267"/>
      <c r="F3" s="267"/>
      <c r="G3" s="267"/>
      <c r="H3" s="267"/>
      <c r="I3" s="268"/>
      <c r="J3" s="268"/>
      <c r="K3" s="268"/>
      <c r="L3" s="268"/>
      <c r="M3" s="268"/>
      <c r="N3" s="268"/>
      <c r="O3" s="268"/>
      <c r="P3" s="269"/>
    </row>
    <row r="4" spans="1:36" x14ac:dyDescent="0.25">
      <c r="A4" s="270" t="s">
        <v>330</v>
      </c>
      <c r="B4" s="270"/>
      <c r="C4" s="77" t="s">
        <v>308</v>
      </c>
      <c r="D4" s="272" t="s">
        <v>326</v>
      </c>
      <c r="E4" s="272"/>
      <c r="F4" s="272"/>
      <c r="G4" s="272"/>
      <c r="H4" s="272" t="s">
        <v>457</v>
      </c>
      <c r="I4" s="272"/>
      <c r="J4" s="272"/>
      <c r="K4" s="270" t="s">
        <v>309</v>
      </c>
      <c r="L4" s="270"/>
      <c r="M4" s="270"/>
      <c r="N4" s="270" t="s">
        <v>331</v>
      </c>
      <c r="O4" s="270"/>
      <c r="P4" s="270"/>
    </row>
    <row r="5" spans="1:36" x14ac:dyDescent="0.25">
      <c r="A5" s="271"/>
      <c r="B5" s="271"/>
      <c r="C5" s="65" t="s">
        <v>312</v>
      </c>
      <c r="D5" s="273" t="s">
        <v>314</v>
      </c>
      <c r="E5" s="273"/>
      <c r="F5" s="273"/>
      <c r="G5" s="273"/>
      <c r="H5" s="273" t="s">
        <v>315</v>
      </c>
      <c r="I5" s="273"/>
      <c r="J5" s="273"/>
      <c r="K5" s="271" t="s">
        <v>314</v>
      </c>
      <c r="L5" s="271"/>
      <c r="M5" s="271"/>
      <c r="N5" s="271" t="s">
        <v>315</v>
      </c>
      <c r="O5" s="271"/>
      <c r="P5" s="271"/>
    </row>
    <row r="6" spans="1:36" x14ac:dyDescent="0.25">
      <c r="A6" s="78" t="s">
        <v>332</v>
      </c>
      <c r="B6" s="78" t="s">
        <v>318</v>
      </c>
      <c r="C6" s="65" t="s">
        <v>328</v>
      </c>
      <c r="D6" s="66">
        <f>'Snapshot (Volume)'!B6</f>
        <v>46129</v>
      </c>
      <c r="E6" s="66" t="s">
        <v>368</v>
      </c>
      <c r="F6" s="71" t="s">
        <v>333</v>
      </c>
      <c r="G6" s="71" t="s">
        <v>328</v>
      </c>
      <c r="H6" s="66">
        <f>D6</f>
        <v>46129</v>
      </c>
      <c r="I6" s="71" t="s">
        <v>322</v>
      </c>
      <c r="J6" s="71" t="s">
        <v>328</v>
      </c>
      <c r="K6" s="66">
        <f>D6</f>
        <v>46129</v>
      </c>
      <c r="L6" s="78" t="s">
        <v>333</v>
      </c>
      <c r="M6" s="78" t="s">
        <v>328</v>
      </c>
      <c r="N6" s="66">
        <f>D6</f>
        <v>46129</v>
      </c>
      <c r="O6" s="78" t="s">
        <v>322</v>
      </c>
      <c r="P6" s="78" t="s">
        <v>328</v>
      </c>
    </row>
    <row r="7" spans="1:36" x14ac:dyDescent="0.25">
      <c r="A7" s="79" t="str">
        <f>'Data shares'!B2</f>
        <v>Finance</v>
      </c>
      <c r="B7" s="79" t="str">
        <f>'Data shares'!C2</f>
        <v>360ONE</v>
      </c>
      <c r="C7" s="79">
        <f>VLOOKUP($B7,'Data shares'!$C:$FB,7)</f>
        <v>1113.3</v>
      </c>
      <c r="D7" s="165">
        <f>VLOOKUP($B7,'Data shares'!$C:$FB,98)</f>
        <v>9868000</v>
      </c>
      <c r="E7" s="165">
        <f>VLOOKUP(B7,'Snapshot (Volume)'!$A$7:$G$168,7,0)</f>
        <v>8999000</v>
      </c>
      <c r="F7" s="165">
        <f>D7-E7</f>
        <v>869000</v>
      </c>
      <c r="G7" s="166">
        <f>F7/E7</f>
        <v>9.656628514279364E-2</v>
      </c>
      <c r="H7" s="165">
        <f>VLOOKUP($B7,'Data shares'!$C:$FB,66)</f>
        <v>10467500</v>
      </c>
      <c r="I7" s="165">
        <f>VLOOKUP($B7,'Data shares'!$C:$FB,67)</f>
        <v>5524000</v>
      </c>
      <c r="J7" s="81">
        <f>(H7-I7)/I7*100</f>
        <v>89.491310644460526</v>
      </c>
      <c r="K7" s="81">
        <f>VLOOKUP($B7,'Data Vlaue (Cr)'!$C:$FB,99)</f>
        <v>1100</v>
      </c>
      <c r="L7" s="81">
        <f>VLOOKUP(B7,'OI(Value)'!$A$7:$C$232,3,0)</f>
        <v>97</v>
      </c>
      <c r="M7" s="81">
        <f t="shared" ref="M7:M36" si="0">L7/K7*100</f>
        <v>8.8181818181818183</v>
      </c>
      <c r="N7" s="81">
        <f>VLOOKUP($B7,'Data Vlaue (Cr)'!$C:$FB,67)</f>
        <v>1167</v>
      </c>
      <c r="O7" s="81">
        <f>VLOOKUP($B7,'Data Vlaue (Cr)'!$C:$FB,68)</f>
        <v>616</v>
      </c>
      <c r="P7" s="81">
        <f t="shared" ref="P7:P23" si="1">(N7-O7)/N7*100</f>
        <v>47.215081405312773</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7029.5</v>
      </c>
      <c r="D8" s="165">
        <f>VLOOKUP($B8,'Data shares'!$C:$FB,98)</f>
        <v>4534125</v>
      </c>
      <c r="E8" s="165">
        <f>VLOOKUP(B8,'Snapshot (Volume)'!$A$7:$G$168,7,0)</f>
        <v>4419125</v>
      </c>
      <c r="F8" s="165">
        <f t="shared" ref="F8:F23" si="2">D8-E8</f>
        <v>115000</v>
      </c>
      <c r="G8" s="166">
        <f t="shared" ref="G8:G23" si="3">F8/E8</f>
        <v>2.6023251209232597E-2</v>
      </c>
      <c r="H8" s="165">
        <f>VLOOKUP($B8,'Data shares'!$C:$FB,66)</f>
        <v>6812125</v>
      </c>
      <c r="I8" s="165">
        <f>VLOOKUP($B8,'Data shares'!$C:$FB,67)</f>
        <v>4500125</v>
      </c>
      <c r="J8" s="81">
        <f t="shared" ref="J8:J22" si="4">(H8-I8)/I8*100</f>
        <v>51.376350656926192</v>
      </c>
      <c r="K8" s="81">
        <f>VLOOKUP($B8,'Data Vlaue (Cr)'!$C:$FB,99)</f>
        <v>3191</v>
      </c>
      <c r="L8" s="81">
        <f>VLOOKUP(B8,'OI(Value)'!$A$7:$C$232,3,0)</f>
        <v>81</v>
      </c>
      <c r="M8" s="81">
        <f t="shared" si="0"/>
        <v>2.5383892196803508</v>
      </c>
      <c r="N8" s="81">
        <f>VLOOKUP($B8,'Data Vlaue (Cr)'!$C:$FB,67)</f>
        <v>4794</v>
      </c>
      <c r="O8" s="81">
        <f>VLOOKUP($B8,'Data Vlaue (Cr)'!$C:$FB,68)</f>
        <v>3167</v>
      </c>
      <c r="P8" s="81">
        <f t="shared" si="1"/>
        <v>33.938256153525245</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340.4</v>
      </c>
      <c r="D9" s="165">
        <f>VLOOKUP($B9,'Data shares'!$C:$FB,98)</f>
        <v>70075500</v>
      </c>
      <c r="E9" s="165">
        <f>VLOOKUP(B9,'Snapshot (Volume)'!$A$7:$G$168,7,0)</f>
        <v>64266100</v>
      </c>
      <c r="F9" s="165">
        <f t="shared" si="2"/>
        <v>5809400</v>
      </c>
      <c r="G9" s="166">
        <f t="shared" si="3"/>
        <v>9.0396025276156478E-2</v>
      </c>
      <c r="H9" s="165">
        <f>VLOOKUP($B9,'Data shares'!$C:$FB,66)</f>
        <v>72828300</v>
      </c>
      <c r="I9" s="165">
        <f>VLOOKUP($B9,'Data shares'!$C:$FB,67)</f>
        <v>33752800</v>
      </c>
      <c r="J9" s="81">
        <f t="shared" si="4"/>
        <v>115.769654665687</v>
      </c>
      <c r="K9" s="81">
        <f>VLOOKUP($B9,'Data Vlaue (Cr)'!$C:$FB,99)</f>
        <v>2388</v>
      </c>
      <c r="L9" s="81">
        <f>VLOOKUP(B9,'OI(Value)'!$A$7:$C$232,3,0)</f>
        <v>198</v>
      </c>
      <c r="M9" s="81">
        <f t="shared" si="0"/>
        <v>8.291457286432161</v>
      </c>
      <c r="N9" s="81">
        <f>VLOOKUP($B9,'Data Vlaue (Cr)'!$C:$FB,67)</f>
        <v>2482</v>
      </c>
      <c r="O9" s="81">
        <f>VLOOKUP($B9,'Data Vlaue (Cr)'!$C:$FB,68)</f>
        <v>1150</v>
      </c>
      <c r="P9" s="81">
        <f t="shared" si="1"/>
        <v>53.66639806607575</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1259.8</v>
      </c>
      <c r="D10" s="82">
        <f>VLOOKUP($B10,'Data shares'!$C:$FB,98)</f>
        <v>29965275</v>
      </c>
      <c r="E10" s="165">
        <f>VLOOKUP(B10,'Snapshot (Volume)'!$A$7:$G$168,7,0)</f>
        <v>27986175</v>
      </c>
      <c r="F10" s="165">
        <f t="shared" si="2"/>
        <v>1979100</v>
      </c>
      <c r="G10" s="166">
        <f t="shared" si="3"/>
        <v>7.0717059405224186E-2</v>
      </c>
      <c r="H10" s="165">
        <f>VLOOKUP($B10,'Data shares'!$C:$FB,66)</f>
        <v>26327700</v>
      </c>
      <c r="I10" s="165">
        <f>VLOOKUP($B10,'Data shares'!$C:$FB,67)</f>
        <v>20003625</v>
      </c>
      <c r="J10" s="81">
        <f t="shared" si="4"/>
        <v>31.614644845621733</v>
      </c>
      <c r="K10" s="5">
        <f>VLOOKUP($B10,'Data Vlaue (Cr)'!$C:$FB,99)</f>
        <v>3781</v>
      </c>
      <c r="L10" s="81">
        <f>VLOOKUP(B10,'OI(Value)'!$A$7:$C$232,3,0)</f>
        <v>250</v>
      </c>
      <c r="M10" s="33">
        <f t="shared" si="0"/>
        <v>6.6120074054482947</v>
      </c>
      <c r="N10" s="5">
        <f>VLOOKUP($B10,'Data Vlaue (Cr)'!$C:$FB,67)</f>
        <v>3322</v>
      </c>
      <c r="O10" s="5">
        <f>VLOOKUP($B10,'Data Vlaue (Cr)'!$C:$FB,68)</f>
        <v>2524</v>
      </c>
      <c r="P10" s="5">
        <f t="shared" si="1"/>
        <v>24.021673690547864</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2218.3000000000002</v>
      </c>
      <c r="D11" s="82">
        <f>VLOOKUP($B11,'Data shares'!$C:$FB,98)</f>
        <v>31390692</v>
      </c>
      <c r="E11" s="165">
        <f>VLOOKUP(B11,'Snapshot (Volume)'!$A$7:$G$168,7,0)</f>
        <v>30746736</v>
      </c>
      <c r="F11" s="165">
        <f t="shared" si="2"/>
        <v>643956</v>
      </c>
      <c r="G11" s="166">
        <f t="shared" si="3"/>
        <v>2.0943881652998875E-2</v>
      </c>
      <c r="H11" s="165">
        <f>VLOOKUP($B11,'Data shares'!$C:$FB,66)</f>
        <v>24423978</v>
      </c>
      <c r="I11" s="165">
        <f>VLOOKUP($B11,'Data shares'!$C:$FB,67)</f>
        <v>21239115</v>
      </c>
      <c r="J11" s="81">
        <f t="shared" si="4"/>
        <v>14.995271695642687</v>
      </c>
      <c r="K11" s="5">
        <f>VLOOKUP($B11,'Data Vlaue (Cr)'!$C:$FB,99)</f>
        <v>6984</v>
      </c>
      <c r="L11" s="81">
        <f>VLOOKUP(B11,'OI(Value)'!$A$7:$C$232,3,0)</f>
        <v>143</v>
      </c>
      <c r="M11" s="33">
        <f t="shared" si="0"/>
        <v>2.0475372279495989</v>
      </c>
      <c r="N11" s="5">
        <f>VLOOKUP($B11,'Data Vlaue (Cr)'!$C:$FB,67)</f>
        <v>5434</v>
      </c>
      <c r="O11" s="5">
        <f>VLOOKUP($B11,'Data Vlaue (Cr)'!$C:$FB,68)</f>
        <v>4725</v>
      </c>
      <c r="P11" s="5">
        <f t="shared" si="1"/>
        <v>13.047478836952523</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1127.3</v>
      </c>
      <c r="D12" s="82">
        <f>VLOOKUP($B12,'Data shares'!$C:$FB,98)</f>
        <v>36141600</v>
      </c>
      <c r="E12" s="165">
        <f>VLOOKUP(B12,'Snapshot (Volume)'!$A$7:$G$168,7,0)</f>
        <v>35676600</v>
      </c>
      <c r="F12" s="165">
        <f t="shared" si="2"/>
        <v>465000</v>
      </c>
      <c r="G12" s="166">
        <f t="shared" si="3"/>
        <v>1.303375321639394E-2</v>
      </c>
      <c r="H12" s="165">
        <f>VLOOKUP($B12,'Data shares'!$C:$FB,66)</f>
        <v>24160800</v>
      </c>
      <c r="I12" s="165">
        <f>VLOOKUP($B12,'Data shares'!$C:$FB,67)</f>
        <v>23554800</v>
      </c>
      <c r="J12" s="81">
        <f t="shared" si="4"/>
        <v>2.5727240307707984</v>
      </c>
      <c r="K12" s="5">
        <f>VLOOKUP($B12,'Data Vlaue (Cr)'!$C:$FB,99)</f>
        <v>4081</v>
      </c>
      <c r="L12" s="81">
        <f>VLOOKUP(B12,'OI(Value)'!$A$7:$C$232,3,0)</f>
        <v>53</v>
      </c>
      <c r="M12" s="33">
        <f t="shared" si="0"/>
        <v>1.2987012987012987</v>
      </c>
      <c r="N12" s="5">
        <f>VLOOKUP($B12,'Data Vlaue (Cr)'!$C:$FB,67)</f>
        <v>2728</v>
      </c>
      <c r="O12" s="5">
        <f>VLOOKUP($B12,'Data Vlaue (Cr)'!$C:$FB,68)</f>
        <v>2660</v>
      </c>
      <c r="P12" s="5">
        <f t="shared" si="1"/>
        <v>2.4926686217008798</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1573.4</v>
      </c>
      <c r="D13" s="82">
        <f>VLOOKUP($B13,'Data shares'!$C:$FB,98)</f>
        <v>37163525</v>
      </c>
      <c r="E13" s="165">
        <f>VLOOKUP(B13,'Snapshot (Volume)'!$A$7:$G$168,7,0)</f>
        <v>35401275</v>
      </c>
      <c r="F13" s="165">
        <f t="shared" si="2"/>
        <v>1762250</v>
      </c>
      <c r="G13" s="166">
        <f t="shared" si="3"/>
        <v>4.9779280548511315E-2</v>
      </c>
      <c r="H13" s="165">
        <f>VLOOKUP($B13,'Data shares'!$C:$FB,66)</f>
        <v>41377250</v>
      </c>
      <c r="I13" s="165">
        <f>VLOOKUP($B13,'Data shares'!$C:$FB,67)</f>
        <v>44639075</v>
      </c>
      <c r="J13" s="81">
        <f t="shared" si="4"/>
        <v>-7.3071070581099633</v>
      </c>
      <c r="K13" s="5">
        <f>VLOOKUP($B13,'Data Vlaue (Cr)'!$C:$FB,99)</f>
        <v>5847</v>
      </c>
      <c r="L13" s="81">
        <f>VLOOKUP(B13,'OI(Value)'!$A$7:$C$232,3,0)</f>
        <v>277</v>
      </c>
      <c r="M13" s="33">
        <f t="shared" si="0"/>
        <v>4.7374722079698994</v>
      </c>
      <c r="N13" s="5">
        <f>VLOOKUP($B13,'Data Vlaue (Cr)'!$C:$FB,67)</f>
        <v>6509</v>
      </c>
      <c r="O13" s="5">
        <f>VLOOKUP($B13,'Data Vlaue (Cr)'!$C:$FB,68)</f>
        <v>7023</v>
      </c>
      <c r="P13" s="5">
        <f t="shared" si="1"/>
        <v>-7.8967583346136117</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Power</v>
      </c>
      <c r="B14" s="79" t="str">
        <f>'Data shares'!C9</f>
        <v>ADANIPOWER</v>
      </c>
      <c r="C14" s="4">
        <f>VLOOKUP($B14,'Data shares'!$C:$FB,7)</f>
        <v>198.5</v>
      </c>
      <c r="D14" s="82">
        <f>VLOOKUP($B14,'Data shares'!$C:$FB,98)</f>
        <v>134811250</v>
      </c>
      <c r="E14" s="165">
        <f>VLOOKUP(B14,'Snapshot (Volume)'!$A$7:$G$168,7,0)</f>
        <v>116329950</v>
      </c>
      <c r="F14" s="165">
        <f t="shared" si="2"/>
        <v>18481300</v>
      </c>
      <c r="G14" s="166">
        <f t="shared" si="3"/>
        <v>0.15886966340138545</v>
      </c>
      <c r="H14" s="165">
        <f>VLOOKUP($B14,'Data shares'!$C:$FB,66)</f>
        <v>240729050</v>
      </c>
      <c r="I14" s="165">
        <f>VLOOKUP($B14,'Data shares'!$C:$FB,67)</f>
        <v>190585300</v>
      </c>
      <c r="J14" s="81">
        <f t="shared" si="4"/>
        <v>26.310397496554039</v>
      </c>
      <c r="K14" s="5">
        <f>VLOOKUP($B14,'Data Vlaue (Cr)'!$C:$FB,99)</f>
        <v>2686</v>
      </c>
      <c r="L14" s="81">
        <f>VLOOKUP(B14,'OI(Value)'!$A$7:$C$232,3,0)</f>
        <v>368</v>
      </c>
      <c r="M14" s="33">
        <f t="shared" si="0"/>
        <v>13.70067014147431</v>
      </c>
      <c r="N14" s="5">
        <f>VLOOKUP($B14,'Data Vlaue (Cr)'!$C:$FB,67)</f>
        <v>4796</v>
      </c>
      <c r="O14" s="5">
        <f>VLOOKUP($B14,'Data Vlaue (Cr)'!$C:$FB,68)</f>
        <v>3797</v>
      </c>
      <c r="P14" s="5">
        <f t="shared" si="1"/>
        <v>20.829858215179318</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Pharma</v>
      </c>
      <c r="B15" s="79" t="str">
        <f>'Data shares'!C10</f>
        <v>ALKEM</v>
      </c>
      <c r="C15" s="4">
        <f>VLOOKUP($B15,'Data shares'!$C:$FB,7)</f>
        <v>5582</v>
      </c>
      <c r="D15" s="82">
        <f>VLOOKUP($B15,'Data shares'!$C:$FB,98)</f>
        <v>1606750</v>
      </c>
      <c r="E15" s="165">
        <f>VLOOKUP(B15,'Snapshot (Volume)'!$A$7:$G$168,7,0)</f>
        <v>1557125</v>
      </c>
      <c r="F15" s="165">
        <f t="shared" si="2"/>
        <v>49625</v>
      </c>
      <c r="G15" s="166">
        <f t="shared" si="3"/>
        <v>3.1869631532471701E-2</v>
      </c>
      <c r="H15" s="165">
        <f>VLOOKUP($B15,'Data shares'!$C:$FB,66)</f>
        <v>479000</v>
      </c>
      <c r="I15" s="165">
        <f>VLOOKUP($B15,'Data shares'!$C:$FB,67)</f>
        <v>717125</v>
      </c>
      <c r="J15" s="81">
        <f t="shared" si="4"/>
        <v>-33.205508105281503</v>
      </c>
      <c r="K15" s="5">
        <f>VLOOKUP($B15,'Data Vlaue (Cr)'!$C:$FB,99)</f>
        <v>896</v>
      </c>
      <c r="L15" s="81">
        <f>VLOOKUP(B15,'OI(Value)'!$A$7:$C$232,3,0)</f>
        <v>28</v>
      </c>
      <c r="M15" s="33">
        <f t="shared" si="0"/>
        <v>3.125</v>
      </c>
      <c r="N15" s="5">
        <f>VLOOKUP($B15,'Data Vlaue (Cr)'!$C:$FB,67)</f>
        <v>267</v>
      </c>
      <c r="O15" s="5">
        <f>VLOOKUP($B15,'Data Vlaue (Cr)'!$C:$FB,68)</f>
        <v>400</v>
      </c>
      <c r="P15" s="5">
        <f t="shared" si="1"/>
        <v>-49.812734082397</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Capital_Goods</v>
      </c>
      <c r="B16" s="79" t="str">
        <f>'Data shares'!C11</f>
        <v>AMBER</v>
      </c>
      <c r="C16" s="4">
        <f>VLOOKUP($B16,'Data shares'!$C:$FB,7)</f>
        <v>7958.5</v>
      </c>
      <c r="D16" s="82">
        <f>VLOOKUP($B16,'Data shares'!$C:$FB,98)</f>
        <v>3063900</v>
      </c>
      <c r="E16" s="165">
        <f>VLOOKUP(B16,'Snapshot (Volume)'!$A$7:$G$168,7,0)</f>
        <v>3005000</v>
      </c>
      <c r="F16" s="165">
        <f t="shared" si="2"/>
        <v>58900</v>
      </c>
      <c r="G16" s="166">
        <f t="shared" si="3"/>
        <v>1.9600665557404327E-2</v>
      </c>
      <c r="H16" s="165">
        <f>VLOOKUP($B16,'Data shares'!$C:$FB,66)</f>
        <v>4127900</v>
      </c>
      <c r="I16" s="165">
        <f>VLOOKUP($B16,'Data shares'!$C:$FB,67)</f>
        <v>5948600</v>
      </c>
      <c r="J16" s="81">
        <f t="shared" si="4"/>
        <v>-30.607201694516355</v>
      </c>
      <c r="K16" s="5">
        <f>VLOOKUP($B16,'Data Vlaue (Cr)'!$C:$FB,99)</f>
        <v>2433</v>
      </c>
      <c r="L16" s="81">
        <f>VLOOKUP(B16,'OI(Value)'!$A$7:$C$232,3,0)</f>
        <v>47</v>
      </c>
      <c r="M16" s="33">
        <f t="shared" si="0"/>
        <v>1.9317714755445952</v>
      </c>
      <c r="N16" s="5">
        <f>VLOOKUP($B16,'Data Vlaue (Cr)'!$C:$FB,67)</f>
        <v>3278</v>
      </c>
      <c r="O16" s="5">
        <f>VLOOKUP($B16,'Data Vlaue (Cr)'!$C:$FB,68)</f>
        <v>4724</v>
      </c>
      <c r="P16" s="5">
        <f t="shared" si="1"/>
        <v>-44.112263575350823</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Cement</v>
      </c>
      <c r="B17" s="79" t="str">
        <f>'Data shares'!C12</f>
        <v>AMBUJACEM</v>
      </c>
      <c r="C17" s="4">
        <f>VLOOKUP($B17,'Data shares'!$C:$FB,7)</f>
        <v>459</v>
      </c>
      <c r="D17" s="82">
        <f>VLOOKUP($B17,'Data shares'!$C:$FB,98)</f>
        <v>80276700</v>
      </c>
      <c r="E17" s="165">
        <f>VLOOKUP(B17,'Snapshot (Volume)'!$A$7:$G$168,7,0)</f>
        <v>80506650</v>
      </c>
      <c r="F17" s="165">
        <f t="shared" si="2"/>
        <v>-229950</v>
      </c>
      <c r="G17" s="166">
        <f t="shared" si="3"/>
        <v>-2.856285785087319E-3</v>
      </c>
      <c r="H17" s="165">
        <f>VLOOKUP($B17,'Data shares'!$C:$FB,66)</f>
        <v>14400750</v>
      </c>
      <c r="I17" s="165">
        <f>VLOOKUP($B17,'Data shares'!$C:$FB,67)</f>
        <v>20598900</v>
      </c>
      <c r="J17" s="81">
        <f t="shared" si="4"/>
        <v>-30.089713528392291</v>
      </c>
      <c r="K17" s="5">
        <f>VLOOKUP($B17,'Data Vlaue (Cr)'!$C:$FB,99)</f>
        <v>3683</v>
      </c>
      <c r="L17" s="81">
        <f>VLOOKUP(B17,'OI(Value)'!$A$7:$C$232,3,0)</f>
        <v>-11</v>
      </c>
      <c r="M17" s="33">
        <f t="shared" si="0"/>
        <v>-0.29866956285636709</v>
      </c>
      <c r="N17" s="5">
        <f>VLOOKUP($B17,'Data Vlaue (Cr)'!$C:$FB,67)</f>
        <v>661</v>
      </c>
      <c r="O17" s="5">
        <f>VLOOKUP($B17,'Data Vlaue (Cr)'!$C:$FB,68)</f>
        <v>945</v>
      </c>
      <c r="P17" s="5">
        <f t="shared" si="1"/>
        <v>-42.965204236006052</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Finance</v>
      </c>
      <c r="B18" s="79" t="str">
        <f>'Data shares'!C13</f>
        <v>ANGELONE</v>
      </c>
      <c r="C18" s="4">
        <f>VLOOKUP($B18,'Data shares'!$C:$FB,7)</f>
        <v>322.47000000000003</v>
      </c>
      <c r="D18" s="82">
        <f>VLOOKUP($B18,'Data shares'!$C:$FB,98)</f>
        <v>104005000</v>
      </c>
      <c r="E18" s="165">
        <f>VLOOKUP(B18,'Snapshot (Volume)'!$A$7:$G$168,7,0)</f>
        <v>82192500</v>
      </c>
      <c r="F18" s="165">
        <f t="shared" si="2"/>
        <v>21812500</v>
      </c>
      <c r="G18" s="166">
        <f t="shared" si="3"/>
        <v>0.26538309456458925</v>
      </c>
      <c r="H18" s="165">
        <f>VLOOKUP($B18,'Data shares'!$C:$FB,66)</f>
        <v>688607500</v>
      </c>
      <c r="I18" s="165">
        <f>VLOOKUP($B18,'Data shares'!$C:$FB,67)</f>
        <v>139002500</v>
      </c>
      <c r="J18" s="81">
        <f t="shared" si="4"/>
        <v>395.39216920558982</v>
      </c>
      <c r="K18" s="5">
        <f>VLOOKUP($B18,'Data Vlaue (Cr)'!$C:$FB,99)</f>
        <v>3355</v>
      </c>
      <c r="L18" s="81">
        <f>VLOOKUP(B18,'OI(Value)'!$A$7:$C$232,3,0)</f>
        <v>704</v>
      </c>
      <c r="M18" s="33">
        <f t="shared" si="0"/>
        <v>20.983606557377048</v>
      </c>
      <c r="N18" s="5">
        <f>VLOOKUP($B18,'Data Vlaue (Cr)'!$C:$FB,67)</f>
        <v>22214</v>
      </c>
      <c r="O18" s="5">
        <f>VLOOKUP($B18,'Data Vlaue (Cr)'!$C:$FB,68)</f>
        <v>4484</v>
      </c>
      <c r="P18" s="5">
        <f t="shared" si="1"/>
        <v>79.814531376609338</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Metals</v>
      </c>
      <c r="B19" s="79" t="str">
        <f>'Data shares'!C14</f>
        <v>APLAPOLLO</v>
      </c>
      <c r="C19" s="4">
        <f>VLOOKUP($B19,'Data shares'!$C:$FB,7)</f>
        <v>2105.6999999999998</v>
      </c>
      <c r="D19" s="82">
        <f>VLOOKUP($B19,'Data shares'!$C:$FB,98)</f>
        <v>7244300</v>
      </c>
      <c r="E19" s="165">
        <f>VLOOKUP(B19,'Snapshot (Volume)'!$A$7:$G$168,7,0)</f>
        <v>7146650</v>
      </c>
      <c r="F19" s="165">
        <f t="shared" si="2"/>
        <v>97650</v>
      </c>
      <c r="G19" s="166">
        <f t="shared" si="3"/>
        <v>1.3663744551643077E-2</v>
      </c>
      <c r="H19" s="165">
        <f>VLOOKUP($B19,'Data shares'!$C:$FB,66)</f>
        <v>5713400</v>
      </c>
      <c r="I19" s="165">
        <f>VLOOKUP($B19,'Data shares'!$C:$FB,67)</f>
        <v>3523100</v>
      </c>
      <c r="J19" s="81">
        <f t="shared" si="4"/>
        <v>62.169680111265649</v>
      </c>
      <c r="K19" s="5">
        <f>VLOOKUP($B19,'Data Vlaue (Cr)'!$C:$FB,99)</f>
        <v>1526</v>
      </c>
      <c r="L19" s="81">
        <f>VLOOKUP(B19,'OI(Value)'!$A$7:$C$232,3,0)</f>
        <v>21</v>
      </c>
      <c r="M19" s="33">
        <f t="shared" si="0"/>
        <v>1.3761467889908259</v>
      </c>
      <c r="N19" s="5">
        <f>VLOOKUP($B19,'Data Vlaue (Cr)'!$C:$FB,67)</f>
        <v>1203</v>
      </c>
      <c r="O19" s="5">
        <f>VLOOKUP($B19,'Data Vlaue (Cr)'!$C:$FB,68)</f>
        <v>742</v>
      </c>
      <c r="P19" s="5">
        <f t="shared" si="1"/>
        <v>38.320864505403158</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Pharma</v>
      </c>
      <c r="B20" s="79" t="str">
        <f>'Data shares'!C15</f>
        <v>APOLLOHOSP</v>
      </c>
      <c r="C20" s="4">
        <f>VLOOKUP($B20,'Data shares'!$C:$FB,7)</f>
        <v>7699</v>
      </c>
      <c r="D20" s="82">
        <f>VLOOKUP($B20,'Data shares'!$C:$FB,98)</f>
        <v>4065750</v>
      </c>
      <c r="E20" s="165">
        <f>VLOOKUP(B20,'Snapshot (Volume)'!$A$7:$G$168,7,0)</f>
        <v>4045750</v>
      </c>
      <c r="F20" s="165">
        <f t="shared" si="2"/>
        <v>20000</v>
      </c>
      <c r="G20" s="166">
        <f t="shared" si="3"/>
        <v>4.9434591855650988E-3</v>
      </c>
      <c r="H20" s="165">
        <f>VLOOKUP($B20,'Data shares'!$C:$FB,66)</f>
        <v>4238875</v>
      </c>
      <c r="I20" s="165">
        <f>VLOOKUP($B20,'Data shares'!$C:$FB,67)</f>
        <v>3909750</v>
      </c>
      <c r="J20" s="81">
        <f t="shared" si="4"/>
        <v>8.418057420551186</v>
      </c>
      <c r="K20" s="5">
        <f>VLOOKUP($B20,'Data Vlaue (Cr)'!$C:$FB,99)</f>
        <v>3130</v>
      </c>
      <c r="L20" s="81">
        <f>VLOOKUP(B20,'OI(Value)'!$A$7:$C$232,3,0)</f>
        <v>15</v>
      </c>
      <c r="M20" s="33">
        <f t="shared" si="0"/>
        <v>0.47923322683706071</v>
      </c>
      <c r="N20" s="5">
        <f>VLOOKUP($B20,'Data Vlaue (Cr)'!$C:$FB,67)</f>
        <v>3263</v>
      </c>
      <c r="O20" s="5">
        <f>VLOOKUP($B20,'Data Vlaue (Cr)'!$C:$FB,68)</f>
        <v>3010</v>
      </c>
      <c r="P20" s="5">
        <f t="shared" si="1"/>
        <v>7.7536009806926138</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Automobile</v>
      </c>
      <c r="B21" s="79" t="str">
        <f>'Data shares'!C16</f>
        <v>ASHOKLEY</v>
      </c>
      <c r="C21" s="4">
        <f>VLOOKUP($B21,'Data shares'!$C:$FB,7)</f>
        <v>174.78</v>
      </c>
      <c r="D21" s="82">
        <f>VLOOKUP($B21,'Data shares'!$C:$FB,98)</f>
        <v>298470000</v>
      </c>
      <c r="E21" s="165">
        <f>VLOOKUP(B21,'Snapshot (Volume)'!$A$7:$G$168,7,0)</f>
        <v>293785000</v>
      </c>
      <c r="F21" s="165">
        <f t="shared" si="2"/>
        <v>4685000</v>
      </c>
      <c r="G21" s="166">
        <f t="shared" si="3"/>
        <v>1.594703609782664E-2</v>
      </c>
      <c r="H21" s="165">
        <f>VLOOKUP($B21,'Data shares'!$C:$FB,66)</f>
        <v>152315000</v>
      </c>
      <c r="I21" s="165">
        <f>VLOOKUP($B21,'Data shares'!$C:$FB,67)</f>
        <v>129295000</v>
      </c>
      <c r="J21" s="81">
        <f t="shared" si="4"/>
        <v>17.804246103870994</v>
      </c>
      <c r="K21" s="5">
        <f>VLOOKUP($B21,'Data Vlaue (Cr)'!$C:$FB,99)</f>
        <v>5222</v>
      </c>
      <c r="L21" s="81">
        <f>VLOOKUP(B21,'OI(Value)'!$A$7:$C$232,3,0)</f>
        <v>82</v>
      </c>
      <c r="M21" s="33">
        <f t="shared" si="0"/>
        <v>1.5702795863653771</v>
      </c>
      <c r="N21" s="5">
        <f>VLOOKUP($B21,'Data Vlaue (Cr)'!$C:$FB,67)</f>
        <v>2665</v>
      </c>
      <c r="O21" s="5">
        <f>VLOOKUP($B21,'Data Vlaue (Cr)'!$C:$FB,68)</f>
        <v>2262</v>
      </c>
      <c r="P21" s="5">
        <f t="shared" si="1"/>
        <v>15.121951219512194</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FMCG</v>
      </c>
      <c r="B22" s="79" t="str">
        <f>'Data shares'!C17</f>
        <v>ASIANPAINT</v>
      </c>
      <c r="C22" s="4">
        <f>VLOOKUP($B22,'Data shares'!$C:$FB,7)</f>
        <v>2464</v>
      </c>
      <c r="D22" s="82">
        <f>VLOOKUP($B22,'Data shares'!$C:$FB,98)</f>
        <v>24184500</v>
      </c>
      <c r="E22" s="165">
        <f>VLOOKUP(B22,'Snapshot (Volume)'!$A$7:$G$168,7,0)</f>
        <v>23750500</v>
      </c>
      <c r="F22" s="165">
        <f t="shared" si="2"/>
        <v>434000</v>
      </c>
      <c r="G22" s="166">
        <f t="shared" si="3"/>
        <v>1.827329950948401E-2</v>
      </c>
      <c r="H22" s="165">
        <f>VLOOKUP($B22,'Data shares'!$C:$FB,66)</f>
        <v>18909250</v>
      </c>
      <c r="I22" s="165">
        <f>VLOOKUP($B22,'Data shares'!$C:$FB,67)</f>
        <v>11771750</v>
      </c>
      <c r="J22" s="81">
        <f t="shared" si="4"/>
        <v>60.632446322764245</v>
      </c>
      <c r="K22" s="5">
        <f>VLOOKUP($B22,'Data Vlaue (Cr)'!$C:$FB,99)</f>
        <v>5960</v>
      </c>
      <c r="L22" s="81">
        <f>VLOOKUP(B22,'OI(Value)'!$A$7:$C$232,3,0)</f>
        <v>107</v>
      </c>
      <c r="M22" s="33">
        <f t="shared" si="0"/>
        <v>1.7953020134228188</v>
      </c>
      <c r="N22" s="5">
        <f>VLOOKUP($B22,'Data Vlaue (Cr)'!$C:$FB,67)</f>
        <v>4660</v>
      </c>
      <c r="O22" s="5">
        <f>VLOOKUP($B22,'Data Vlaue (Cr)'!$C:$FB,68)</f>
        <v>2901</v>
      </c>
      <c r="P22" s="5">
        <f t="shared" si="1"/>
        <v>37.746781115879827</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Capital_Goods</v>
      </c>
      <c r="B23" s="79" t="str">
        <f>'Data shares'!C18</f>
        <v>ASTRAL</v>
      </c>
      <c r="C23" s="4">
        <f>VLOOKUP($B23,'Data shares'!$C:$FB,7)</f>
        <v>1605</v>
      </c>
      <c r="D23" s="82">
        <f>VLOOKUP($B23,'Data shares'!$C:$FB,98)</f>
        <v>20852625</v>
      </c>
      <c r="E23" s="165">
        <f>VLOOKUP(B23,'Snapshot (Volume)'!$A$7:$G$168,7,0)</f>
        <v>20590400</v>
      </c>
      <c r="F23" s="165">
        <f t="shared" si="2"/>
        <v>262225</v>
      </c>
      <c r="G23" s="166">
        <f t="shared" si="3"/>
        <v>1.2735303830911492E-2</v>
      </c>
      <c r="H23" s="165">
        <f>VLOOKUP($B23,'Data shares'!$C:$FB,66)</f>
        <v>17834275</v>
      </c>
      <c r="I23" s="165">
        <f>VLOOKUP($B23,'Data shares'!$C:$FB,67)</f>
        <v>36042975</v>
      </c>
      <c r="J23" s="81">
        <f>(H23-I23)/I23*100</f>
        <v>-50.51941467095876</v>
      </c>
      <c r="K23" s="5">
        <f>VLOOKUP($B23,'Data Vlaue (Cr)'!$C:$FB,99)</f>
        <v>3221</v>
      </c>
      <c r="L23" s="81">
        <f>VLOOKUP(B23,'OI(Value)'!$A$7:$C$232,3,0)</f>
        <v>41</v>
      </c>
      <c r="M23" s="33">
        <f t="shared" si="0"/>
        <v>1.272896615957777</v>
      </c>
      <c r="N23" s="5">
        <f>VLOOKUP($B23,'Data Vlaue (Cr)'!$C:$FB,67)</f>
        <v>2755</v>
      </c>
      <c r="O23" s="5">
        <f>VLOOKUP($B23,'Data Vlaue (Cr)'!$C:$FB,68)</f>
        <v>5568</v>
      </c>
      <c r="P23" s="5">
        <f t="shared" si="1"/>
        <v>-102.10526315789474</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Banking</v>
      </c>
      <c r="B24" s="79" t="str">
        <f>'Data shares'!C19</f>
        <v>AUBANK</v>
      </c>
      <c r="C24" s="79">
        <f>VLOOKUP($B24,'Data shares'!$C:$FB,7)</f>
        <v>990.6</v>
      </c>
      <c r="D24" s="80">
        <f>VLOOKUP($B24,'Data shares'!$C:$FB,98)</f>
        <v>36954000</v>
      </c>
      <c r="E24" s="165">
        <f>VLOOKUP(B24,'Snapshot (Volume)'!$A$7:$G$168,7,0)</f>
        <v>37200000</v>
      </c>
      <c r="F24" s="165">
        <f t="shared" ref="F24:F36" si="5">D24-E24</f>
        <v>-246000</v>
      </c>
      <c r="G24" s="166">
        <f t="shared" ref="G24:G36" si="6">F24/E24</f>
        <v>-6.6129032258064515E-3</v>
      </c>
      <c r="H24" s="165">
        <f>VLOOKUP($B24,'Data shares'!$C:$FB,66)</f>
        <v>11682000</v>
      </c>
      <c r="I24" s="165">
        <f>VLOOKUP($B24,'Data shares'!$C:$FB,67)</f>
        <v>11947000</v>
      </c>
      <c r="J24" s="81">
        <f t="shared" ref="J24:J36" si="7">(H24-I24)/I24*100</f>
        <v>-2.2181300744956891</v>
      </c>
      <c r="K24" s="81">
        <f>VLOOKUP($B24,'Data Vlaue (Cr)'!$C:$FB,99)</f>
        <v>3670</v>
      </c>
      <c r="L24" s="81">
        <f>VLOOKUP(B24,'OI(Value)'!$A$7:$C$232,3,0)</f>
        <v>-24</v>
      </c>
      <c r="M24" s="81">
        <f t="shared" si="0"/>
        <v>-0.65395095367847411</v>
      </c>
      <c r="N24" s="81">
        <f>VLOOKUP($B24,'Data Vlaue (Cr)'!$C:$FB,67)</f>
        <v>1160</v>
      </c>
      <c r="O24" s="81">
        <f>VLOOKUP($B24,'Data Vlaue (Cr)'!$C:$FB,68)</f>
        <v>1187</v>
      </c>
      <c r="P24" s="81">
        <f t="shared" ref="P24:P36" si="8">(N24-O24)/N24*100</f>
        <v>-2.327586206896552</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Pharma</v>
      </c>
      <c r="B25" s="79" t="str">
        <f>'Data shares'!C20</f>
        <v>AUROPHARMA</v>
      </c>
      <c r="C25" s="4">
        <f>VLOOKUP($B25,'Data shares'!$C:$FB,7)</f>
        <v>1386</v>
      </c>
      <c r="D25" s="82">
        <f>VLOOKUP($B25,'Data shares'!$C:$FB,98)</f>
        <v>27563800</v>
      </c>
      <c r="E25" s="165">
        <f>VLOOKUP(B25,'Snapshot (Volume)'!$A$7:$G$168,7,0)</f>
        <v>27651250</v>
      </c>
      <c r="F25" s="165">
        <f t="shared" si="5"/>
        <v>-87450</v>
      </c>
      <c r="G25" s="166">
        <f t="shared" si="6"/>
        <v>-3.1626056688214819E-3</v>
      </c>
      <c r="H25" s="165">
        <f>VLOOKUP($B25,'Data shares'!$C:$FB,66)</f>
        <v>7662600</v>
      </c>
      <c r="I25" s="165">
        <f>VLOOKUP($B25,'Data shares'!$C:$FB,67)</f>
        <v>8284650</v>
      </c>
      <c r="J25" s="81">
        <f t="shared" si="7"/>
        <v>-7.5084644493128865</v>
      </c>
      <c r="K25" s="5">
        <f>VLOOKUP($B25,'Data Vlaue (Cr)'!$C:$FB,99)</f>
        <v>3828</v>
      </c>
      <c r="L25" s="81">
        <f>VLOOKUP(B25,'OI(Value)'!$A$7:$C$232,3,0)</f>
        <v>-12</v>
      </c>
      <c r="M25" s="33">
        <f t="shared" si="0"/>
        <v>-0.31347962382445138</v>
      </c>
      <c r="N25" s="5">
        <f>VLOOKUP($B25,'Data Vlaue (Cr)'!$C:$FB,67)</f>
        <v>1064</v>
      </c>
      <c r="O25" s="5">
        <f>VLOOKUP($B25,'Data Vlaue (Cr)'!$C:$FB,68)</f>
        <v>1150</v>
      </c>
      <c r="P25" s="5">
        <f t="shared" si="8"/>
        <v>-8.0827067669172923</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Banking</v>
      </c>
      <c r="B26" s="79" t="str">
        <f>'Data shares'!C21</f>
        <v>AXISBANK</v>
      </c>
      <c r="C26" s="4">
        <f>VLOOKUP($B26,'Data shares'!$C:$FB,7)</f>
        <v>1359.1</v>
      </c>
      <c r="D26" s="82">
        <f>VLOOKUP($B26,'Data shares'!$C:$FB,98)</f>
        <v>95240000</v>
      </c>
      <c r="E26" s="165">
        <f>VLOOKUP(B26,'Snapshot (Volume)'!$A$7:$G$168,7,0)</f>
        <v>94147500</v>
      </c>
      <c r="F26" s="165">
        <f t="shared" si="5"/>
        <v>1092500</v>
      </c>
      <c r="G26" s="166">
        <f t="shared" si="6"/>
        <v>1.1604131814440108E-2</v>
      </c>
      <c r="H26" s="165">
        <f>VLOOKUP($B26,'Data shares'!$C:$FB,66)</f>
        <v>34241250</v>
      </c>
      <c r="I26" s="165">
        <f>VLOOKUP($B26,'Data shares'!$C:$FB,67)</f>
        <v>38991250</v>
      </c>
      <c r="J26" s="81">
        <f t="shared" si="7"/>
        <v>-12.182220369954798</v>
      </c>
      <c r="K26" s="5">
        <f>VLOOKUP($B26,'Data Vlaue (Cr)'!$C:$FB,99)</f>
        <v>12984</v>
      </c>
      <c r="L26" s="81">
        <f>VLOOKUP(B26,'OI(Value)'!$A$7:$C$232,3,0)</f>
        <v>149</v>
      </c>
      <c r="M26" s="33">
        <f t="shared" si="0"/>
        <v>1.147566235366605</v>
      </c>
      <c r="N26" s="5">
        <f>VLOOKUP($B26,'Data Vlaue (Cr)'!$C:$FB,67)</f>
        <v>4668</v>
      </c>
      <c r="O26" s="5">
        <f>VLOOKUP($B26,'Data Vlaue (Cr)'!$C:$FB,68)</f>
        <v>5316</v>
      </c>
      <c r="P26" s="5">
        <f t="shared" si="8"/>
        <v>-13.881748071979436</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Automobile</v>
      </c>
      <c r="B27" s="79" t="str">
        <f>'Data shares'!C22</f>
        <v>BAJAJ-AUTO</v>
      </c>
      <c r="C27" s="4">
        <f>VLOOKUP($B27,'Data shares'!$C:$FB,7)</f>
        <v>9773.5</v>
      </c>
      <c r="D27" s="82">
        <f>VLOOKUP($B27,'Data shares'!$C:$FB,98)</f>
        <v>5486775</v>
      </c>
      <c r="E27" s="165">
        <f>VLOOKUP(B27,'Snapshot (Volume)'!$A$7:$G$168,7,0)</f>
        <v>5306850</v>
      </c>
      <c r="F27" s="165">
        <f t="shared" si="5"/>
        <v>179925</v>
      </c>
      <c r="G27" s="166">
        <f t="shared" si="6"/>
        <v>3.3904293507447919E-2</v>
      </c>
      <c r="H27" s="165">
        <f>VLOOKUP($B27,'Data shares'!$C:$FB,66)</f>
        <v>2426100</v>
      </c>
      <c r="I27" s="165">
        <f>VLOOKUP($B27,'Data shares'!$C:$FB,67)</f>
        <v>3010275</v>
      </c>
      <c r="J27" s="81">
        <f t="shared" si="7"/>
        <v>-19.40603433241149</v>
      </c>
      <c r="K27" s="5">
        <f>VLOOKUP($B27,'Data Vlaue (Cr)'!$C:$FB,99)</f>
        <v>5356</v>
      </c>
      <c r="L27" s="81">
        <f>VLOOKUP(B27,'OI(Value)'!$A$7:$C$232,3,0)</f>
        <v>176</v>
      </c>
      <c r="M27" s="33">
        <f t="shared" si="0"/>
        <v>3.286034353995519</v>
      </c>
      <c r="N27" s="5">
        <f>VLOOKUP($B27,'Data Vlaue (Cr)'!$C:$FB,67)</f>
        <v>2368</v>
      </c>
      <c r="O27" s="5">
        <f>VLOOKUP($B27,'Data Vlaue (Cr)'!$C:$FB,68)</f>
        <v>2938</v>
      </c>
      <c r="P27" s="5">
        <f t="shared" si="8"/>
        <v>-24.070945945945947</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BAJAJFINSV</v>
      </c>
      <c r="C28" s="4">
        <f>VLOOKUP($B28,'Data shares'!$C:$FB,7)</f>
        <v>1838.9</v>
      </c>
      <c r="D28" s="82">
        <f>VLOOKUP($B28,'Data shares'!$C:$FB,98)</f>
        <v>18279500</v>
      </c>
      <c r="E28" s="165">
        <f>VLOOKUP(B28,'Snapshot (Volume)'!$A$7:$G$168,7,0)</f>
        <v>18369500</v>
      </c>
      <c r="F28" s="165">
        <f t="shared" si="5"/>
        <v>-90000</v>
      </c>
      <c r="G28" s="166">
        <f t="shared" si="6"/>
        <v>-4.8994256784343614E-3</v>
      </c>
      <c r="H28" s="165">
        <f>VLOOKUP($B28,'Data shares'!$C:$FB,66)</f>
        <v>3670250</v>
      </c>
      <c r="I28" s="165">
        <f>VLOOKUP($B28,'Data shares'!$C:$FB,67)</f>
        <v>8345250</v>
      </c>
      <c r="J28" s="81">
        <f t="shared" si="7"/>
        <v>-56.019891555076242</v>
      </c>
      <c r="K28" s="5">
        <f>VLOOKUP($B28,'Data Vlaue (Cr)'!$C:$FB,99)</f>
        <v>3362</v>
      </c>
      <c r="L28" s="81">
        <f>VLOOKUP(B28,'OI(Value)'!$A$7:$C$232,3,0)</f>
        <v>-17</v>
      </c>
      <c r="M28" s="33">
        <f t="shared" si="0"/>
        <v>-0.50565139797739433</v>
      </c>
      <c r="N28" s="5">
        <f>VLOOKUP($B28,'Data Vlaue (Cr)'!$C:$FB,67)</f>
        <v>675</v>
      </c>
      <c r="O28" s="5">
        <f>VLOOKUP($B28,'Data Vlaue (Cr)'!$C:$FB,68)</f>
        <v>1535</v>
      </c>
      <c r="P28" s="5">
        <f t="shared" si="8"/>
        <v>-127.40740740740742</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BAJAJHLDNG</v>
      </c>
      <c r="C29" s="4">
        <f>VLOOKUP($B29,'Data shares'!$C:$FB,7)</f>
        <v>10355.5</v>
      </c>
      <c r="D29" s="82">
        <f>VLOOKUP($B29,'Data shares'!$C:$FB,98)</f>
        <v>426000</v>
      </c>
      <c r="E29" s="165">
        <f>VLOOKUP(B29,'Snapshot (Volume)'!$A$7:$G$168,7,0)</f>
        <v>434000</v>
      </c>
      <c r="F29" s="165">
        <f t="shared" si="5"/>
        <v>-8000</v>
      </c>
      <c r="G29" s="166">
        <f t="shared" si="6"/>
        <v>-1.8433179723502304E-2</v>
      </c>
      <c r="H29" s="165">
        <f>VLOOKUP($B29,'Data shares'!$C:$FB,66)</f>
        <v>252400</v>
      </c>
      <c r="I29" s="165">
        <f>VLOOKUP($B29,'Data shares'!$C:$FB,67)</f>
        <v>322900</v>
      </c>
      <c r="J29" s="81">
        <f t="shared" si="7"/>
        <v>-21.833384948900587</v>
      </c>
      <c r="K29" s="5">
        <f>VLOOKUP($B29,'Data Vlaue (Cr)'!$C:$FB,99)</f>
        <v>441</v>
      </c>
      <c r="L29" s="81">
        <f>VLOOKUP(B29,'OI(Value)'!$A$7:$C$232,3,0)</f>
        <v>-8</v>
      </c>
      <c r="M29" s="33">
        <f t="shared" si="0"/>
        <v>-1.8140589569160999</v>
      </c>
      <c r="N29" s="5">
        <f>VLOOKUP($B29,'Data Vlaue (Cr)'!$C:$FB,67)</f>
        <v>261</v>
      </c>
      <c r="O29" s="5">
        <f>VLOOKUP($B29,'Data Vlaue (Cr)'!$C:$FB,68)</f>
        <v>334</v>
      </c>
      <c r="P29" s="5">
        <f t="shared" si="8"/>
        <v>-27.969348659003828</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Finance</v>
      </c>
      <c r="B30" s="79" t="str">
        <f>'Data shares'!C25</f>
        <v>BAJFINANCE</v>
      </c>
      <c r="C30" s="4">
        <f>VLOOKUP($B30,'Data shares'!$C:$FB,7)</f>
        <v>908.25</v>
      </c>
      <c r="D30" s="82">
        <f>VLOOKUP($B30,'Data shares'!$C:$FB,98)</f>
        <v>109996500</v>
      </c>
      <c r="E30" s="165">
        <f>VLOOKUP(B30,'Snapshot (Volume)'!$A$7:$G$168,7,0)</f>
        <v>109245750</v>
      </c>
      <c r="F30" s="165">
        <f t="shared" si="5"/>
        <v>750750</v>
      </c>
      <c r="G30" s="166">
        <f t="shared" si="6"/>
        <v>6.8721208834210939E-3</v>
      </c>
      <c r="H30" s="165">
        <f>VLOOKUP($B30,'Data shares'!$C:$FB,66)</f>
        <v>27449250</v>
      </c>
      <c r="I30" s="165">
        <f>VLOOKUP($B30,'Data shares'!$C:$FB,67)</f>
        <v>56044500</v>
      </c>
      <c r="J30" s="81">
        <f t="shared" si="7"/>
        <v>-51.022401841393894</v>
      </c>
      <c r="K30" s="5">
        <f>VLOOKUP($B30,'Data Vlaue (Cr)'!$C:$FB,99)</f>
        <v>10020</v>
      </c>
      <c r="L30" s="81">
        <f>VLOOKUP(B30,'OI(Value)'!$A$7:$C$232,3,0)</f>
        <v>68</v>
      </c>
      <c r="M30" s="33">
        <f t="shared" si="0"/>
        <v>0.67864271457085823</v>
      </c>
      <c r="N30" s="5">
        <f>VLOOKUP($B30,'Data Vlaue (Cr)'!$C:$FB,67)</f>
        <v>2500</v>
      </c>
      <c r="O30" s="5">
        <f>VLOOKUP($B30,'Data Vlaue (Cr)'!$C:$FB,68)</f>
        <v>5105</v>
      </c>
      <c r="P30" s="5">
        <f t="shared" si="8"/>
        <v>-104.2</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BANDHANBNK</v>
      </c>
      <c r="C31" s="4">
        <f>VLOOKUP($B31,'Data shares'!$C:$FB,7)</f>
        <v>174.47</v>
      </c>
      <c r="D31" s="82">
        <f>VLOOKUP($B31,'Data shares'!$C:$FB,98)</f>
        <v>135511200</v>
      </c>
      <c r="E31" s="165">
        <f>VLOOKUP(B31,'Snapshot (Volume)'!$A$7:$G$168,7,0)</f>
        <v>134438400</v>
      </c>
      <c r="F31" s="165">
        <f t="shared" si="5"/>
        <v>1072800</v>
      </c>
      <c r="G31" s="166">
        <f t="shared" si="6"/>
        <v>7.9798628963153387E-3</v>
      </c>
      <c r="H31" s="165">
        <f>VLOOKUP($B31,'Data shares'!$C:$FB,66)</f>
        <v>42001200</v>
      </c>
      <c r="I31" s="165">
        <f>VLOOKUP($B31,'Data shares'!$C:$FB,67)</f>
        <v>44218800</v>
      </c>
      <c r="J31" s="81">
        <f t="shared" si="7"/>
        <v>-5.015061467068306</v>
      </c>
      <c r="K31" s="5">
        <f>VLOOKUP($B31,'Data Vlaue (Cr)'!$C:$FB,99)</f>
        <v>2372</v>
      </c>
      <c r="L31" s="81">
        <f>VLOOKUP(B31,'OI(Value)'!$A$7:$C$232,3,0)</f>
        <v>19</v>
      </c>
      <c r="M31" s="33">
        <f t="shared" si="0"/>
        <v>0.80101180438448571</v>
      </c>
      <c r="N31" s="5">
        <f>VLOOKUP($B31,'Data Vlaue (Cr)'!$C:$FB,67)</f>
        <v>735</v>
      </c>
      <c r="O31" s="5">
        <f>VLOOKUP($B31,'Data Vlaue (Cr)'!$C:$FB,68)</f>
        <v>774</v>
      </c>
      <c r="P31" s="5">
        <f t="shared" si="8"/>
        <v>-5.3061224489795915</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BANKBARODA</v>
      </c>
      <c r="C32" s="4">
        <f>VLOOKUP($B32,'Data shares'!$C:$FB,7)</f>
        <v>280.44</v>
      </c>
      <c r="D32" s="82">
        <f>VLOOKUP($B32,'Data shares'!$C:$FB,98)</f>
        <v>183991275</v>
      </c>
      <c r="E32" s="165">
        <f>VLOOKUP(B32,'Snapshot (Volume)'!$A$7:$G$168,7,0)</f>
        <v>182821275</v>
      </c>
      <c r="F32" s="165">
        <f t="shared" si="5"/>
        <v>1170000</v>
      </c>
      <c r="G32" s="166">
        <f t="shared" si="6"/>
        <v>6.3996928147448924E-3</v>
      </c>
      <c r="H32" s="165">
        <f>VLOOKUP($B32,'Data shares'!$C:$FB,66)</f>
        <v>84333600</v>
      </c>
      <c r="I32" s="165">
        <f>VLOOKUP($B32,'Data shares'!$C:$FB,67)</f>
        <v>66257100</v>
      </c>
      <c r="J32" s="81">
        <f t="shared" si="7"/>
        <v>27.282359173582904</v>
      </c>
      <c r="K32" s="5">
        <f>VLOOKUP($B32,'Data Vlaue (Cr)'!$C:$FB,99)</f>
        <v>5173</v>
      </c>
      <c r="L32" s="81">
        <f>VLOOKUP(B32,'OI(Value)'!$A$7:$C$232,3,0)</f>
        <v>33</v>
      </c>
      <c r="M32" s="33">
        <f t="shared" si="0"/>
        <v>0.63792770152716027</v>
      </c>
      <c r="N32" s="5">
        <f>VLOOKUP($B32,'Data Vlaue (Cr)'!$C:$FB,67)</f>
        <v>2371</v>
      </c>
      <c r="O32" s="5">
        <f>VLOOKUP($B32,'Data Vlaue (Cr)'!$C:$FB,68)</f>
        <v>1863</v>
      </c>
      <c r="P32" s="5">
        <f t="shared" si="8"/>
        <v>21.425558835934204</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Banking</v>
      </c>
      <c r="B33" s="79" t="str">
        <f>'Data shares'!C28</f>
        <v>BANKINDIA</v>
      </c>
      <c r="C33" s="4">
        <f>VLOOKUP($B33,'Data shares'!$C:$FB,7)</f>
        <v>148.1</v>
      </c>
      <c r="D33" s="82">
        <f>VLOOKUP($B33,'Data shares'!$C:$FB,98)</f>
        <v>104499200</v>
      </c>
      <c r="E33" s="165">
        <f>VLOOKUP(B33,'Snapshot (Volume)'!$A$7:$G$168,7,0)</f>
        <v>102715600</v>
      </c>
      <c r="F33" s="165">
        <f t="shared" si="5"/>
        <v>1783600</v>
      </c>
      <c r="G33" s="166">
        <f t="shared" si="6"/>
        <v>1.7364450969472991E-2</v>
      </c>
      <c r="H33" s="165">
        <f>VLOOKUP($B33,'Data shares'!$C:$FB,66)</f>
        <v>49228400</v>
      </c>
      <c r="I33" s="165">
        <f>VLOOKUP($B33,'Data shares'!$C:$FB,67)</f>
        <v>50096800</v>
      </c>
      <c r="J33" s="81">
        <f t="shared" si="7"/>
        <v>-1.7334440523147188</v>
      </c>
      <c r="K33" s="5">
        <f>VLOOKUP($B33,'Data Vlaue (Cr)'!$C:$FB,99)</f>
        <v>1550</v>
      </c>
      <c r="L33" s="81">
        <f>VLOOKUP(B33,'OI(Value)'!$A$7:$C$232,3,0)</f>
        <v>26</v>
      </c>
      <c r="M33" s="33">
        <f t="shared" si="0"/>
        <v>1.6774193548387095</v>
      </c>
      <c r="N33" s="5">
        <f>VLOOKUP($B33,'Data Vlaue (Cr)'!$C:$FB,67)</f>
        <v>730</v>
      </c>
      <c r="O33" s="5">
        <f>VLOOKUP($B33,'Data Vlaue (Cr)'!$C:$FB,68)</f>
        <v>743</v>
      </c>
      <c r="P33" s="5">
        <f t="shared" si="8"/>
        <v>-1.7808219178082192</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Index</v>
      </c>
      <c r="B34" s="79" t="str">
        <f>'Data shares'!C29</f>
        <v>BANKNIFTY</v>
      </c>
      <c r="C34" s="4">
        <f>VLOOKUP($B34,'Data shares'!$C:$FB,7)</f>
        <v>56565.7</v>
      </c>
      <c r="D34" s="82">
        <f>VLOOKUP($B34,'Data shares'!$C:$FB,98)</f>
        <v>41114100</v>
      </c>
      <c r="E34" s="165">
        <f>VLOOKUP(B34,'Snapshot (Volume)'!$A$7:$G$168,7,0)</f>
        <v>38696730</v>
      </c>
      <c r="F34" s="165">
        <f t="shared" si="5"/>
        <v>2417370</v>
      </c>
      <c r="G34" s="166">
        <f t="shared" si="6"/>
        <v>6.2469619525990956E-2</v>
      </c>
      <c r="H34" s="165">
        <f>VLOOKUP($B34,'Data shares'!$C:$FB,66)</f>
        <v>77146710</v>
      </c>
      <c r="I34" s="165">
        <f>VLOOKUP($B34,'Data shares'!$C:$FB,67)</f>
        <v>78456330</v>
      </c>
      <c r="J34" s="81">
        <f t="shared" si="7"/>
        <v>-1.6692343371146727</v>
      </c>
      <c r="K34" s="5">
        <f>VLOOKUP($B34,'Data Vlaue (Cr)'!$C:$FB,99)</f>
        <v>232980</v>
      </c>
      <c r="L34" s="81">
        <f>VLOOKUP(B34,'OI(Value)'!$A$7:$C$232,3,0)</f>
        <v>13698</v>
      </c>
      <c r="M34" s="33">
        <f t="shared" si="0"/>
        <v>5.8794746330157102</v>
      </c>
      <c r="N34" s="5">
        <f>VLOOKUP($B34,'Data Vlaue (Cr)'!$C:$FB,67)</f>
        <v>437166</v>
      </c>
      <c r="O34" s="5">
        <f>VLOOKUP($B34,'Data Vlaue (Cr)'!$C:$FB,68)</f>
        <v>444587</v>
      </c>
      <c r="P34" s="5">
        <f t="shared" si="8"/>
        <v>-1.6975245101403129</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BDL</v>
      </c>
      <c r="C35" s="4">
        <f>VLOOKUP($B35,'Data shares'!$C:$FB,7)</f>
        <v>1380.7</v>
      </c>
      <c r="D35" s="82">
        <f>VLOOKUP($B35,'Data shares'!$C:$FB,98)</f>
        <v>9924600</v>
      </c>
      <c r="E35" s="165">
        <f>VLOOKUP(B35,'Snapshot (Volume)'!$A$7:$G$168,7,0)</f>
        <v>9950150</v>
      </c>
      <c r="F35" s="165">
        <f t="shared" si="5"/>
        <v>-25550</v>
      </c>
      <c r="G35" s="166">
        <f t="shared" si="6"/>
        <v>-2.5678004854198179E-3</v>
      </c>
      <c r="H35" s="165">
        <f>VLOOKUP($B35,'Data shares'!$C:$FB,66)</f>
        <v>10328150</v>
      </c>
      <c r="I35" s="165">
        <f>VLOOKUP($B35,'Data shares'!$C:$FB,67)</f>
        <v>8837500</v>
      </c>
      <c r="J35" s="81">
        <f t="shared" si="7"/>
        <v>16.86732673267327</v>
      </c>
      <c r="K35" s="5">
        <f>VLOOKUP($B35,'Data Vlaue (Cr)'!$C:$FB,99)</f>
        <v>1370</v>
      </c>
      <c r="L35" s="81">
        <f>VLOOKUP(B35,'OI(Value)'!$A$7:$C$232,3,0)</f>
        <v>-4</v>
      </c>
      <c r="M35" s="33">
        <f t="shared" si="0"/>
        <v>-0.29197080291970801</v>
      </c>
      <c r="N35" s="5">
        <f>VLOOKUP($B35,'Data Vlaue (Cr)'!$C:$FB,67)</f>
        <v>1426</v>
      </c>
      <c r="O35" s="5">
        <f>VLOOKUP($B35,'Data Vlaue (Cr)'!$C:$FB,68)</f>
        <v>1220</v>
      </c>
      <c r="P35" s="5">
        <f t="shared" si="8"/>
        <v>14.446002805049089</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Capital_Goods</v>
      </c>
      <c r="B36" s="79" t="str">
        <f>'Data shares'!C31</f>
        <v>BEL</v>
      </c>
      <c r="C36" s="4">
        <f>VLOOKUP($B36,'Data shares'!$C:$FB,7)</f>
        <v>462.75</v>
      </c>
      <c r="D36" s="82">
        <f>VLOOKUP($B36,'Data shares'!$C:$FB,98)</f>
        <v>179190900</v>
      </c>
      <c r="E36" s="165">
        <f>VLOOKUP(B36,'Snapshot (Volume)'!$A$7:$G$168,7,0)</f>
        <v>176531850</v>
      </c>
      <c r="F36" s="165">
        <f t="shared" si="5"/>
        <v>2659050</v>
      </c>
      <c r="G36" s="166">
        <f t="shared" si="6"/>
        <v>1.5062720976413039E-2</v>
      </c>
      <c r="H36" s="165">
        <f>VLOOKUP($B36,'Data shares'!$C:$FB,66)</f>
        <v>128812875</v>
      </c>
      <c r="I36" s="165">
        <f>VLOOKUP($B36,'Data shares'!$C:$FB,67)</f>
        <v>118390425</v>
      </c>
      <c r="J36" s="81">
        <f t="shared" si="7"/>
        <v>8.8034568673944698</v>
      </c>
      <c r="K36" s="5">
        <f>VLOOKUP($B36,'Data Vlaue (Cr)'!$C:$FB,99)</f>
        <v>8295</v>
      </c>
      <c r="L36" s="81">
        <f>VLOOKUP(B36,'OI(Value)'!$A$7:$C$232,3,0)</f>
        <v>123</v>
      </c>
      <c r="M36" s="33">
        <f t="shared" si="0"/>
        <v>1.4828209764918625</v>
      </c>
      <c r="N36" s="5">
        <f>VLOOKUP($B36,'Data Vlaue (Cr)'!$C:$FB,67)</f>
        <v>5963</v>
      </c>
      <c r="O36" s="5">
        <f>VLOOKUP($B36,'Data Vlaue (Cr)'!$C:$FB,68)</f>
        <v>5480</v>
      </c>
      <c r="P36" s="5">
        <f t="shared" si="8"/>
        <v>8.0999496897534797</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Automobile</v>
      </c>
      <c r="B37" s="79" t="str">
        <f>'Data shares'!C32</f>
        <v>BHARATFORG</v>
      </c>
      <c r="C37" s="4">
        <f>VLOOKUP($B37,'Data shares'!$C:$FB,7)</f>
        <v>1860.5</v>
      </c>
      <c r="D37" s="82">
        <f>VLOOKUP($B37,'Data shares'!$C:$FB,98)</f>
        <v>13310500</v>
      </c>
      <c r="E37" s="165">
        <f>VLOOKUP(B37,'Snapshot (Volume)'!$A$7:$G$168,7,0)</f>
        <v>13161000</v>
      </c>
      <c r="F37" s="165">
        <f t="shared" ref="F37:F43" si="9">D37-E37</f>
        <v>149500</v>
      </c>
      <c r="G37" s="166">
        <f t="shared" ref="G37:G43" si="10">F37/E37</f>
        <v>1.1359319200668643E-2</v>
      </c>
      <c r="H37" s="165">
        <f>VLOOKUP($B37,'Data shares'!$C:$FB,66)</f>
        <v>7707000</v>
      </c>
      <c r="I37" s="165">
        <f>VLOOKUP($B37,'Data shares'!$C:$FB,67)</f>
        <v>6984500</v>
      </c>
      <c r="J37" s="81">
        <f t="shared" ref="J37:J43" si="11">(H37-I37)/I37*100</f>
        <v>10.344333882167657</v>
      </c>
      <c r="K37" s="5">
        <f>VLOOKUP($B37,'Data Vlaue (Cr)'!$C:$FB,99)</f>
        <v>2473</v>
      </c>
      <c r="L37" s="81">
        <f>VLOOKUP(B37,'OI(Value)'!$A$7:$C$232,3,0)</f>
        <v>28</v>
      </c>
      <c r="M37" s="33">
        <f t="shared" ref="M37:M65" si="12">L37/K37*100</f>
        <v>1.1322280630812778</v>
      </c>
      <c r="N37" s="5">
        <f>VLOOKUP($B37,'Data Vlaue (Cr)'!$C:$FB,67)</f>
        <v>1432</v>
      </c>
      <c r="O37" s="5">
        <f>VLOOKUP($B37,'Data Vlaue (Cr)'!$C:$FB,68)</f>
        <v>1298</v>
      </c>
      <c r="P37" s="5">
        <f t="shared" ref="P37:P43" si="13">(N37-O37)/N37*100</f>
        <v>9.3575418994413404</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Telecom</v>
      </c>
      <c r="B38" s="79" t="str">
        <f>'Data shares'!C33</f>
        <v>BHARTIARTL</v>
      </c>
      <c r="C38" s="4">
        <f>VLOOKUP($B38,'Data shares'!$C:$FB,7)</f>
        <v>1846.9</v>
      </c>
      <c r="D38" s="82">
        <f>VLOOKUP($B38,'Data shares'!$C:$FB,98)</f>
        <v>82734550</v>
      </c>
      <c r="E38" s="165">
        <f>VLOOKUP(B38,'Snapshot (Volume)'!$A$7:$G$168,7,0)</f>
        <v>81975500</v>
      </c>
      <c r="F38" s="165">
        <f t="shared" si="9"/>
        <v>759050</v>
      </c>
      <c r="G38" s="166">
        <f t="shared" si="10"/>
        <v>9.2594738671920272E-3</v>
      </c>
      <c r="H38" s="165">
        <f>VLOOKUP($B38,'Data shares'!$C:$FB,66)</f>
        <v>26877400</v>
      </c>
      <c r="I38" s="165">
        <f>VLOOKUP($B38,'Data shares'!$C:$FB,67)</f>
        <v>42978000</v>
      </c>
      <c r="J38" s="81">
        <f t="shared" si="11"/>
        <v>-37.462422634836429</v>
      </c>
      <c r="K38" s="5">
        <f>VLOOKUP($B38,'Data Vlaue (Cr)'!$C:$FB,99)</f>
        <v>15298</v>
      </c>
      <c r="L38" s="81">
        <f>VLOOKUP(B38,'OI(Value)'!$A$7:$C$232,3,0)</f>
        <v>140</v>
      </c>
      <c r="M38" s="33">
        <f t="shared" si="12"/>
        <v>0.91515230749117538</v>
      </c>
      <c r="N38" s="5">
        <f>VLOOKUP($B38,'Data Vlaue (Cr)'!$C:$FB,67)</f>
        <v>4970</v>
      </c>
      <c r="O38" s="5">
        <f>VLOOKUP($B38,'Data Vlaue (Cr)'!$C:$FB,68)</f>
        <v>7947</v>
      </c>
      <c r="P38" s="5">
        <f t="shared" si="13"/>
        <v>-59.899396378269621</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BHEL</v>
      </c>
      <c r="C39" s="4">
        <f>VLOOKUP($B39,'Data shares'!$C:$FB,7)</f>
        <v>316.79000000000002</v>
      </c>
      <c r="D39" s="82">
        <f>VLOOKUP($B39,'Data shares'!$C:$FB,98)</f>
        <v>182316750</v>
      </c>
      <c r="E39" s="165">
        <f>VLOOKUP(B39,'Snapshot (Volume)'!$A$7:$G$168,7,0)</f>
        <v>181132875</v>
      </c>
      <c r="F39" s="165">
        <f t="shared" si="9"/>
        <v>1183875</v>
      </c>
      <c r="G39" s="166">
        <f t="shared" si="10"/>
        <v>6.5359477124183009E-3</v>
      </c>
      <c r="H39" s="165">
        <f>VLOOKUP($B39,'Data shares'!$C:$FB,66)</f>
        <v>274824375</v>
      </c>
      <c r="I39" s="165">
        <f>VLOOKUP($B39,'Data shares'!$C:$FB,67)</f>
        <v>261040500</v>
      </c>
      <c r="J39" s="81">
        <f t="shared" si="11"/>
        <v>5.2803587948996427</v>
      </c>
      <c r="K39" s="5">
        <f>VLOOKUP($B39,'Data Vlaue (Cr)'!$C:$FB,99)</f>
        <v>5783</v>
      </c>
      <c r="L39" s="81">
        <f>VLOOKUP(B39,'OI(Value)'!$A$7:$C$232,3,0)</f>
        <v>38</v>
      </c>
      <c r="M39" s="33">
        <f t="shared" si="12"/>
        <v>0.65709839183814622</v>
      </c>
      <c r="N39" s="5">
        <f>VLOOKUP($B39,'Data Vlaue (Cr)'!$C:$FB,67)</f>
        <v>8718</v>
      </c>
      <c r="O39" s="5">
        <f>VLOOKUP($B39,'Data Vlaue (Cr)'!$C:$FB,68)</f>
        <v>8281</v>
      </c>
      <c r="P39" s="5">
        <f t="shared" si="13"/>
        <v>5.0126175728378071</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Pharma</v>
      </c>
      <c r="B40" s="79" t="str">
        <f>'Data shares'!C35</f>
        <v>BIOCON</v>
      </c>
      <c r="C40" s="4">
        <f>VLOOKUP($B40,'Data shares'!$C:$FB,7)</f>
        <v>358.1</v>
      </c>
      <c r="D40" s="82">
        <f>VLOOKUP($B40,'Data shares'!$C:$FB,98)</f>
        <v>76672500</v>
      </c>
      <c r="E40" s="165">
        <f>VLOOKUP(B40,'Snapshot (Volume)'!$A$7:$G$168,7,0)</f>
        <v>77332500</v>
      </c>
      <c r="F40" s="165">
        <f t="shared" si="9"/>
        <v>-660000</v>
      </c>
      <c r="G40" s="166">
        <f t="shared" si="10"/>
        <v>-8.5345747260207553E-3</v>
      </c>
      <c r="H40" s="165">
        <f>VLOOKUP($B40,'Data shares'!$C:$FB,66)</f>
        <v>83432500</v>
      </c>
      <c r="I40" s="165">
        <f>VLOOKUP($B40,'Data shares'!$C:$FB,67)</f>
        <v>31670000</v>
      </c>
      <c r="J40" s="81">
        <f t="shared" si="11"/>
        <v>163.44332175560467</v>
      </c>
      <c r="K40" s="5">
        <f>VLOOKUP($B40,'Data Vlaue (Cr)'!$C:$FB,99)</f>
        <v>2748</v>
      </c>
      <c r="L40" s="81">
        <f>VLOOKUP(B40,'OI(Value)'!$A$7:$C$232,3,0)</f>
        <v>-24</v>
      </c>
      <c r="M40" s="33">
        <f t="shared" si="12"/>
        <v>-0.87336244541484709</v>
      </c>
      <c r="N40" s="5">
        <f>VLOOKUP($B40,'Data Vlaue (Cr)'!$C:$FB,67)</f>
        <v>2991</v>
      </c>
      <c r="O40" s="5">
        <f>VLOOKUP($B40,'Data Vlaue (Cr)'!$C:$FB,68)</f>
        <v>1135</v>
      </c>
      <c r="P40" s="5">
        <f t="shared" si="13"/>
        <v>62.052825142092949</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Capital_Goods</v>
      </c>
      <c r="B41" s="79" t="str">
        <f>'Data shares'!C36</f>
        <v>BLUESTARCO</v>
      </c>
      <c r="C41" s="4">
        <f>VLOOKUP($B41,'Data shares'!$C:$FB,7)</f>
        <v>1866.1</v>
      </c>
      <c r="D41" s="82">
        <f>VLOOKUP($B41,'Data shares'!$C:$FB,98)</f>
        <v>6087250</v>
      </c>
      <c r="E41" s="165">
        <f>VLOOKUP(B41,'Snapshot (Volume)'!$A$7:$G$168,7,0)</f>
        <v>5751850</v>
      </c>
      <c r="F41" s="165">
        <f t="shared" si="9"/>
        <v>335400</v>
      </c>
      <c r="G41" s="166">
        <f t="shared" si="10"/>
        <v>5.8311673635439036E-2</v>
      </c>
      <c r="H41" s="165">
        <f>VLOOKUP($B41,'Data shares'!$C:$FB,66)</f>
        <v>4043325</v>
      </c>
      <c r="I41" s="165">
        <f>VLOOKUP($B41,'Data shares'!$C:$FB,67)</f>
        <v>10647000</v>
      </c>
      <c r="J41" s="81">
        <f t="shared" si="11"/>
        <v>-62.023809523809526</v>
      </c>
      <c r="K41" s="5">
        <f>VLOOKUP($B41,'Data Vlaue (Cr)'!$C:$FB,99)</f>
        <v>1130</v>
      </c>
      <c r="L41" s="81">
        <f>VLOOKUP(B41,'OI(Value)'!$A$7:$C$232,3,0)</f>
        <v>62</v>
      </c>
      <c r="M41" s="33">
        <f t="shared" si="12"/>
        <v>5.4867256637168138</v>
      </c>
      <c r="N41" s="5">
        <f>VLOOKUP($B41,'Data Vlaue (Cr)'!$C:$FB,67)</f>
        <v>751</v>
      </c>
      <c r="O41" s="5">
        <f>VLOOKUP($B41,'Data Vlaue (Cr)'!$C:$FB,68)</f>
        <v>1977</v>
      </c>
      <c r="P41" s="5">
        <f t="shared" si="13"/>
        <v>-163.24900133155793</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Automobile</v>
      </c>
      <c r="B42" s="79" t="str">
        <f>'Data shares'!C37</f>
        <v>BOSCHLTD</v>
      </c>
      <c r="C42" s="4">
        <f>VLOOKUP($B42,'Data shares'!$C:$FB,7)</f>
        <v>37505</v>
      </c>
      <c r="D42" s="82">
        <f>VLOOKUP($B42,'Data shares'!$C:$FB,98)</f>
        <v>752925</v>
      </c>
      <c r="E42" s="165">
        <f>VLOOKUP(B42,'Snapshot (Volume)'!$A$7:$G$168,7,0)</f>
        <v>758825</v>
      </c>
      <c r="F42" s="165">
        <f t="shared" si="9"/>
        <v>-5900</v>
      </c>
      <c r="G42" s="166">
        <f t="shared" si="10"/>
        <v>-7.7751787302737787E-3</v>
      </c>
      <c r="H42" s="165">
        <f>VLOOKUP($B42,'Data shares'!$C:$FB,66)</f>
        <v>871700</v>
      </c>
      <c r="I42" s="165">
        <f>VLOOKUP($B42,'Data shares'!$C:$FB,67)</f>
        <v>539250</v>
      </c>
      <c r="J42" s="81">
        <f t="shared" si="11"/>
        <v>61.650440426518315</v>
      </c>
      <c r="K42" s="5">
        <f>VLOOKUP($B42,'Data Vlaue (Cr)'!$C:$FB,99)</f>
        <v>2829</v>
      </c>
      <c r="L42" s="81">
        <f>VLOOKUP(B42,'OI(Value)'!$A$7:$C$232,3,0)</f>
        <v>-22</v>
      </c>
      <c r="M42" s="33">
        <f t="shared" si="12"/>
        <v>-0.77765995051254866</v>
      </c>
      <c r="N42" s="5">
        <f>VLOOKUP($B42,'Data Vlaue (Cr)'!$C:$FB,67)</f>
        <v>3276</v>
      </c>
      <c r="O42" s="5">
        <f>VLOOKUP($B42,'Data Vlaue (Cr)'!$C:$FB,68)</f>
        <v>2027</v>
      </c>
      <c r="P42" s="5">
        <f t="shared" si="13"/>
        <v>38.125763125763122</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Oil_Gas</v>
      </c>
      <c r="B43" s="79" t="str">
        <f>'Data shares'!C38</f>
        <v>BPCL</v>
      </c>
      <c r="C43" s="4">
        <f>VLOOKUP($B43,'Data shares'!$C:$FB,7)</f>
        <v>312.10000000000002</v>
      </c>
      <c r="D43" s="82">
        <f>VLOOKUP($B43,'Data shares'!$C:$FB,98)</f>
        <v>97555125</v>
      </c>
      <c r="E43" s="165">
        <f>VLOOKUP(B43,'Snapshot (Volume)'!$A$7:$G$168,7,0)</f>
        <v>96905350</v>
      </c>
      <c r="F43" s="165">
        <f t="shared" si="9"/>
        <v>649775</v>
      </c>
      <c r="G43" s="166">
        <f t="shared" si="10"/>
        <v>6.70525414747483E-3</v>
      </c>
      <c r="H43" s="165">
        <f>VLOOKUP($B43,'Data shares'!$C:$FB,66)</f>
        <v>59779300</v>
      </c>
      <c r="I43" s="165">
        <f>VLOOKUP($B43,'Data shares'!$C:$FB,67)</f>
        <v>45820000</v>
      </c>
      <c r="J43" s="81">
        <f t="shared" si="11"/>
        <v>30.46551724137931</v>
      </c>
      <c r="K43" s="5">
        <f>VLOOKUP($B43,'Data Vlaue (Cr)'!$C:$FB,99)</f>
        <v>3054</v>
      </c>
      <c r="L43" s="81">
        <f>VLOOKUP(B43,'OI(Value)'!$A$7:$C$232,3,0)</f>
        <v>20</v>
      </c>
      <c r="M43" s="33">
        <f t="shared" si="12"/>
        <v>0.65487884741322855</v>
      </c>
      <c r="N43" s="5">
        <f>VLOOKUP($B43,'Data Vlaue (Cr)'!$C:$FB,67)</f>
        <v>1871</v>
      </c>
      <c r="O43" s="5">
        <f>VLOOKUP($B43,'Data Vlaue (Cr)'!$C:$FB,68)</f>
        <v>1434</v>
      </c>
      <c r="P43" s="5">
        <f t="shared" si="13"/>
        <v>23.356493853554248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FMCG</v>
      </c>
      <c r="B44" s="79" t="str">
        <f>'Data shares'!C39</f>
        <v>BRITANNIA</v>
      </c>
      <c r="C44" s="79">
        <f>VLOOKUP($B44,'Data shares'!$C:$FB,7)</f>
        <v>5735.5</v>
      </c>
      <c r="D44" s="165">
        <f>VLOOKUP($B44,'Data shares'!$C:$FB,98)</f>
        <v>3963250</v>
      </c>
      <c r="E44" s="165">
        <f>VLOOKUP(B44,'Snapshot (Volume)'!$A$7:$G$168,7,0)</f>
        <v>3866875</v>
      </c>
      <c r="F44" s="165">
        <f t="shared" ref="F44:F49" si="14">D44-E44</f>
        <v>96375</v>
      </c>
      <c r="G44" s="166">
        <f t="shared" ref="G44:G49" si="15">F44/E44</f>
        <v>2.4923226119282365E-2</v>
      </c>
      <c r="H44" s="165">
        <f>VLOOKUP($B44,'Data shares'!$C:$FB,66)</f>
        <v>3647000</v>
      </c>
      <c r="I44" s="165">
        <f>VLOOKUP($B44,'Data shares'!$C:$FB,67)</f>
        <v>2099625</v>
      </c>
      <c r="J44" s="81">
        <f t="shared" ref="J44:J49" si="16">(H44-I44)/I44*100</f>
        <v>73.697684110257782</v>
      </c>
      <c r="K44" s="81">
        <f>VLOOKUP($B44,'Data Vlaue (Cr)'!$C:$FB,99)</f>
        <v>2274</v>
      </c>
      <c r="L44" s="81">
        <f>VLOOKUP(B44,'OI(Value)'!$A$7:$C$232,3,0)</f>
        <v>55</v>
      </c>
      <c r="M44" s="81">
        <f t="shared" si="12"/>
        <v>2.4186455584872473</v>
      </c>
      <c r="N44" s="81">
        <f>VLOOKUP($B44,'Data Vlaue (Cr)'!$C:$FB,67)</f>
        <v>2092</v>
      </c>
      <c r="O44" s="81">
        <f>VLOOKUP($B44,'Data Vlaue (Cr)'!$C:$FB,68)</f>
        <v>1205</v>
      </c>
      <c r="P44" s="81">
        <f t="shared" ref="P44:P49" si="17">(N44-O44)/N44*100</f>
        <v>42.399617590822182</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BSE</v>
      </c>
      <c r="C45" s="4">
        <f>VLOOKUP($B45,'Data shares'!$C:$FB,7)</f>
        <v>3531.5</v>
      </c>
      <c r="D45" s="82">
        <f>VLOOKUP($B45,'Data shares'!$C:$FB,98)</f>
        <v>27006375</v>
      </c>
      <c r="E45" s="165">
        <f>VLOOKUP(B45,'Snapshot (Volume)'!$A$7:$G$168,7,0)</f>
        <v>24174375</v>
      </c>
      <c r="F45" s="165">
        <f t="shared" si="14"/>
        <v>2832000</v>
      </c>
      <c r="G45" s="166">
        <f t="shared" si="15"/>
        <v>0.11714884045606143</v>
      </c>
      <c r="H45" s="165">
        <f>VLOOKUP($B45,'Data shares'!$C:$FB,66)</f>
        <v>64996500</v>
      </c>
      <c r="I45" s="165">
        <f>VLOOKUP($B45,'Data shares'!$C:$FB,67)</f>
        <v>33629250</v>
      </c>
      <c r="J45" s="81">
        <f t="shared" si="16"/>
        <v>93.273712616249256</v>
      </c>
      <c r="K45" s="5">
        <f>VLOOKUP($B45,'Data Vlaue (Cr)'!$C:$FB,99)</f>
        <v>9563</v>
      </c>
      <c r="L45" s="81">
        <f>VLOOKUP(B45,'OI(Value)'!$A$7:$C$232,3,0)</f>
        <v>1003</v>
      </c>
      <c r="M45" s="33">
        <f t="shared" si="12"/>
        <v>10.488340478929207</v>
      </c>
      <c r="N45" s="5">
        <f>VLOOKUP($B45,'Data Vlaue (Cr)'!$C:$FB,67)</f>
        <v>23015</v>
      </c>
      <c r="O45" s="5">
        <f>VLOOKUP($B45,'Data Vlaue (Cr)'!$C:$FB,68)</f>
        <v>11908</v>
      </c>
      <c r="P45" s="5">
        <f t="shared" si="17"/>
        <v>48.259830545296545</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CAMS</v>
      </c>
      <c r="C46" s="4">
        <f>VLOOKUP($B46,'Data shares'!$C:$FB,7)</f>
        <v>750.15</v>
      </c>
      <c r="D46" s="82">
        <f>VLOOKUP($B46,'Data shares'!$C:$FB,98)</f>
        <v>13125750</v>
      </c>
      <c r="E46" s="165">
        <f>VLOOKUP(B46,'Snapshot (Volume)'!$A$7:$G$168,7,0)</f>
        <v>12075750</v>
      </c>
      <c r="F46" s="165">
        <f t="shared" si="14"/>
        <v>1050000</v>
      </c>
      <c r="G46" s="166">
        <f t="shared" si="15"/>
        <v>8.6951121048382082E-2</v>
      </c>
      <c r="H46" s="165">
        <f>VLOOKUP($B46,'Data shares'!$C:$FB,66)</f>
        <v>12684750</v>
      </c>
      <c r="I46" s="165">
        <f>VLOOKUP($B46,'Data shares'!$C:$FB,67)</f>
        <v>7265250</v>
      </c>
      <c r="J46" s="81">
        <f t="shared" si="16"/>
        <v>74.594817797047583</v>
      </c>
      <c r="K46" s="5">
        <f>VLOOKUP($B46,'Data Vlaue (Cr)'!$C:$FB,99)</f>
        <v>988</v>
      </c>
      <c r="L46" s="81">
        <f>VLOOKUP(B46,'OI(Value)'!$A$7:$C$232,3,0)</f>
        <v>79</v>
      </c>
      <c r="M46" s="33">
        <f t="shared" si="12"/>
        <v>7.9959514170040489</v>
      </c>
      <c r="N46" s="5">
        <f>VLOOKUP($B46,'Data Vlaue (Cr)'!$C:$FB,67)</f>
        <v>954</v>
      </c>
      <c r="O46" s="5">
        <f>VLOOKUP($B46,'Data Vlaue (Cr)'!$C:$FB,68)</f>
        <v>547</v>
      </c>
      <c r="P46" s="5">
        <f t="shared" si="17"/>
        <v>42.662473794549264</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Banking</v>
      </c>
      <c r="B47" s="79" t="str">
        <f>'Data shares'!C42</f>
        <v>CANBK</v>
      </c>
      <c r="C47" s="4">
        <f>VLOOKUP($B47,'Data shares'!$C:$FB,7)</f>
        <v>142.37</v>
      </c>
      <c r="D47" s="82">
        <f>VLOOKUP($B47,'Data shares'!$C:$FB,98)</f>
        <v>343608750</v>
      </c>
      <c r="E47" s="165">
        <f>VLOOKUP(B47,'Snapshot (Volume)'!$A$7:$G$168,7,0)</f>
        <v>341833500</v>
      </c>
      <c r="F47" s="165">
        <f t="shared" si="14"/>
        <v>1775250</v>
      </c>
      <c r="G47" s="166">
        <f t="shared" si="15"/>
        <v>5.1933177994549981E-3</v>
      </c>
      <c r="H47" s="165">
        <f>VLOOKUP($B47,'Data shares'!$C:$FB,66)</f>
        <v>153555750</v>
      </c>
      <c r="I47" s="165">
        <f>VLOOKUP($B47,'Data shares'!$C:$FB,67)</f>
        <v>126474750</v>
      </c>
      <c r="J47" s="81">
        <f t="shared" si="16"/>
        <v>21.41217911085019</v>
      </c>
      <c r="K47" s="5">
        <f>VLOOKUP($B47,'Data Vlaue (Cr)'!$C:$FB,99)</f>
        <v>4900</v>
      </c>
      <c r="L47" s="81">
        <f>VLOOKUP(B47,'OI(Value)'!$A$7:$C$232,3,0)</f>
        <v>25</v>
      </c>
      <c r="M47" s="33">
        <f t="shared" si="12"/>
        <v>0.51020408163265307</v>
      </c>
      <c r="N47" s="5">
        <f>VLOOKUP($B47,'Data Vlaue (Cr)'!$C:$FB,67)</f>
        <v>2190</v>
      </c>
      <c r="O47" s="5">
        <f>VLOOKUP($B47,'Data Vlaue (Cr)'!$C:$FB,68)</f>
        <v>1804</v>
      </c>
      <c r="P47" s="5">
        <f t="shared" si="17"/>
        <v>17.62557077625571</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CDSL</v>
      </c>
      <c r="C48" s="4">
        <f>VLOOKUP($B48,'Data shares'!$C:$FB,7)</f>
        <v>1393.2</v>
      </c>
      <c r="D48" s="82">
        <f>VLOOKUP($B48,'Data shares'!$C:$FB,98)</f>
        <v>20244500</v>
      </c>
      <c r="E48" s="165">
        <f>VLOOKUP(B48,'Snapshot (Volume)'!$A$7:$G$168,7,0)</f>
        <v>19744325</v>
      </c>
      <c r="F48" s="165">
        <f t="shared" si="14"/>
        <v>500175</v>
      </c>
      <c r="G48" s="166">
        <f t="shared" si="15"/>
        <v>2.533259556860009E-2</v>
      </c>
      <c r="H48" s="165">
        <f>VLOOKUP($B48,'Data shares'!$C:$FB,66)</f>
        <v>19797525</v>
      </c>
      <c r="I48" s="165">
        <f>VLOOKUP($B48,'Data shares'!$C:$FB,67)</f>
        <v>14911675</v>
      </c>
      <c r="J48" s="81">
        <f t="shared" si="16"/>
        <v>32.765266142133598</v>
      </c>
      <c r="K48" s="5">
        <f>VLOOKUP($B48,'Data Vlaue (Cr)'!$C:$FB,99)</f>
        <v>2826</v>
      </c>
      <c r="L48" s="81">
        <f>VLOOKUP(B48,'OI(Value)'!$A$7:$C$232,3,0)</f>
        <v>70</v>
      </c>
      <c r="M48" s="33">
        <f t="shared" si="12"/>
        <v>2.4769992922859165</v>
      </c>
      <c r="N48" s="5">
        <f>VLOOKUP($B48,'Data Vlaue (Cr)'!$C:$FB,67)</f>
        <v>2764</v>
      </c>
      <c r="O48" s="5">
        <f>VLOOKUP($B48,'Data Vlaue (Cr)'!$C:$FB,68)</f>
        <v>2082</v>
      </c>
      <c r="P48" s="5">
        <f t="shared" si="17"/>
        <v>24.67438494934877</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Power</v>
      </c>
      <c r="B49" s="79" t="str">
        <f>'Data shares'!C44</f>
        <v>CGPOWER</v>
      </c>
      <c r="C49" s="4">
        <f>VLOOKUP($B49,'Data shares'!$C:$FB,7)</f>
        <v>774.8</v>
      </c>
      <c r="D49" s="82">
        <f>VLOOKUP($B49,'Data shares'!$C:$FB,98)</f>
        <v>26677250</v>
      </c>
      <c r="E49" s="165">
        <f>VLOOKUP(B49,'Snapshot (Volume)'!$A$7:$G$168,7,0)</f>
        <v>27094600</v>
      </c>
      <c r="F49" s="165">
        <f t="shared" si="14"/>
        <v>-417350</v>
      </c>
      <c r="G49" s="166">
        <f t="shared" si="15"/>
        <v>-1.5403438323503577E-2</v>
      </c>
      <c r="H49" s="165">
        <f>VLOOKUP($B49,'Data shares'!$C:$FB,66)</f>
        <v>21726000</v>
      </c>
      <c r="I49" s="165">
        <f>VLOOKUP($B49,'Data shares'!$C:$FB,67)</f>
        <v>22654200</v>
      </c>
      <c r="J49" s="81">
        <f t="shared" si="16"/>
        <v>-4.097253489419181</v>
      </c>
      <c r="K49" s="5">
        <f>VLOOKUP($B49,'Data Vlaue (Cr)'!$C:$FB,99)</f>
        <v>2067</v>
      </c>
      <c r="L49" s="81">
        <f>VLOOKUP(B49,'OI(Value)'!$A$7:$C$232,3,0)</f>
        <v>-32</v>
      </c>
      <c r="M49" s="33">
        <f t="shared" si="12"/>
        <v>-1.5481373971940009</v>
      </c>
      <c r="N49" s="5">
        <f>VLOOKUP($B49,'Data Vlaue (Cr)'!$C:$FB,67)</f>
        <v>1683</v>
      </c>
      <c r="O49" s="5">
        <f>VLOOKUP($B49,'Data Vlaue (Cr)'!$C:$FB,68)</f>
        <v>1755</v>
      </c>
      <c r="P49" s="5">
        <f t="shared" si="17"/>
        <v>-4.2780748663101598</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Finance</v>
      </c>
      <c r="B50" s="79" t="str">
        <f>'Data shares'!C45</f>
        <v>CHOLAFIN</v>
      </c>
      <c r="C50" s="4">
        <f>VLOOKUP($B50,'Data shares'!$C:$FB,7)</f>
        <v>1579</v>
      </c>
      <c r="D50" s="82">
        <f>VLOOKUP($B50,'Data shares'!$C:$FB,98)</f>
        <v>28711250</v>
      </c>
      <c r="E50" s="165">
        <f>VLOOKUP(B50,'Snapshot (Volume)'!$A$7:$G$168,7,0)</f>
        <v>28508750</v>
      </c>
      <c r="F50" s="165">
        <f>D50-E50</f>
        <v>202500</v>
      </c>
      <c r="G50" s="166">
        <f>F50/E50</f>
        <v>7.1030823869864517E-3</v>
      </c>
      <c r="H50" s="165">
        <f>VLOOKUP($B50,'Data shares'!$C:$FB,66)</f>
        <v>11315625</v>
      </c>
      <c r="I50" s="165">
        <f>VLOOKUP($B50,'Data shares'!$C:$FB,67)</f>
        <v>22619375</v>
      </c>
      <c r="J50" s="81">
        <f>(H50-I50)/I50*100</f>
        <v>-49.97375037992871</v>
      </c>
      <c r="K50" s="5">
        <f>VLOOKUP($B50,'Data Vlaue (Cr)'!$C:$FB,99)</f>
        <v>4532</v>
      </c>
      <c r="L50" s="81">
        <f>VLOOKUP(B50,'OI(Value)'!$A$7:$C$232,3,0)</f>
        <v>32</v>
      </c>
      <c r="M50" s="33">
        <f t="shared" si="12"/>
        <v>0.70609002647837604</v>
      </c>
      <c r="N50" s="5">
        <f>VLOOKUP($B50,'Data Vlaue (Cr)'!$C:$FB,67)</f>
        <v>1786</v>
      </c>
      <c r="O50" s="5">
        <f>VLOOKUP($B50,'Data Vlaue (Cr)'!$C:$FB,68)</f>
        <v>3570</v>
      </c>
      <c r="P50" s="5">
        <f>(N50-O50)/N50*100</f>
        <v>-99.888017917133254</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Pharma</v>
      </c>
      <c r="B51" s="79" t="str">
        <f>'Data shares'!C46</f>
        <v>CIPLA</v>
      </c>
      <c r="C51" s="4">
        <f>VLOOKUP($B51,'Data shares'!$C:$FB,7)</f>
        <v>1240.8</v>
      </c>
      <c r="D51" s="82">
        <f>VLOOKUP($B51,'Data shares'!$C:$FB,98)</f>
        <v>23799375</v>
      </c>
      <c r="E51" s="165">
        <f>VLOOKUP(B51,'Snapshot (Volume)'!$A$7:$G$168,7,0)</f>
        <v>23753250</v>
      </c>
      <c r="F51" s="165">
        <f>D51-E51</f>
        <v>46125</v>
      </c>
      <c r="G51" s="166">
        <f>F51/E51</f>
        <v>1.9418395377474662E-3</v>
      </c>
      <c r="H51" s="165">
        <f>VLOOKUP($B51,'Data shares'!$C:$FB,66)</f>
        <v>9726375</v>
      </c>
      <c r="I51" s="165">
        <f>VLOOKUP($B51,'Data shares'!$C:$FB,67)</f>
        <v>7447125</v>
      </c>
      <c r="J51" s="81">
        <f>(H51-I51)/I51*100</f>
        <v>30.605770683317385</v>
      </c>
      <c r="K51" s="5">
        <f>VLOOKUP($B51,'Data Vlaue (Cr)'!$C:$FB,99)</f>
        <v>2963</v>
      </c>
      <c r="L51" s="81">
        <f>VLOOKUP(B51,'OI(Value)'!$A$7:$C$232,3,0)</f>
        <v>6</v>
      </c>
      <c r="M51" s="33">
        <f t="shared" si="12"/>
        <v>0.20249746878164024</v>
      </c>
      <c r="N51" s="5">
        <f>VLOOKUP($B51,'Data Vlaue (Cr)'!$C:$FB,67)</f>
        <v>1211</v>
      </c>
      <c r="O51" s="5">
        <f>VLOOKUP($B51,'Data Vlaue (Cr)'!$C:$FB,68)</f>
        <v>927</v>
      </c>
      <c r="P51" s="5">
        <f>(N51-O51)/N51*100</f>
        <v>23.451692815854667</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Metals</v>
      </c>
      <c r="B52" s="79" t="str">
        <f>'Data shares'!C47</f>
        <v>COALINDIA</v>
      </c>
      <c r="C52" s="79">
        <f>VLOOKUP($B52,'Data shares'!$C:$FB,7)</f>
        <v>438.75</v>
      </c>
      <c r="D52" s="80">
        <f>VLOOKUP($B52,'Data shares'!$C:$FB,98)</f>
        <v>142797600</v>
      </c>
      <c r="E52" s="165">
        <f>VLOOKUP(B52,'Snapshot (Volume)'!$A$7:$G$168,7,0)</f>
        <v>141162750</v>
      </c>
      <c r="F52" s="165">
        <f t="shared" ref="F52:F68" si="18">D52-E52</f>
        <v>1634850</v>
      </c>
      <c r="G52" s="166">
        <f t="shared" ref="G52:G68" si="19">F52/E52</f>
        <v>1.1581313058862909E-2</v>
      </c>
      <c r="H52" s="165">
        <f>VLOOKUP($B52,'Data shares'!$C:$FB,66)</f>
        <v>95242500</v>
      </c>
      <c r="I52" s="165">
        <f>VLOOKUP($B52,'Data shares'!$C:$FB,67)</f>
        <v>62783100</v>
      </c>
      <c r="J52" s="81">
        <f t="shared" ref="J52:J68" si="20">(H52-I52)/I52*100</f>
        <v>51.700855803552223</v>
      </c>
      <c r="K52" s="81">
        <f>VLOOKUP($B52,'Data Vlaue (Cr)'!$C:$FB,99)</f>
        <v>6277</v>
      </c>
      <c r="L52" s="81">
        <f>VLOOKUP(B52,'OI(Value)'!$A$7:$C$232,3,0)</f>
        <v>72</v>
      </c>
      <c r="M52" s="81">
        <f t="shared" si="12"/>
        <v>1.1470447666082524</v>
      </c>
      <c r="N52" s="81">
        <f>VLOOKUP($B52,'Data Vlaue (Cr)'!$C:$FB,67)</f>
        <v>4186</v>
      </c>
      <c r="O52" s="81">
        <f>VLOOKUP($B52,'Data Vlaue (Cr)'!$C:$FB,68)</f>
        <v>2760</v>
      </c>
      <c r="P52" s="81">
        <f t="shared" ref="P52:P68" si="21">(N52-O52)/N52*100</f>
        <v>34.065934065934066</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COCHINSHIP</v>
      </c>
      <c r="C53" s="4">
        <f>VLOOKUP($B53,'Data shares'!$C:$FB,7)</f>
        <v>1561.1</v>
      </c>
      <c r="D53" s="82">
        <f>VLOOKUP($B53,'Data shares'!$C:$FB,98)</f>
        <v>3617600</v>
      </c>
      <c r="E53" s="165">
        <f>VLOOKUP(B53,'Snapshot (Volume)'!$A$7:$G$168,7,0)</f>
        <v>2913600</v>
      </c>
      <c r="F53" s="165">
        <f t="shared" si="18"/>
        <v>704000</v>
      </c>
      <c r="G53" s="166">
        <f t="shared" si="19"/>
        <v>0.24162548050521693</v>
      </c>
      <c r="H53" s="165">
        <f>VLOOKUP($B53,'Data shares'!$C:$FB,66)</f>
        <v>12188800</v>
      </c>
      <c r="I53" s="165">
        <f>VLOOKUP($B53,'Data shares'!$C:$FB,67)</f>
        <v>3476800</v>
      </c>
      <c r="J53" s="81">
        <f t="shared" si="20"/>
        <v>250.57524160147261</v>
      </c>
      <c r="K53" s="5">
        <f>VLOOKUP($B53,'Data Vlaue (Cr)'!$C:$FB,99)</f>
        <v>567</v>
      </c>
      <c r="L53" s="81">
        <f>VLOOKUP(B53,'OI(Value)'!$A$7:$C$232,3,0)</f>
        <v>110</v>
      </c>
      <c r="M53" s="33">
        <f t="shared" si="12"/>
        <v>19.400352733686066</v>
      </c>
      <c r="N53" s="5">
        <f>VLOOKUP($B53,'Data Vlaue (Cr)'!$C:$FB,67)</f>
        <v>1909</v>
      </c>
      <c r="O53" s="5">
        <f>VLOOKUP($B53,'Data Vlaue (Cr)'!$C:$FB,68)</f>
        <v>545</v>
      </c>
      <c r="P53" s="5">
        <f t="shared" si="21"/>
        <v>71.451021477213203</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Technology</v>
      </c>
      <c r="B54" s="79" t="str">
        <f>'Data shares'!C49</f>
        <v>COFORGE</v>
      </c>
      <c r="C54" s="4">
        <f>VLOOKUP($B54,'Data shares'!$C:$FB,7)</f>
        <v>1316.8</v>
      </c>
      <c r="D54" s="82">
        <f>VLOOKUP($B54,'Data shares'!$C:$FB,98)</f>
        <v>30873000</v>
      </c>
      <c r="E54" s="165">
        <f>VLOOKUP(B54,'Snapshot (Volume)'!$A$7:$G$168,7,0)</f>
        <v>30926250</v>
      </c>
      <c r="F54" s="165">
        <f t="shared" si="18"/>
        <v>-53250</v>
      </c>
      <c r="G54" s="166">
        <f t="shared" si="19"/>
        <v>-1.7218382442100158E-3</v>
      </c>
      <c r="H54" s="165">
        <f>VLOOKUP($B54,'Data shares'!$C:$FB,66)</f>
        <v>12450750</v>
      </c>
      <c r="I54" s="165">
        <f>VLOOKUP($B54,'Data shares'!$C:$FB,67)</f>
        <v>29673375</v>
      </c>
      <c r="J54" s="81">
        <f t="shared" si="20"/>
        <v>-58.040667770349685</v>
      </c>
      <c r="K54" s="5">
        <f>VLOOKUP($B54,'Data Vlaue (Cr)'!$C:$FB,99)</f>
        <v>4065</v>
      </c>
      <c r="L54" s="81">
        <f>VLOOKUP(B54,'OI(Value)'!$A$7:$C$232,3,0)</f>
        <v>-7</v>
      </c>
      <c r="M54" s="33">
        <f t="shared" si="12"/>
        <v>-0.17220172201722017</v>
      </c>
      <c r="N54" s="5">
        <f>VLOOKUP($B54,'Data Vlaue (Cr)'!$C:$FB,67)</f>
        <v>1640</v>
      </c>
      <c r="O54" s="5">
        <f>VLOOKUP($B54,'Data Vlaue (Cr)'!$C:$FB,68)</f>
        <v>3907</v>
      </c>
      <c r="P54" s="5">
        <f t="shared" si="21"/>
        <v>-138.23170731707316</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FMCG</v>
      </c>
      <c r="B55" s="79" t="str">
        <f>'Data shares'!C50</f>
        <v>COLPAL</v>
      </c>
      <c r="C55" s="4">
        <f>VLOOKUP($B55,'Data shares'!$C:$FB,7)</f>
        <v>2106</v>
      </c>
      <c r="D55" s="82">
        <f>VLOOKUP($B55,'Data shares'!$C:$FB,98)</f>
        <v>10500075</v>
      </c>
      <c r="E55" s="165">
        <f>VLOOKUP(B55,'Snapshot (Volume)'!$A$7:$G$168,7,0)</f>
        <v>8819775</v>
      </c>
      <c r="F55" s="165">
        <f t="shared" si="18"/>
        <v>1680300</v>
      </c>
      <c r="G55" s="166">
        <f t="shared" si="19"/>
        <v>0.19051506415979999</v>
      </c>
      <c r="H55" s="165">
        <f>VLOOKUP($B55,'Data shares'!$C:$FB,66)</f>
        <v>41450850</v>
      </c>
      <c r="I55" s="165">
        <f>VLOOKUP($B55,'Data shares'!$C:$FB,67)</f>
        <v>5343975</v>
      </c>
      <c r="J55" s="81">
        <f t="shared" si="20"/>
        <v>675.65576186265844</v>
      </c>
      <c r="K55" s="5">
        <f>VLOOKUP($B55,'Data Vlaue (Cr)'!$C:$FB,99)</f>
        <v>2215</v>
      </c>
      <c r="L55" s="81">
        <f>VLOOKUP(B55,'OI(Value)'!$A$7:$C$232,3,0)</f>
        <v>354</v>
      </c>
      <c r="M55" s="33">
        <f t="shared" si="12"/>
        <v>15.981941309255079</v>
      </c>
      <c r="N55" s="5">
        <f>VLOOKUP($B55,'Data Vlaue (Cr)'!$C:$FB,67)</f>
        <v>8743</v>
      </c>
      <c r="O55" s="5">
        <f>VLOOKUP($B55,'Data Vlaue (Cr)'!$C:$FB,68)</f>
        <v>1127</v>
      </c>
      <c r="P55" s="5">
        <f t="shared" si="21"/>
        <v>87.109687750200166</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Infrastructure</v>
      </c>
      <c r="B56" s="79" t="str">
        <f>'Data shares'!C51</f>
        <v>CONCOR</v>
      </c>
      <c r="C56" s="4">
        <f>VLOOKUP($B56,'Data shares'!$C:$FB,7)</f>
        <v>503.1</v>
      </c>
      <c r="D56" s="82">
        <f>VLOOKUP($B56,'Data shares'!$C:$FB,98)</f>
        <v>37010000</v>
      </c>
      <c r="E56" s="165">
        <f>VLOOKUP(B56,'Snapshot (Volume)'!$A$7:$G$168,7,0)</f>
        <v>36575000</v>
      </c>
      <c r="F56" s="165">
        <f t="shared" si="18"/>
        <v>435000</v>
      </c>
      <c r="G56" s="166">
        <f t="shared" si="19"/>
        <v>1.1893369788106629E-2</v>
      </c>
      <c r="H56" s="165">
        <f>VLOOKUP($B56,'Data shares'!$C:$FB,66)</f>
        <v>14356250</v>
      </c>
      <c r="I56" s="165">
        <f>VLOOKUP($B56,'Data shares'!$C:$FB,67)</f>
        <v>19447500</v>
      </c>
      <c r="J56" s="81">
        <f t="shared" si="20"/>
        <v>-26.179457513819255</v>
      </c>
      <c r="K56" s="5">
        <f>VLOOKUP($B56,'Data Vlaue (Cr)'!$C:$FB,99)</f>
        <v>1867</v>
      </c>
      <c r="L56" s="81">
        <f>VLOOKUP(B56,'OI(Value)'!$A$7:$C$232,3,0)</f>
        <v>22</v>
      </c>
      <c r="M56" s="33">
        <f t="shared" si="12"/>
        <v>1.1783610069630424</v>
      </c>
      <c r="N56" s="5">
        <f>VLOOKUP($B56,'Data Vlaue (Cr)'!$C:$FB,67)</f>
        <v>724</v>
      </c>
      <c r="O56" s="5">
        <f>VLOOKUP($B56,'Data Vlaue (Cr)'!$C:$FB,68)</f>
        <v>981</v>
      </c>
      <c r="P56" s="5">
        <f t="shared" si="21"/>
        <v>-35.497237569060772</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Capital_Goods</v>
      </c>
      <c r="B57" s="79" t="str">
        <f>'Data shares'!C52</f>
        <v>CROMPTON</v>
      </c>
      <c r="C57" s="4">
        <f>VLOOKUP($B57,'Data shares'!$C:$FB,7)</f>
        <v>261.45</v>
      </c>
      <c r="D57" s="82">
        <f>VLOOKUP($B57,'Data shares'!$C:$FB,98)</f>
        <v>65597400</v>
      </c>
      <c r="E57" s="165">
        <f>VLOOKUP(B57,'Snapshot (Volume)'!$A$7:$G$168,7,0)</f>
        <v>65601000</v>
      </c>
      <c r="F57" s="165">
        <f t="shared" si="18"/>
        <v>-3600</v>
      </c>
      <c r="G57" s="166">
        <f t="shared" si="19"/>
        <v>-5.4877212237618332E-5</v>
      </c>
      <c r="H57" s="165">
        <f>VLOOKUP($B57,'Data shares'!$C:$FB,66)</f>
        <v>30367800</v>
      </c>
      <c r="I57" s="165">
        <f>VLOOKUP($B57,'Data shares'!$C:$FB,67)</f>
        <v>76298400</v>
      </c>
      <c r="J57" s="81">
        <f t="shared" si="20"/>
        <v>-60.198641124846652</v>
      </c>
      <c r="K57" s="5">
        <f>VLOOKUP($B57,'Data Vlaue (Cr)'!$C:$FB,99)</f>
        <v>1715</v>
      </c>
      <c r="L57" s="81">
        <f>VLOOKUP(B57,'OI(Value)'!$A$7:$C$232,3,0)</f>
        <v>0</v>
      </c>
      <c r="M57" s="33">
        <f t="shared" si="12"/>
        <v>0</v>
      </c>
      <c r="N57" s="5">
        <f>VLOOKUP($B57,'Data Vlaue (Cr)'!$C:$FB,67)</f>
        <v>794</v>
      </c>
      <c r="O57" s="5">
        <f>VLOOKUP($B57,'Data Vlaue (Cr)'!$C:$FB,68)</f>
        <v>1994</v>
      </c>
      <c r="P57" s="5">
        <f t="shared" si="21"/>
        <v>-151.13350125944584</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Capital_Goods</v>
      </c>
      <c r="B58" s="79" t="str">
        <f>'Data shares'!C53</f>
        <v>CUMMINSIND</v>
      </c>
      <c r="C58" s="4">
        <f>VLOOKUP($B58,'Data shares'!$C:$FB,7)</f>
        <v>5140.8999999999996</v>
      </c>
      <c r="D58" s="82">
        <f>VLOOKUP($B58,'Data shares'!$C:$FB,98)</f>
        <v>6232600</v>
      </c>
      <c r="E58" s="165">
        <f>VLOOKUP(B58,'Snapshot (Volume)'!$A$7:$G$168,7,0)</f>
        <v>5897000</v>
      </c>
      <c r="F58" s="165">
        <f t="shared" si="18"/>
        <v>335600</v>
      </c>
      <c r="G58" s="166">
        <f t="shared" si="19"/>
        <v>5.6910293369509923E-2</v>
      </c>
      <c r="H58" s="165">
        <f>VLOOKUP($B58,'Data shares'!$C:$FB,66)</f>
        <v>7538400</v>
      </c>
      <c r="I58" s="165">
        <f>VLOOKUP($B58,'Data shares'!$C:$FB,67)</f>
        <v>3400400</v>
      </c>
      <c r="J58" s="81">
        <f t="shared" si="20"/>
        <v>121.69156569815316</v>
      </c>
      <c r="K58" s="5">
        <f>VLOOKUP($B58,'Data Vlaue (Cr)'!$C:$FB,99)</f>
        <v>3211</v>
      </c>
      <c r="L58" s="81">
        <f>VLOOKUP(B58,'OI(Value)'!$A$7:$C$232,3,0)</f>
        <v>173</v>
      </c>
      <c r="M58" s="33">
        <f t="shared" si="12"/>
        <v>5.3877296792276548</v>
      </c>
      <c r="N58" s="5">
        <f>VLOOKUP($B58,'Data Vlaue (Cr)'!$C:$FB,67)</f>
        <v>3884</v>
      </c>
      <c r="O58" s="5">
        <f>VLOOKUP($B58,'Data Vlaue (Cr)'!$C:$FB,68)</f>
        <v>1752</v>
      </c>
      <c r="P58" s="5">
        <f t="shared" si="21"/>
        <v>54.8918640576725</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FMCG</v>
      </c>
      <c r="B59" s="79" t="str">
        <f>'Data shares'!C54</f>
        <v>DABUR</v>
      </c>
      <c r="C59" s="4">
        <f>VLOOKUP($B59,'Data shares'!$C:$FB,7)</f>
        <v>442.85</v>
      </c>
      <c r="D59" s="82">
        <f>VLOOKUP($B59,'Data shares'!$C:$FB,98)</f>
        <v>50657500</v>
      </c>
      <c r="E59" s="165">
        <f>VLOOKUP(B59,'Snapshot (Volume)'!$A$7:$G$168,7,0)</f>
        <v>48492500</v>
      </c>
      <c r="F59" s="165">
        <f t="shared" si="18"/>
        <v>2165000</v>
      </c>
      <c r="G59" s="166">
        <f t="shared" si="19"/>
        <v>4.4646079290611949E-2</v>
      </c>
      <c r="H59" s="165">
        <f>VLOOKUP($B59,'Data shares'!$C:$FB,66)</f>
        <v>58455000</v>
      </c>
      <c r="I59" s="165">
        <f>VLOOKUP($B59,'Data shares'!$C:$FB,67)</f>
        <v>28627500</v>
      </c>
      <c r="J59" s="81">
        <f t="shared" si="20"/>
        <v>104.1917736442232</v>
      </c>
      <c r="K59" s="5">
        <f>VLOOKUP($B59,'Data Vlaue (Cr)'!$C:$FB,99)</f>
        <v>2243</v>
      </c>
      <c r="L59" s="81">
        <f>VLOOKUP(B59,'OI(Value)'!$A$7:$C$232,3,0)</f>
        <v>96</v>
      </c>
      <c r="M59" s="33">
        <f t="shared" si="12"/>
        <v>4.2799821667409716</v>
      </c>
      <c r="N59" s="5">
        <f>VLOOKUP($B59,'Data Vlaue (Cr)'!$C:$FB,67)</f>
        <v>2588</v>
      </c>
      <c r="O59" s="5">
        <f>VLOOKUP($B59,'Data Vlaue (Cr)'!$C:$FB,68)</f>
        <v>1267</v>
      </c>
      <c r="P59" s="5">
        <f t="shared" si="21"/>
        <v>51.043276661514682</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Cement</v>
      </c>
      <c r="B60" s="79" t="str">
        <f>'Data shares'!C55</f>
        <v>DALBHARAT</v>
      </c>
      <c r="C60" s="4">
        <f>VLOOKUP($B60,'Data shares'!$C:$FB,7)</f>
        <v>1971.7</v>
      </c>
      <c r="D60" s="82">
        <f>VLOOKUP($B60,'Data shares'!$C:$FB,98)</f>
        <v>4595825</v>
      </c>
      <c r="E60" s="165">
        <f>VLOOKUP(B60,'Snapshot (Volume)'!$A$7:$G$168,7,0)</f>
        <v>4517500</v>
      </c>
      <c r="F60" s="165">
        <f t="shared" si="18"/>
        <v>78325</v>
      </c>
      <c r="G60" s="166">
        <f t="shared" si="19"/>
        <v>1.7338129496402878E-2</v>
      </c>
      <c r="H60" s="165">
        <f>VLOOKUP($B60,'Data shares'!$C:$FB,66)</f>
        <v>1954225</v>
      </c>
      <c r="I60" s="165">
        <f>VLOOKUP($B60,'Data shares'!$C:$FB,67)</f>
        <v>1823250</v>
      </c>
      <c r="J60" s="81">
        <f t="shared" si="20"/>
        <v>7.1836007130124777</v>
      </c>
      <c r="K60" s="5">
        <f>VLOOKUP($B60,'Data Vlaue (Cr)'!$C:$FB,99)</f>
        <v>909</v>
      </c>
      <c r="L60" s="81">
        <f>VLOOKUP(B60,'OI(Value)'!$A$7:$C$232,3,0)</f>
        <v>15</v>
      </c>
      <c r="M60" s="33">
        <f t="shared" si="12"/>
        <v>1.6501650165016499</v>
      </c>
      <c r="N60" s="5">
        <f>VLOOKUP($B60,'Data Vlaue (Cr)'!$C:$FB,67)</f>
        <v>387</v>
      </c>
      <c r="O60" s="5">
        <f>VLOOKUP($B60,'Data Vlaue (Cr)'!$C:$FB,68)</f>
        <v>361</v>
      </c>
      <c r="P60" s="5">
        <f t="shared" si="21"/>
        <v>6.7183462532299743</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New_Age</v>
      </c>
      <c r="B61" s="79" t="str">
        <f>'Data shares'!C56</f>
        <v>DELHIVERY</v>
      </c>
      <c r="C61" s="4">
        <f>VLOOKUP($B61,'Data shares'!$C:$FB,7)</f>
        <v>463</v>
      </c>
      <c r="D61" s="82">
        <f>VLOOKUP($B61,'Data shares'!$C:$FB,98)</f>
        <v>51775400</v>
      </c>
      <c r="E61" s="165">
        <f>VLOOKUP(B61,'Snapshot (Volume)'!$A$7:$G$168,7,0)</f>
        <v>45087675</v>
      </c>
      <c r="F61" s="165">
        <f t="shared" si="18"/>
        <v>6687725</v>
      </c>
      <c r="G61" s="166">
        <f t="shared" si="19"/>
        <v>0.14832712043812415</v>
      </c>
      <c r="H61" s="165">
        <f>VLOOKUP($B61,'Data shares'!$C:$FB,66)</f>
        <v>45093900</v>
      </c>
      <c r="I61" s="165">
        <f>VLOOKUP($B61,'Data shares'!$C:$FB,67)</f>
        <v>19380500</v>
      </c>
      <c r="J61" s="81">
        <f t="shared" si="20"/>
        <v>132.67665952890792</v>
      </c>
      <c r="K61" s="5">
        <f>VLOOKUP($B61,'Data Vlaue (Cr)'!$C:$FB,99)</f>
        <v>2405</v>
      </c>
      <c r="L61" s="81">
        <f>VLOOKUP(B61,'OI(Value)'!$A$7:$C$232,3,0)</f>
        <v>311</v>
      </c>
      <c r="M61" s="33">
        <f t="shared" si="12"/>
        <v>12.931392931392931</v>
      </c>
      <c r="N61" s="5">
        <f>VLOOKUP($B61,'Data Vlaue (Cr)'!$C:$FB,67)</f>
        <v>2095</v>
      </c>
      <c r="O61" s="5">
        <f>VLOOKUP($B61,'Data Vlaue (Cr)'!$C:$FB,68)</f>
        <v>900</v>
      </c>
      <c r="P61" s="5">
        <f t="shared" si="21"/>
        <v>57.040572792362767</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Pharma</v>
      </c>
      <c r="B62" s="79" t="str">
        <f>'Data shares'!C57</f>
        <v>DIVISLAB</v>
      </c>
      <c r="C62" s="4">
        <f>VLOOKUP($B62,'Data shares'!$C:$FB,7)</f>
        <v>6229</v>
      </c>
      <c r="D62" s="82">
        <f>VLOOKUP($B62,'Data shares'!$C:$FB,98)</f>
        <v>4199800</v>
      </c>
      <c r="E62" s="165">
        <f>VLOOKUP(B62,'Snapshot (Volume)'!$A$7:$G$168,7,0)</f>
        <v>4131800</v>
      </c>
      <c r="F62" s="165">
        <f t="shared" si="18"/>
        <v>68000</v>
      </c>
      <c r="G62" s="166"/>
      <c r="H62" s="165">
        <f>VLOOKUP($B62,'Data shares'!$C:$FB,66)</f>
        <v>1821300</v>
      </c>
      <c r="I62" s="165">
        <f>VLOOKUP($B62,'Data shares'!$C:$FB,67)</f>
        <v>2842500</v>
      </c>
      <c r="J62" s="81"/>
      <c r="K62" s="5">
        <f>VLOOKUP($B62,'Data Vlaue (Cr)'!$C:$FB,99)</f>
        <v>2620</v>
      </c>
      <c r="L62" s="81">
        <f>VLOOKUP(B62,'OI(Value)'!$A$7:$C$232,3,0)</f>
        <v>42</v>
      </c>
      <c r="M62" s="33"/>
      <c r="N62" s="5">
        <f>VLOOKUP($B62,'Data Vlaue (Cr)'!$C:$FB,67)</f>
        <v>1136</v>
      </c>
      <c r="O62" s="5">
        <f>VLOOKUP($B62,'Data Vlaue (Cr)'!$C:$FB,68)</f>
        <v>1773</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Capital_Goods</v>
      </c>
      <c r="B63" s="79" t="str">
        <f>'Data shares'!C58</f>
        <v>DIXON</v>
      </c>
      <c r="C63" s="4">
        <f>VLOOKUP($B63,'Data shares'!$C:$FB,7)</f>
        <v>11371.5</v>
      </c>
      <c r="D63" s="82">
        <f>VLOOKUP($B63,'Data shares'!$C:$FB,98)</f>
        <v>6749450</v>
      </c>
      <c r="E63" s="165">
        <f>VLOOKUP(B63,'Snapshot (Volume)'!$A$7:$G$168,7,0)</f>
        <v>6882000</v>
      </c>
      <c r="F63" s="165">
        <f t="shared" si="18"/>
        <v>-132550</v>
      </c>
      <c r="G63" s="166">
        <f t="shared" si="19"/>
        <v>-1.9260389421679746E-2</v>
      </c>
      <c r="H63" s="165">
        <f>VLOOKUP($B63,'Data shares'!$C:$FB,66)</f>
        <v>6342150</v>
      </c>
      <c r="I63" s="165">
        <f>VLOOKUP($B63,'Data shares'!$C:$FB,67)</f>
        <v>9423950</v>
      </c>
      <c r="J63" s="81">
        <f t="shared" si="20"/>
        <v>-32.7017864059126</v>
      </c>
      <c r="K63" s="5">
        <f>VLOOKUP($B63,'Data Vlaue (Cr)'!$C:$FB,99)</f>
        <v>7679</v>
      </c>
      <c r="L63" s="81">
        <f>VLOOKUP(B63,'OI(Value)'!$A$7:$C$232,3,0)</f>
        <v>-151</v>
      </c>
      <c r="M63" s="33">
        <f t="shared" si="12"/>
        <v>-1.9664018752441725</v>
      </c>
      <c r="N63" s="5">
        <f>VLOOKUP($B63,'Data Vlaue (Cr)'!$C:$FB,67)</f>
        <v>7216</v>
      </c>
      <c r="O63" s="5">
        <f>VLOOKUP($B63,'Data Vlaue (Cr)'!$C:$FB,68)</f>
        <v>10722</v>
      </c>
      <c r="P63" s="5">
        <f t="shared" si="21"/>
        <v>-48.586474501108647</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Realty</v>
      </c>
      <c r="B64" s="79" t="str">
        <f>'Data shares'!C59</f>
        <v>DLF</v>
      </c>
      <c r="C64" s="4">
        <f>VLOOKUP($B64,'Data shares'!$C:$FB,7)</f>
        <v>601.75</v>
      </c>
      <c r="D64" s="82">
        <f>VLOOKUP($B64,'Data shares'!$C:$FB,98)</f>
        <v>73074375</v>
      </c>
      <c r="E64" s="165">
        <f>VLOOKUP(B64,'Snapshot (Volume)'!$A$7:$G$168,7,0)</f>
        <v>74670750</v>
      </c>
      <c r="F64" s="165">
        <f t="shared" si="18"/>
        <v>-1596375</v>
      </c>
      <c r="G64" s="166">
        <f t="shared" si="19"/>
        <v>-2.1378853165396089E-2</v>
      </c>
      <c r="H64" s="165">
        <f>VLOOKUP($B64,'Data shares'!$C:$FB,66)</f>
        <v>41220300</v>
      </c>
      <c r="I64" s="165">
        <f>VLOOKUP($B64,'Data shares'!$C:$FB,67)</f>
        <v>25285425</v>
      </c>
      <c r="J64" s="81">
        <f t="shared" si="20"/>
        <v>63.020000652549832</v>
      </c>
      <c r="K64" s="5">
        <f>VLOOKUP($B64,'Data Vlaue (Cr)'!$C:$FB,99)</f>
        <v>4396</v>
      </c>
      <c r="L64" s="81">
        <f>VLOOKUP(B64,'OI(Value)'!$A$7:$C$232,3,0)</f>
        <v>-96</v>
      </c>
      <c r="M64" s="33">
        <f t="shared" si="12"/>
        <v>-2.1838034576888083</v>
      </c>
      <c r="N64" s="5">
        <f>VLOOKUP($B64,'Data Vlaue (Cr)'!$C:$FB,67)</f>
        <v>2480</v>
      </c>
      <c r="O64" s="5">
        <f>VLOOKUP($B64,'Data Vlaue (Cr)'!$C:$FB,68)</f>
        <v>1521</v>
      </c>
      <c r="P64" s="5">
        <f t="shared" si="21"/>
        <v>38.66935483870968</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New_Age</v>
      </c>
      <c r="B65" s="79" t="str">
        <f>'Data shares'!C60</f>
        <v>DMART</v>
      </c>
      <c r="C65" s="4">
        <f>VLOOKUP($B65,'Data shares'!$C:$FB,7)</f>
        <v>4628.5</v>
      </c>
      <c r="D65" s="82">
        <f>VLOOKUP($B65,'Data shares'!$C:$FB,98)</f>
        <v>7862550</v>
      </c>
      <c r="E65" s="165">
        <f>VLOOKUP(B65,'Snapshot (Volume)'!$A$7:$G$168,7,0)</f>
        <v>7480500</v>
      </c>
      <c r="F65" s="165">
        <f t="shared" si="18"/>
        <v>382050</v>
      </c>
      <c r="G65" s="166">
        <f t="shared" si="19"/>
        <v>5.1072789252055342E-2</v>
      </c>
      <c r="H65" s="165">
        <f>VLOOKUP($B65,'Data shares'!$C:$FB,66)</f>
        <v>15516450</v>
      </c>
      <c r="I65" s="165">
        <f>VLOOKUP($B65,'Data shares'!$C:$FB,67)</f>
        <v>4711350</v>
      </c>
      <c r="J65" s="81">
        <f t="shared" si="20"/>
        <v>229.34190837021237</v>
      </c>
      <c r="K65" s="5">
        <f>VLOOKUP($B65,'Data Vlaue (Cr)'!$C:$FB,99)</f>
        <v>3652</v>
      </c>
      <c r="L65" s="81">
        <f>VLOOKUP(B65,'OI(Value)'!$A$7:$C$232,3,0)</f>
        <v>177</v>
      </c>
      <c r="M65" s="33">
        <f t="shared" si="12"/>
        <v>4.8466593647316536</v>
      </c>
      <c r="N65" s="5">
        <f>VLOOKUP($B65,'Data Vlaue (Cr)'!$C:$FB,67)</f>
        <v>7207</v>
      </c>
      <c r="O65" s="5">
        <f>VLOOKUP($B65,'Data Vlaue (Cr)'!$C:$FB,68)</f>
        <v>2188</v>
      </c>
      <c r="P65" s="5">
        <f t="shared" si="21"/>
        <v>69.640627168031074</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Pharma</v>
      </c>
      <c r="B66" s="79" t="str">
        <f>'Data shares'!C61</f>
        <v>DRREDDY</v>
      </c>
      <c r="C66" s="4">
        <f>VLOOKUP($B66,'Data shares'!$C:$FB,7)</f>
        <v>1235.7</v>
      </c>
      <c r="D66" s="82">
        <f>VLOOKUP($B66,'Data shares'!$C:$FB,98)</f>
        <v>26233125</v>
      </c>
      <c r="E66" s="165">
        <f>VLOOKUP(B66,'Snapshot (Volume)'!$A$7:$G$168,7,0)</f>
        <v>25818750</v>
      </c>
      <c r="F66" s="165">
        <f t="shared" si="18"/>
        <v>414375</v>
      </c>
      <c r="G66" s="166">
        <f t="shared" si="19"/>
        <v>1.6049382716049384E-2</v>
      </c>
      <c r="H66" s="165">
        <f>VLOOKUP($B66,'Data shares'!$C:$FB,66)</f>
        <v>15924375</v>
      </c>
      <c r="I66" s="165">
        <f>VLOOKUP($B66,'Data shares'!$C:$FB,67)</f>
        <v>16599375</v>
      </c>
      <c r="J66" s="81">
        <f t="shared" si="20"/>
        <v>-4.0664181633344629</v>
      </c>
      <c r="K66" s="5">
        <f>VLOOKUP($B66,'Data Vlaue (Cr)'!$C:$FB,99)</f>
        <v>3231</v>
      </c>
      <c r="L66" s="81">
        <f>VLOOKUP(B66,'OI(Value)'!$A$7:$C$232,3,0)</f>
        <v>51</v>
      </c>
      <c r="M66" s="33">
        <f t="shared" ref="M66:M93" si="22">L66/K66*100</f>
        <v>1.5784586815227482</v>
      </c>
      <c r="N66" s="5">
        <f>VLOOKUP($B66,'Data Vlaue (Cr)'!$C:$FB,67)</f>
        <v>1962</v>
      </c>
      <c r="O66" s="5">
        <f>VLOOKUP($B66,'Data Vlaue (Cr)'!$C:$FB,68)</f>
        <v>2045</v>
      </c>
      <c r="P66" s="5">
        <f t="shared" si="21"/>
        <v>-4.2303771661569822</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EICHERMOT</v>
      </c>
      <c r="C67" s="4">
        <f>VLOOKUP($B67,'Data shares'!$C:$FB,7)</f>
        <v>7189.5</v>
      </c>
      <c r="D67" s="82">
        <f>VLOOKUP($B67,'Data shares'!$C:$FB,98)</f>
        <v>8195200</v>
      </c>
      <c r="E67" s="165">
        <f>VLOOKUP(B67,'Snapshot (Volume)'!$A$7:$G$168,7,0)</f>
        <v>8235900</v>
      </c>
      <c r="F67" s="165">
        <f t="shared" si="18"/>
        <v>-40700</v>
      </c>
      <c r="G67" s="166">
        <f t="shared" si="19"/>
        <v>-4.9417792833812944E-3</v>
      </c>
      <c r="H67" s="165">
        <f>VLOOKUP($B67,'Data shares'!$C:$FB,66)</f>
        <v>4867500</v>
      </c>
      <c r="I67" s="165">
        <f>VLOOKUP($B67,'Data shares'!$C:$FB,67)</f>
        <v>5197000</v>
      </c>
      <c r="J67" s="81">
        <f t="shared" si="20"/>
        <v>-6.3401962670771601</v>
      </c>
      <c r="K67" s="5">
        <f>VLOOKUP($B67,'Data Vlaue (Cr)'!$C:$FB,99)</f>
        <v>5892</v>
      </c>
      <c r="L67" s="81">
        <f>VLOOKUP(B67,'OI(Value)'!$A$7:$C$232,3,0)</f>
        <v>-29</v>
      </c>
      <c r="M67" s="33">
        <f t="shared" si="22"/>
        <v>-0.49219280380176517</v>
      </c>
      <c r="N67" s="5">
        <f>VLOOKUP($B67,'Data Vlaue (Cr)'!$C:$FB,67)</f>
        <v>3499</v>
      </c>
      <c r="O67" s="5">
        <f>VLOOKUP($B67,'Data Vlaue (Cr)'!$C:$FB,68)</f>
        <v>3736</v>
      </c>
      <c r="P67" s="5">
        <f t="shared" si="21"/>
        <v>-6.773363818233781</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New_Age</v>
      </c>
      <c r="B68" s="79" t="str">
        <f>'Data shares'!C63</f>
        <v>ETERNAL</v>
      </c>
      <c r="C68" s="4">
        <f>VLOOKUP($B68,'Data shares'!$C:$FB,7)</f>
        <v>252.61</v>
      </c>
      <c r="D68" s="82">
        <f>VLOOKUP($B68,'Data shares'!$C:$FB,98)</f>
        <v>310545500</v>
      </c>
      <c r="E68" s="165">
        <f>VLOOKUP(B68,'Snapshot (Volume)'!$A$7:$G$168,7,0)</f>
        <v>313290600</v>
      </c>
      <c r="F68" s="165">
        <f t="shared" si="18"/>
        <v>-2745100</v>
      </c>
      <c r="G68" s="166">
        <f t="shared" si="19"/>
        <v>-8.7621524552603872E-3</v>
      </c>
      <c r="H68" s="165">
        <f>VLOOKUP($B68,'Data shares'!$C:$FB,66)</f>
        <v>164007600</v>
      </c>
      <c r="I68" s="165">
        <f>VLOOKUP($B68,'Data shares'!$C:$FB,67)</f>
        <v>210756750</v>
      </c>
      <c r="J68" s="81">
        <f t="shared" si="20"/>
        <v>-22.181567138419052</v>
      </c>
      <c r="K68" s="5">
        <f>VLOOKUP($B68,'Data Vlaue (Cr)'!$C:$FB,99)</f>
        <v>7844</v>
      </c>
      <c r="L68" s="81">
        <f>VLOOKUP(B68,'OI(Value)'!$A$7:$C$232,3,0)</f>
        <v>-69</v>
      </c>
      <c r="M68" s="33">
        <f t="shared" si="22"/>
        <v>-0.87965323814380414</v>
      </c>
      <c r="N68" s="5">
        <f>VLOOKUP($B68,'Data Vlaue (Cr)'!$C:$FB,67)</f>
        <v>4143</v>
      </c>
      <c r="O68" s="5">
        <f>VLOOKUP($B68,'Data Vlaue (Cr)'!$C:$FB,68)</f>
        <v>5324</v>
      </c>
      <c r="P68" s="5">
        <f t="shared" si="21"/>
        <v>-28.505913589186584</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Automobile</v>
      </c>
      <c r="B69" s="79" t="str">
        <f>'Data shares'!C64</f>
        <v>EXIDEIND</v>
      </c>
      <c r="C69" s="79">
        <f>VLOOKUP($B69,'Data shares'!$C:$FB,7)</f>
        <v>330</v>
      </c>
      <c r="D69" s="165">
        <f>VLOOKUP($B69,'Data shares'!$C:$FB,98)</f>
        <v>54329400</v>
      </c>
      <c r="E69" s="165">
        <f>VLOOKUP(B69,'Snapshot (Volume)'!$A$7:$G$168,7,0)</f>
        <v>53825400</v>
      </c>
      <c r="F69" s="165">
        <f t="shared" ref="F69:F85" si="23">D69-E69</f>
        <v>504000</v>
      </c>
      <c r="G69" s="166">
        <f t="shared" ref="G69:G85" si="24">F69/E69</f>
        <v>9.3636090024412262E-3</v>
      </c>
      <c r="H69" s="165">
        <f>VLOOKUP($B69,'Data shares'!$C:$FB,66)</f>
        <v>12105000</v>
      </c>
      <c r="I69" s="165">
        <f>VLOOKUP($B69,'Data shares'!$C:$FB,67)</f>
        <v>12195000</v>
      </c>
      <c r="J69" s="81">
        <f t="shared" ref="J69:J85" si="25">(H69-I69)/I69*100</f>
        <v>-0.73800738007380073</v>
      </c>
      <c r="K69" s="81">
        <f>VLOOKUP($B69,'Data Vlaue (Cr)'!$C:$FB,99)</f>
        <v>1794</v>
      </c>
      <c r="L69" s="81">
        <f>VLOOKUP(B69,'OI(Value)'!$A$7:$C$232,3,0)</f>
        <v>17</v>
      </c>
      <c r="M69" s="81">
        <f t="shared" si="22"/>
        <v>0.94760312151616499</v>
      </c>
      <c r="N69" s="81">
        <f>VLOOKUP($B69,'Data Vlaue (Cr)'!$C:$FB,67)</f>
        <v>400</v>
      </c>
      <c r="O69" s="81">
        <f>VLOOKUP($B69,'Data Vlaue (Cr)'!$C:$FB,68)</f>
        <v>403</v>
      </c>
      <c r="P69" s="81">
        <f t="shared" ref="P69:P85" si="26">(N69-O69)/N69*100</f>
        <v>-0.75</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Banking</v>
      </c>
      <c r="B70" s="79" t="str">
        <f>'Data shares'!C65</f>
        <v>FEDERALBNK</v>
      </c>
      <c r="C70" s="79">
        <f>VLOOKUP($B70,'Data shares'!$C:$FB,7)</f>
        <v>293.75</v>
      </c>
      <c r="D70" s="165">
        <f>VLOOKUP($B70,'Data shares'!$C:$FB,98)</f>
        <v>147745000</v>
      </c>
      <c r="E70" s="165">
        <f>VLOOKUP(B70,'Snapshot (Volume)'!$A$7:$G$168,7,0)</f>
        <v>150185000</v>
      </c>
      <c r="F70" s="165">
        <f t="shared" si="23"/>
        <v>-2440000</v>
      </c>
      <c r="G70" s="166">
        <f t="shared" si="24"/>
        <v>-1.6246629157372575E-2</v>
      </c>
      <c r="H70" s="165">
        <f>VLOOKUP($B70,'Data shares'!$C:$FB,66)</f>
        <v>123750000</v>
      </c>
      <c r="I70" s="165">
        <f>VLOOKUP($B70,'Data shares'!$C:$FB,67)</f>
        <v>106060000</v>
      </c>
      <c r="J70" s="81">
        <f t="shared" si="25"/>
        <v>16.679238167075241</v>
      </c>
      <c r="K70" s="81">
        <f>VLOOKUP($B70,'Data Vlaue (Cr)'!$C:$FB,99)</f>
        <v>4338</v>
      </c>
      <c r="L70" s="81">
        <f>VLOOKUP(B70,'OI(Value)'!$A$7:$C$232,3,0)</f>
        <v>-72</v>
      </c>
      <c r="M70" s="81">
        <f t="shared" si="22"/>
        <v>-1.6597510373443984</v>
      </c>
      <c r="N70" s="81">
        <f>VLOOKUP($B70,'Data Vlaue (Cr)'!$C:$FB,67)</f>
        <v>3633</v>
      </c>
      <c r="O70" s="81">
        <f>VLOOKUP($B70,'Data Vlaue (Cr)'!$C:$FB,68)</f>
        <v>3114</v>
      </c>
      <c r="P70" s="81">
        <f t="shared" si="26"/>
        <v>14.285714285714285</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Index</v>
      </c>
      <c r="B71" s="79" t="str">
        <f>'Data shares'!C66</f>
        <v>FINNIFTY</v>
      </c>
      <c r="C71" s="4">
        <f>VLOOKUP($B71,'Data shares'!$C:$FB,7)</f>
        <v>26521.25</v>
      </c>
      <c r="D71" s="82">
        <f>VLOOKUP($B71,'Data shares'!$C:$FB,98)</f>
        <v>692040</v>
      </c>
      <c r="E71" s="165">
        <f>VLOOKUP(B71,'Snapshot (Volume)'!$A$7:$G$168,7,0)</f>
        <v>706020</v>
      </c>
      <c r="F71" s="165">
        <f t="shared" si="23"/>
        <v>-13980</v>
      </c>
      <c r="G71" s="166">
        <f t="shared" si="24"/>
        <v>-1.9801138777938303E-2</v>
      </c>
      <c r="H71" s="165">
        <f>VLOOKUP($B71,'Data shares'!$C:$FB,66)</f>
        <v>931500</v>
      </c>
      <c r="I71" s="165">
        <f>VLOOKUP($B71,'Data shares'!$C:$FB,67)</f>
        <v>1113000</v>
      </c>
      <c r="J71" s="81">
        <f t="shared" si="25"/>
        <v>-16.307277628032345</v>
      </c>
      <c r="K71" s="5">
        <f>VLOOKUP($B71,'Data Vlaue (Cr)'!$C:$FB,99)</f>
        <v>1838</v>
      </c>
      <c r="L71" s="81">
        <f>VLOOKUP(B71,'OI(Value)'!$A$7:$C$232,3,0)</f>
        <v>-37</v>
      </c>
      <c r="M71" s="33">
        <f t="shared" si="22"/>
        <v>-2.013057671381937</v>
      </c>
      <c r="N71" s="5">
        <f>VLOOKUP($B71,'Data Vlaue (Cr)'!$C:$FB,67)</f>
        <v>2475</v>
      </c>
      <c r="O71" s="5">
        <f>VLOOKUP($B71,'Data Vlaue (Cr)'!$C:$FB,68)</f>
        <v>2957</v>
      </c>
      <c r="P71" s="5">
        <f t="shared" si="26"/>
        <v>-19.474747474747474</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Automobile</v>
      </c>
      <c r="B72" s="79" t="str">
        <f>'Data shares'!C67</f>
        <v>FORCEMOT</v>
      </c>
      <c r="C72" s="4">
        <f>VLOOKUP($B72,'Data shares'!$C:$FB,7)</f>
        <v>22378</v>
      </c>
      <c r="D72" s="82">
        <f>VLOOKUP($B72,'Data shares'!$C:$FB,98)</f>
        <v>236500</v>
      </c>
      <c r="E72" s="165">
        <f>VLOOKUP(B72,'Snapshot (Volume)'!$A$7:$G$168,7,0)</f>
        <v>219800</v>
      </c>
      <c r="F72" s="165">
        <f t="shared" si="23"/>
        <v>16700</v>
      </c>
      <c r="G72" s="166">
        <f t="shared" si="24"/>
        <v>7.5978161965423119E-2</v>
      </c>
      <c r="H72" s="165">
        <f>VLOOKUP($B72,'Data shares'!$C:$FB,66)</f>
        <v>99725</v>
      </c>
      <c r="I72" s="165">
        <f>VLOOKUP($B72,'Data shares'!$C:$FB,67)</f>
        <v>236050</v>
      </c>
      <c r="J72" s="81">
        <f t="shared" si="25"/>
        <v>-57.752594789239566</v>
      </c>
      <c r="K72" s="5">
        <f>VLOOKUP($B72,'Data Vlaue (Cr)'!$C:$FB,99)</f>
        <v>529</v>
      </c>
      <c r="L72" s="81">
        <f>VLOOKUP(B72,'OI(Value)'!$A$7:$C$232,3,0)</f>
        <v>37</v>
      </c>
      <c r="M72" s="33">
        <f t="shared" si="22"/>
        <v>6.9943289224952743</v>
      </c>
      <c r="N72" s="5">
        <f>VLOOKUP($B72,'Data Vlaue (Cr)'!$C:$FB,67)</f>
        <v>223</v>
      </c>
      <c r="O72" s="5">
        <f>VLOOKUP($B72,'Data Vlaue (Cr)'!$C:$FB,68)</f>
        <v>528</v>
      </c>
      <c r="P72" s="5">
        <f t="shared" si="26"/>
        <v>-136.77130044843048</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Pharma</v>
      </c>
      <c r="B73" s="79" t="str">
        <f>'Data shares'!C68</f>
        <v>FORTIS</v>
      </c>
      <c r="C73" s="4">
        <f>VLOOKUP($B73,'Data shares'!$C:$FB,7)</f>
        <v>890.2</v>
      </c>
      <c r="D73" s="82">
        <f>VLOOKUP($B73,'Data shares'!$C:$FB,98)</f>
        <v>15195425</v>
      </c>
      <c r="E73" s="165">
        <f>VLOOKUP(B73,'Snapshot (Volume)'!$A$7:$G$168,7,0)</f>
        <v>15107075</v>
      </c>
      <c r="F73" s="165">
        <f t="shared" si="23"/>
        <v>88350</v>
      </c>
      <c r="G73" s="166">
        <f t="shared" si="24"/>
        <v>5.848253219104294E-3</v>
      </c>
      <c r="H73" s="165">
        <f>VLOOKUP($B73,'Data shares'!$C:$FB,66)</f>
        <v>8592425</v>
      </c>
      <c r="I73" s="165">
        <f>VLOOKUP($B73,'Data shares'!$C:$FB,67)</f>
        <v>7055600</v>
      </c>
      <c r="J73" s="81">
        <f t="shared" si="25"/>
        <v>21.781634446397188</v>
      </c>
      <c r="K73" s="5">
        <f>VLOOKUP($B73,'Data Vlaue (Cr)'!$C:$FB,99)</f>
        <v>1354</v>
      </c>
      <c r="L73" s="81">
        <f>VLOOKUP(B73,'OI(Value)'!$A$7:$C$232,3,0)</f>
        <v>8</v>
      </c>
      <c r="M73" s="33">
        <f t="shared" si="22"/>
        <v>0.59084194977843429</v>
      </c>
      <c r="N73" s="5">
        <f>VLOOKUP($B73,'Data Vlaue (Cr)'!$C:$FB,67)</f>
        <v>765</v>
      </c>
      <c r="O73" s="5">
        <f>VLOOKUP($B73,'Data Vlaue (Cr)'!$C:$FB,68)</f>
        <v>629</v>
      </c>
      <c r="P73" s="5">
        <f t="shared" si="26"/>
        <v>17.777777777777779</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Oil_Gas</v>
      </c>
      <c r="B74" s="79" t="str">
        <f>'Data shares'!C69</f>
        <v>GAIL</v>
      </c>
      <c r="C74" s="4">
        <f>VLOOKUP($B74,'Data shares'!$C:$FB,7)</f>
        <v>157.82</v>
      </c>
      <c r="D74" s="82">
        <f>VLOOKUP($B74,'Data shares'!$C:$FB,98)</f>
        <v>138940200</v>
      </c>
      <c r="E74" s="165">
        <f>VLOOKUP(B74,'Snapshot (Volume)'!$A$7:$G$168,7,0)</f>
        <v>137525850</v>
      </c>
      <c r="F74" s="165">
        <f t="shared" si="23"/>
        <v>1414350</v>
      </c>
      <c r="G74" s="166">
        <f t="shared" si="24"/>
        <v>1.0284248379486475E-2</v>
      </c>
      <c r="H74" s="165">
        <f>VLOOKUP($B74,'Data shares'!$C:$FB,66)</f>
        <v>35254800</v>
      </c>
      <c r="I74" s="165">
        <f>VLOOKUP($B74,'Data shares'!$C:$FB,67)</f>
        <v>43236900</v>
      </c>
      <c r="J74" s="81">
        <f t="shared" si="25"/>
        <v>-18.461314294040506</v>
      </c>
      <c r="K74" s="5">
        <f>VLOOKUP($B74,'Data Vlaue (Cr)'!$C:$FB,99)</f>
        <v>2200</v>
      </c>
      <c r="L74" s="81">
        <f>VLOOKUP(B74,'OI(Value)'!$A$7:$C$232,3,0)</f>
        <v>22</v>
      </c>
      <c r="M74" s="33">
        <f t="shared" si="22"/>
        <v>1</v>
      </c>
      <c r="N74" s="5">
        <f>VLOOKUP($B74,'Data Vlaue (Cr)'!$C:$FB,67)</f>
        <v>558</v>
      </c>
      <c r="O74" s="5">
        <f>VLOOKUP($B74,'Data Vlaue (Cr)'!$C:$FB,68)</f>
        <v>685</v>
      </c>
      <c r="P74" s="5">
        <f t="shared" si="26"/>
        <v>-22.759856630824373</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Pharma</v>
      </c>
      <c r="B75" s="79" t="str">
        <f>'Data shares'!C70</f>
        <v>GLENMARK</v>
      </c>
      <c r="C75" s="4">
        <f>VLOOKUP($B75,'Data shares'!$C:$FB,7)</f>
        <v>2249.5</v>
      </c>
      <c r="D75" s="82">
        <f>VLOOKUP($B75,'Data shares'!$C:$FB,98)</f>
        <v>13838250</v>
      </c>
      <c r="E75" s="165">
        <f>VLOOKUP(B75,'Snapshot (Volume)'!$A$7:$G$168,7,0)</f>
        <v>13198125</v>
      </c>
      <c r="F75" s="165">
        <f t="shared" si="23"/>
        <v>640125</v>
      </c>
      <c r="G75" s="166">
        <f t="shared" si="24"/>
        <v>4.8501207557891744E-2</v>
      </c>
      <c r="H75" s="165">
        <f>VLOOKUP($B75,'Data shares'!$C:$FB,66)</f>
        <v>6572625</v>
      </c>
      <c r="I75" s="165">
        <f>VLOOKUP($B75,'Data shares'!$C:$FB,67)</f>
        <v>4926750</v>
      </c>
      <c r="J75" s="81">
        <f t="shared" si="25"/>
        <v>33.40691124980971</v>
      </c>
      <c r="K75" s="5">
        <f>VLOOKUP($B75,'Data Vlaue (Cr)'!$C:$FB,99)</f>
        <v>3119</v>
      </c>
      <c r="L75" s="81">
        <f>VLOOKUP(B75,'OI(Value)'!$A$7:$C$232,3,0)</f>
        <v>144</v>
      </c>
      <c r="M75" s="33">
        <f t="shared" si="22"/>
        <v>4.6168643796088489</v>
      </c>
      <c r="N75" s="5">
        <f>VLOOKUP($B75,'Data Vlaue (Cr)'!$C:$FB,67)</f>
        <v>1481</v>
      </c>
      <c r="O75" s="5">
        <f>VLOOKUP($B75,'Data Vlaue (Cr)'!$C:$FB,68)</f>
        <v>1110</v>
      </c>
      <c r="P75" s="5">
        <f t="shared" si="26"/>
        <v>25.050641458474004</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Infrastructure</v>
      </c>
      <c r="B76" s="79" t="str">
        <f>'Data shares'!C71</f>
        <v>GMRAIRPORT</v>
      </c>
      <c r="C76" s="4">
        <f>VLOOKUP($B76,'Data shares'!$C:$FB,7)</f>
        <v>96.85</v>
      </c>
      <c r="D76" s="82">
        <f>VLOOKUP($B76,'Data shares'!$C:$FB,98)</f>
        <v>202700475</v>
      </c>
      <c r="E76" s="165">
        <f>VLOOKUP(B76,'Snapshot (Volume)'!$A$7:$G$168,7,0)</f>
        <v>199143225</v>
      </c>
      <c r="F76" s="165">
        <f t="shared" si="23"/>
        <v>3557250</v>
      </c>
      <c r="G76" s="166">
        <f t="shared" si="24"/>
        <v>1.7862771881895556E-2</v>
      </c>
      <c r="H76" s="165">
        <f>VLOOKUP($B76,'Data shares'!$C:$FB,66)</f>
        <v>61582275</v>
      </c>
      <c r="I76" s="165">
        <f>VLOOKUP($B76,'Data shares'!$C:$FB,67)</f>
        <v>85583250</v>
      </c>
      <c r="J76" s="81">
        <f t="shared" si="25"/>
        <v>-28.0440097799511</v>
      </c>
      <c r="K76" s="5">
        <f>VLOOKUP($B76,'Data Vlaue (Cr)'!$C:$FB,99)</f>
        <v>1969</v>
      </c>
      <c r="L76" s="81">
        <f>VLOOKUP(B76,'OI(Value)'!$A$7:$C$232,3,0)</f>
        <v>35</v>
      </c>
      <c r="M76" s="33">
        <f t="shared" si="22"/>
        <v>1.7775520568816656</v>
      </c>
      <c r="N76" s="5">
        <f>VLOOKUP($B76,'Data Vlaue (Cr)'!$C:$FB,67)</f>
        <v>598</v>
      </c>
      <c r="O76" s="5">
        <f>VLOOKUP($B76,'Data Vlaue (Cr)'!$C:$FB,68)</f>
        <v>832</v>
      </c>
      <c r="P76" s="5">
        <f t="shared" si="26"/>
        <v>-39.130434782608695</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FMCG</v>
      </c>
      <c r="B77" s="79" t="str">
        <f>'Data shares'!C72</f>
        <v>GODFRYPHLP</v>
      </c>
      <c r="C77" s="4">
        <f>VLOOKUP($B77,'Data shares'!$C:$FB,7)</f>
        <v>2207.6999999999998</v>
      </c>
      <c r="D77" s="82">
        <f>VLOOKUP($B77,'Data shares'!$C:$FB,98)</f>
        <v>2614150</v>
      </c>
      <c r="E77" s="165">
        <f>VLOOKUP(B77,'Snapshot (Volume)'!$A$7:$G$168,7,0)</f>
        <v>1415425</v>
      </c>
      <c r="F77" s="165">
        <f t="shared" si="23"/>
        <v>1198725</v>
      </c>
      <c r="G77" s="166">
        <f t="shared" si="24"/>
        <v>0.84690110744122793</v>
      </c>
      <c r="H77" s="165">
        <f>VLOOKUP($B77,'Data shares'!$C:$FB,66)</f>
        <v>9280975</v>
      </c>
      <c r="I77" s="165">
        <f>VLOOKUP($B77,'Data shares'!$C:$FB,67)</f>
        <v>1609575</v>
      </c>
      <c r="J77" s="81">
        <f t="shared" si="25"/>
        <v>476.61028532376559</v>
      </c>
      <c r="K77" s="5">
        <f>VLOOKUP($B77,'Data Vlaue (Cr)'!$C:$FB,99)</f>
        <v>571</v>
      </c>
      <c r="L77" s="81">
        <f>VLOOKUP(B77,'OI(Value)'!$A$7:$C$232,3,0)</f>
        <v>262</v>
      </c>
      <c r="M77" s="33">
        <f t="shared" si="22"/>
        <v>45.884413309982484</v>
      </c>
      <c r="N77" s="5">
        <f>VLOOKUP($B77,'Data Vlaue (Cr)'!$C:$FB,67)</f>
        <v>2027</v>
      </c>
      <c r="O77" s="5">
        <f>VLOOKUP($B77,'Data Vlaue (Cr)'!$C:$FB,68)</f>
        <v>352</v>
      </c>
      <c r="P77" s="5">
        <f t="shared" si="26"/>
        <v>82.634435125801673</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FMCG</v>
      </c>
      <c r="B78" s="79" t="str">
        <f>'Data shares'!C73</f>
        <v>GODREJCP</v>
      </c>
      <c r="C78" s="4">
        <f>VLOOKUP($B78,'Data shares'!$C:$FB,7)</f>
        <v>1109.4000000000001</v>
      </c>
      <c r="D78" s="82">
        <f>VLOOKUP($B78,'Data shares'!$C:$FB,98)</f>
        <v>15231500</v>
      </c>
      <c r="E78" s="165">
        <f>VLOOKUP(B78,'Snapshot (Volume)'!$A$7:$G$168,7,0)</f>
        <v>14756000</v>
      </c>
      <c r="F78" s="165">
        <f t="shared" si="23"/>
        <v>475500</v>
      </c>
      <c r="G78" s="166">
        <f t="shared" si="24"/>
        <v>3.2224179994578474E-2</v>
      </c>
      <c r="H78" s="165">
        <f>VLOOKUP($B78,'Data shares'!$C:$FB,66)</f>
        <v>9947500</v>
      </c>
      <c r="I78" s="165">
        <f>VLOOKUP($B78,'Data shares'!$C:$FB,67)</f>
        <v>1920000</v>
      </c>
      <c r="J78" s="81">
        <f t="shared" si="25"/>
        <v>418.09895833333331</v>
      </c>
      <c r="K78" s="5">
        <f>VLOOKUP($B78,'Data Vlaue (Cr)'!$C:$FB,99)</f>
        <v>1695</v>
      </c>
      <c r="L78" s="81">
        <f>VLOOKUP(B78,'OI(Value)'!$A$7:$C$232,3,0)</f>
        <v>53</v>
      </c>
      <c r="M78" s="33">
        <f t="shared" si="22"/>
        <v>3.1268436578171093</v>
      </c>
      <c r="N78" s="5">
        <f>VLOOKUP($B78,'Data Vlaue (Cr)'!$C:$FB,67)</f>
        <v>1107</v>
      </c>
      <c r="O78" s="5">
        <f>VLOOKUP($B78,'Data Vlaue (Cr)'!$C:$FB,68)</f>
        <v>214</v>
      </c>
      <c r="P78" s="5">
        <f t="shared" si="26"/>
        <v>80.668473351400181</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Realty</v>
      </c>
      <c r="B79" s="79" t="str">
        <f>'Data shares'!C74</f>
        <v>GODREJPROP</v>
      </c>
      <c r="C79" s="4">
        <f>VLOOKUP($B79,'Data shares'!$C:$FB,7)</f>
        <v>1758.8</v>
      </c>
      <c r="D79" s="82">
        <f>VLOOKUP($B79,'Data shares'!$C:$FB,98)</f>
        <v>13680425</v>
      </c>
      <c r="E79" s="165">
        <f>VLOOKUP(B79,'Snapshot (Volume)'!$A$7:$G$168,7,0)</f>
        <v>13583625</v>
      </c>
      <c r="F79" s="165">
        <f t="shared" si="23"/>
        <v>96800</v>
      </c>
      <c r="G79" s="166">
        <f t="shared" si="24"/>
        <v>7.1262273509464522E-3</v>
      </c>
      <c r="H79" s="165">
        <f>VLOOKUP($B79,'Data shares'!$C:$FB,66)</f>
        <v>5262125</v>
      </c>
      <c r="I79" s="165">
        <f>VLOOKUP($B79,'Data shares'!$C:$FB,67)</f>
        <v>5221425</v>
      </c>
      <c r="J79" s="81">
        <f t="shared" si="25"/>
        <v>0.77948069731921843</v>
      </c>
      <c r="K79" s="5">
        <f>VLOOKUP($B79,'Data Vlaue (Cr)'!$C:$FB,99)</f>
        <v>2413</v>
      </c>
      <c r="L79" s="81">
        <f>VLOOKUP(B79,'OI(Value)'!$A$7:$C$232,3,0)</f>
        <v>17</v>
      </c>
      <c r="M79" s="33">
        <f t="shared" si="22"/>
        <v>0.70451719850808125</v>
      </c>
      <c r="N79" s="5">
        <f>VLOOKUP($B79,'Data Vlaue (Cr)'!$C:$FB,67)</f>
        <v>928</v>
      </c>
      <c r="O79" s="5">
        <f>VLOOKUP($B79,'Data Vlaue (Cr)'!$C:$FB,68)</f>
        <v>921</v>
      </c>
      <c r="P79" s="5">
        <f t="shared" si="26"/>
        <v>0.75431034482758619</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Cement</v>
      </c>
      <c r="B80" s="79" t="str">
        <f>'Data shares'!C75</f>
        <v>GRASIM</v>
      </c>
      <c r="C80" s="4">
        <f>VLOOKUP($B80,'Data shares'!$C:$FB,7)</f>
        <v>2720.5</v>
      </c>
      <c r="D80" s="82">
        <f>VLOOKUP($B80,'Data shares'!$C:$FB,98)</f>
        <v>17083750</v>
      </c>
      <c r="E80" s="165">
        <f>VLOOKUP(B80,'Snapshot (Volume)'!$A$7:$G$168,7,0)</f>
        <v>17102750</v>
      </c>
      <c r="F80" s="165">
        <f t="shared" si="23"/>
        <v>-19000</v>
      </c>
      <c r="G80" s="166">
        <f t="shared" si="24"/>
        <v>-1.1109324523833886E-3</v>
      </c>
      <c r="H80" s="165">
        <f>VLOOKUP($B80,'Data shares'!$C:$FB,66)</f>
        <v>2267250</v>
      </c>
      <c r="I80" s="165">
        <f>VLOOKUP($B80,'Data shares'!$C:$FB,67)</f>
        <v>8470000</v>
      </c>
      <c r="J80" s="81">
        <f t="shared" si="25"/>
        <v>-73.231995277449826</v>
      </c>
      <c r="K80" s="5">
        <f>VLOOKUP($B80,'Data Vlaue (Cr)'!$C:$FB,99)</f>
        <v>4658</v>
      </c>
      <c r="L80" s="81">
        <f>VLOOKUP(B80,'OI(Value)'!$A$7:$C$232,3,0)</f>
        <v>-5</v>
      </c>
      <c r="M80" s="33">
        <f t="shared" si="22"/>
        <v>-0.10734220695577501</v>
      </c>
      <c r="N80" s="5">
        <f>VLOOKUP($B80,'Data Vlaue (Cr)'!$C:$FB,67)</f>
        <v>618</v>
      </c>
      <c r="O80" s="5">
        <f>VLOOKUP($B80,'Data Vlaue (Cr)'!$C:$FB,68)</f>
        <v>2309</v>
      </c>
      <c r="P80" s="5">
        <f t="shared" si="26"/>
        <v>-273.62459546925567</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Capital_Goods</v>
      </c>
      <c r="B81" s="79" t="str">
        <f>'Data shares'!C76</f>
        <v>HAL</v>
      </c>
      <c r="C81" s="4">
        <f>VLOOKUP($B81,'Data shares'!$C:$FB,7)</f>
        <v>4388.1000000000004</v>
      </c>
      <c r="D81" s="82">
        <f>VLOOKUP($B81,'Data shares'!$C:$FB,98)</f>
        <v>14383950</v>
      </c>
      <c r="E81" s="165">
        <f>VLOOKUP(B81,'Snapshot (Volume)'!$A$7:$G$168,7,0)</f>
        <v>14514600</v>
      </c>
      <c r="F81" s="165">
        <f t="shared" si="23"/>
        <v>-130650</v>
      </c>
      <c r="G81" s="166">
        <f t="shared" si="24"/>
        <v>-9.001281468314663E-3</v>
      </c>
      <c r="H81" s="165">
        <f>VLOOKUP($B81,'Data shares'!$C:$FB,66)</f>
        <v>8750700</v>
      </c>
      <c r="I81" s="165">
        <f>VLOOKUP($B81,'Data shares'!$C:$FB,67)</f>
        <v>24316500</v>
      </c>
      <c r="J81" s="81">
        <f t="shared" si="25"/>
        <v>-64.013324285978655</v>
      </c>
      <c r="K81" s="5">
        <f>VLOOKUP($B81,'Data Vlaue (Cr)'!$C:$FB,99)</f>
        <v>6319</v>
      </c>
      <c r="L81" s="81">
        <f>VLOOKUP(B81,'OI(Value)'!$A$7:$C$232,3,0)</f>
        <v>-57</v>
      </c>
      <c r="M81" s="33">
        <f t="shared" si="22"/>
        <v>-0.90204146225668613</v>
      </c>
      <c r="N81" s="5">
        <f>VLOOKUP($B81,'Data Vlaue (Cr)'!$C:$FB,67)</f>
        <v>3844</v>
      </c>
      <c r="O81" s="5">
        <f>VLOOKUP($B81,'Data Vlaue (Cr)'!$C:$FB,68)</f>
        <v>10683</v>
      </c>
      <c r="P81" s="5">
        <f t="shared" si="26"/>
        <v>-177.91363163371489</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Capital_Goods</v>
      </c>
      <c r="B82" s="79" t="str">
        <f>'Data shares'!C77</f>
        <v>HAVELLS</v>
      </c>
      <c r="C82" s="4">
        <f>VLOOKUP($B82,'Data shares'!$C:$FB,7)</f>
        <v>1306.4000000000001</v>
      </c>
      <c r="D82" s="82">
        <f>VLOOKUP($B82,'Data shares'!$C:$FB,98)</f>
        <v>14446500</v>
      </c>
      <c r="E82" s="165">
        <f>VLOOKUP(B82,'Snapshot (Volume)'!$A$7:$G$168,7,0)</f>
        <v>14057000</v>
      </c>
      <c r="F82" s="165">
        <f t="shared" si="23"/>
        <v>389500</v>
      </c>
      <c r="G82" s="166">
        <f t="shared" si="24"/>
        <v>2.7708614924948423E-2</v>
      </c>
      <c r="H82" s="165">
        <f>VLOOKUP($B82,'Data shares'!$C:$FB,66)</f>
        <v>7586500</v>
      </c>
      <c r="I82" s="165">
        <f>VLOOKUP($B82,'Data shares'!$C:$FB,67)</f>
        <v>7356000</v>
      </c>
      <c r="J82" s="81">
        <f t="shared" si="25"/>
        <v>3.1334964654703645</v>
      </c>
      <c r="K82" s="5">
        <f>VLOOKUP($B82,'Data Vlaue (Cr)'!$C:$FB,99)</f>
        <v>1892</v>
      </c>
      <c r="L82" s="81">
        <f>VLOOKUP(B82,'OI(Value)'!$A$7:$C$232,3,0)</f>
        <v>51</v>
      </c>
      <c r="M82" s="33">
        <f t="shared" si="22"/>
        <v>2.6955602536997887</v>
      </c>
      <c r="N82" s="5">
        <f>VLOOKUP($B82,'Data Vlaue (Cr)'!$C:$FB,67)</f>
        <v>994</v>
      </c>
      <c r="O82" s="5">
        <f>VLOOKUP($B82,'Data Vlaue (Cr)'!$C:$FB,68)</f>
        <v>963</v>
      </c>
      <c r="P82" s="5">
        <f t="shared" si="26"/>
        <v>3.1187122736418509</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Technology</v>
      </c>
      <c r="B83" s="79" t="str">
        <f>'Data shares'!C78</f>
        <v>HCLTECH</v>
      </c>
      <c r="C83" s="4">
        <f>VLOOKUP($B83,'Data shares'!$C:$FB,7)</f>
        <v>1442.3</v>
      </c>
      <c r="D83" s="82">
        <f>VLOOKUP($B83,'Data shares'!$C:$FB,98)</f>
        <v>55914950</v>
      </c>
      <c r="E83" s="165">
        <f>VLOOKUP(B83,'Snapshot (Volume)'!$A$7:$G$168,7,0)</f>
        <v>53899300</v>
      </c>
      <c r="F83" s="165">
        <f t="shared" si="23"/>
        <v>2015650</v>
      </c>
      <c r="G83" s="166">
        <f t="shared" si="24"/>
        <v>3.7396589566098259E-2</v>
      </c>
      <c r="H83" s="165">
        <f>VLOOKUP($B83,'Data shares'!$C:$FB,66)</f>
        <v>23090200</v>
      </c>
      <c r="I83" s="165">
        <f>VLOOKUP($B83,'Data shares'!$C:$FB,67)</f>
        <v>34284250</v>
      </c>
      <c r="J83" s="81">
        <f t="shared" si="25"/>
        <v>-32.650706957276299</v>
      </c>
      <c r="K83" s="5">
        <f>VLOOKUP($B83,'Data Vlaue (Cr)'!$C:$FB,99)</f>
        <v>7914</v>
      </c>
      <c r="L83" s="81">
        <f>VLOOKUP(B83,'OI(Value)'!$A$7:$C$232,3,0)</f>
        <v>285</v>
      </c>
      <c r="M83" s="33">
        <f t="shared" si="22"/>
        <v>3.601213040181956</v>
      </c>
      <c r="N83" s="5">
        <f>VLOOKUP($B83,'Data Vlaue (Cr)'!$C:$FB,67)</f>
        <v>3268</v>
      </c>
      <c r="O83" s="5">
        <f>VLOOKUP($B83,'Data Vlaue (Cr)'!$C:$FB,68)</f>
        <v>4852</v>
      </c>
      <c r="P83" s="5">
        <f t="shared" si="26"/>
        <v>-48.470012239902083</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Finance</v>
      </c>
      <c r="B84" s="79" t="str">
        <f>'Data shares'!C79</f>
        <v>HDFCAMC</v>
      </c>
      <c r="C84" s="4">
        <f>VLOOKUP($B84,'Data shares'!$C:$FB,7)</f>
        <v>2792.4</v>
      </c>
      <c r="D84" s="82">
        <f>VLOOKUP($B84,'Data shares'!$C:$FB,98)</f>
        <v>10717500</v>
      </c>
      <c r="E84" s="165">
        <f>VLOOKUP(B84,'Snapshot (Volume)'!$A$7:$G$168,7,0)</f>
        <v>9849000</v>
      </c>
      <c r="F84" s="165">
        <f t="shared" si="23"/>
        <v>868500</v>
      </c>
      <c r="G84" s="166">
        <f t="shared" si="24"/>
        <v>8.8181541273225708E-2</v>
      </c>
      <c r="H84" s="165">
        <f>VLOOKUP($B84,'Data shares'!$C:$FB,66)</f>
        <v>32129100</v>
      </c>
      <c r="I84" s="165">
        <f>VLOOKUP($B84,'Data shares'!$C:$FB,67)</f>
        <v>29736000</v>
      </c>
      <c r="J84" s="81">
        <f t="shared" si="25"/>
        <v>8.0478208232445514</v>
      </c>
      <c r="K84" s="5">
        <f>VLOOKUP($B84,'Data Vlaue (Cr)'!$C:$FB,99)</f>
        <v>2992</v>
      </c>
      <c r="L84" s="81">
        <f>VLOOKUP(B84,'OI(Value)'!$A$7:$C$232,3,0)</f>
        <v>242</v>
      </c>
      <c r="M84" s="33">
        <f t="shared" si="22"/>
        <v>8.0882352941176467</v>
      </c>
      <c r="N84" s="5">
        <f>VLOOKUP($B84,'Data Vlaue (Cr)'!$C:$FB,67)</f>
        <v>8969</v>
      </c>
      <c r="O84" s="5">
        <f>VLOOKUP($B84,'Data Vlaue (Cr)'!$C:$FB,68)</f>
        <v>8301</v>
      </c>
      <c r="P84" s="5">
        <f t="shared" si="26"/>
        <v>7.4478760173932432</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Banking</v>
      </c>
      <c r="B85" s="79" t="str">
        <f>'Data shares'!C80</f>
        <v>HDFCBANK</v>
      </c>
      <c r="C85" s="4">
        <f>VLOOKUP($B85,'Data shares'!$C:$FB,7)</f>
        <v>799.9</v>
      </c>
      <c r="D85" s="82">
        <f>VLOOKUP($B85,'Data shares'!$C:$FB,98)</f>
        <v>484162800</v>
      </c>
      <c r="E85" s="165">
        <f>VLOOKUP(B85,'Snapshot (Volume)'!$A$7:$G$168,7,0)</f>
        <v>457606600</v>
      </c>
      <c r="F85" s="165">
        <f t="shared" si="23"/>
        <v>26556200</v>
      </c>
      <c r="G85" s="166">
        <f t="shared" si="24"/>
        <v>5.8032816834372579E-2</v>
      </c>
      <c r="H85" s="165">
        <f>VLOOKUP($B85,'Data shares'!$C:$FB,66)</f>
        <v>196860400</v>
      </c>
      <c r="I85" s="165">
        <f>VLOOKUP($B85,'Data shares'!$C:$FB,67)</f>
        <v>172828700</v>
      </c>
      <c r="J85" s="81">
        <f t="shared" si="25"/>
        <v>13.904924355734899</v>
      </c>
      <c r="K85" s="5">
        <f>VLOOKUP($B85,'Data Vlaue (Cr)'!$C:$FB,99)</f>
        <v>38810</v>
      </c>
      <c r="L85" s="81">
        <f>VLOOKUP(B85,'OI(Value)'!$A$7:$C$232,3,0)</f>
        <v>2129</v>
      </c>
      <c r="M85" s="33">
        <f t="shared" si="22"/>
        <v>5.4856995619685645</v>
      </c>
      <c r="N85" s="5">
        <f>VLOOKUP($B85,'Data Vlaue (Cr)'!$C:$FB,67)</f>
        <v>15780</v>
      </c>
      <c r="O85" s="5">
        <f>VLOOKUP($B85,'Data Vlaue (Cr)'!$C:$FB,68)</f>
        <v>13854</v>
      </c>
      <c r="P85" s="5">
        <f t="shared" si="26"/>
        <v>12.20532319391635</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Finance</v>
      </c>
      <c r="B86" s="79" t="str">
        <f>'Data shares'!C81</f>
        <v>HDFCLIFE</v>
      </c>
      <c r="C86" s="4">
        <f>VLOOKUP($B86,'Data shares'!$C:$FB,7)</f>
        <v>616.45000000000005</v>
      </c>
      <c r="D86" s="82">
        <f>VLOOKUP($B86,'Data shares'!$C:$FB,98)</f>
        <v>76832800</v>
      </c>
      <c r="E86" s="165">
        <f>VLOOKUP(B86,'Snapshot (Volume)'!$A$7:$G$168,7,0)</f>
        <v>69154800</v>
      </c>
      <c r="F86" s="165">
        <f t="shared" ref="F86:F96" si="27">D86-E86</f>
        <v>7678000</v>
      </c>
      <c r="G86" s="166">
        <f t="shared" ref="G86:G96" si="28">F86/E86</f>
        <v>0.11102627727937901</v>
      </c>
      <c r="H86" s="165">
        <f>VLOOKUP($B86,'Data shares'!$C:$FB,66)</f>
        <v>112887500</v>
      </c>
      <c r="I86" s="165">
        <f>VLOOKUP($B86,'Data shares'!$C:$FB,67)</f>
        <v>57278100</v>
      </c>
      <c r="J86" s="81">
        <f t="shared" ref="J86:J96" si="29">(H86-I86)/I86*100</f>
        <v>97.086670123485248</v>
      </c>
      <c r="K86" s="5">
        <f>VLOOKUP($B86,'Data Vlaue (Cr)'!$C:$FB,99)</f>
        <v>4735</v>
      </c>
      <c r="L86" s="81">
        <f>VLOOKUP(B86,'OI(Value)'!$A$7:$C$232,3,0)</f>
        <v>473</v>
      </c>
      <c r="M86" s="33">
        <f t="shared" si="22"/>
        <v>9.989440337909187</v>
      </c>
      <c r="N86" s="5">
        <f>VLOOKUP($B86,'Data Vlaue (Cr)'!$C:$FB,67)</f>
        <v>6957</v>
      </c>
      <c r="O86" s="5">
        <f>VLOOKUP($B86,'Data Vlaue (Cr)'!$C:$FB,68)</f>
        <v>3530</v>
      </c>
      <c r="P86" s="5">
        <f t="shared" ref="P86:P96" si="30">(N86-O86)/N86*100</f>
        <v>49.259738392985483</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Automobile</v>
      </c>
      <c r="B87" s="79" t="str">
        <f>'Data shares'!C82</f>
        <v>HEROMOTOCO</v>
      </c>
      <c r="C87" s="4">
        <f>VLOOKUP($B87,'Data shares'!$C:$FB,7)</f>
        <v>5230.5</v>
      </c>
      <c r="D87" s="82">
        <f>VLOOKUP($B87,'Data shares'!$C:$FB,98)</f>
        <v>8291100</v>
      </c>
      <c r="E87" s="165">
        <f>VLOOKUP(B87,'Snapshot (Volume)'!$A$7:$G$168,7,0)</f>
        <v>8687100</v>
      </c>
      <c r="F87" s="165">
        <f t="shared" si="27"/>
        <v>-396000</v>
      </c>
      <c r="G87" s="166">
        <f t="shared" si="28"/>
        <v>-4.5584832682943673E-2</v>
      </c>
      <c r="H87" s="165">
        <f>VLOOKUP($B87,'Data shares'!$C:$FB,66)</f>
        <v>7485750</v>
      </c>
      <c r="I87" s="165">
        <f>VLOOKUP($B87,'Data shares'!$C:$FB,67)</f>
        <v>9380850</v>
      </c>
      <c r="J87" s="81">
        <f t="shared" si="29"/>
        <v>-20.201794080493769</v>
      </c>
      <c r="K87" s="5">
        <f>VLOOKUP($B87,'Data Vlaue (Cr)'!$C:$FB,99)</f>
        <v>4348</v>
      </c>
      <c r="L87" s="81">
        <f>VLOOKUP(B87,'OI(Value)'!$A$7:$C$232,3,0)</f>
        <v>-208</v>
      </c>
      <c r="M87" s="33">
        <f t="shared" si="22"/>
        <v>-4.7838086476540944</v>
      </c>
      <c r="N87" s="5">
        <f>VLOOKUP($B87,'Data Vlaue (Cr)'!$C:$FB,67)</f>
        <v>3926</v>
      </c>
      <c r="O87" s="5">
        <f>VLOOKUP($B87,'Data Vlaue (Cr)'!$C:$FB,68)</f>
        <v>4920</v>
      </c>
      <c r="P87" s="5">
        <f t="shared" si="30"/>
        <v>-25.318390219052471</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HINDALCO</v>
      </c>
      <c r="C88" s="4">
        <f>VLOOKUP($B88,'Data shares'!$C:$FB,7)</f>
        <v>1039</v>
      </c>
      <c r="D88" s="82">
        <f>VLOOKUP($B88,'Data shares'!$C:$FB,98)</f>
        <v>63815500</v>
      </c>
      <c r="E88" s="165">
        <f>VLOOKUP(B88,'Snapshot (Volume)'!$A$7:$G$168,7,0)</f>
        <v>65309300</v>
      </c>
      <c r="F88" s="165">
        <f t="shared" si="27"/>
        <v>-1493800</v>
      </c>
      <c r="G88" s="166">
        <f t="shared" si="28"/>
        <v>-2.2872699600210076E-2</v>
      </c>
      <c r="H88" s="165">
        <f>VLOOKUP($B88,'Data shares'!$C:$FB,66)</f>
        <v>41369300</v>
      </c>
      <c r="I88" s="165">
        <f>VLOOKUP($B88,'Data shares'!$C:$FB,67)</f>
        <v>93487100</v>
      </c>
      <c r="J88" s="81">
        <f t="shared" si="29"/>
        <v>-55.7486540923828</v>
      </c>
      <c r="K88" s="5">
        <f>VLOOKUP($B88,'Data Vlaue (Cr)'!$C:$FB,99)</f>
        <v>6643</v>
      </c>
      <c r="L88" s="81">
        <f>VLOOKUP(B88,'OI(Value)'!$A$7:$C$232,3,0)</f>
        <v>-155</v>
      </c>
      <c r="M88" s="33">
        <f t="shared" si="22"/>
        <v>-2.3332831552009634</v>
      </c>
      <c r="N88" s="5">
        <f>VLOOKUP($B88,'Data Vlaue (Cr)'!$C:$FB,67)</f>
        <v>4306</v>
      </c>
      <c r="O88" s="5">
        <f>VLOOKUP($B88,'Data Vlaue (Cr)'!$C:$FB,68)</f>
        <v>9732</v>
      </c>
      <c r="P88" s="5">
        <f t="shared" si="30"/>
        <v>-126.01021830004643</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Oil_Gas</v>
      </c>
      <c r="B89" s="79" t="str">
        <f>'Data shares'!C84</f>
        <v>HINDPETRO</v>
      </c>
      <c r="C89" s="4">
        <f>VLOOKUP($B89,'Data shares'!$C:$FB,7)</f>
        <v>370.85</v>
      </c>
      <c r="D89" s="82">
        <f>VLOOKUP($B89,'Data shares'!$C:$FB,98)</f>
        <v>77899725</v>
      </c>
      <c r="E89" s="165">
        <f>VLOOKUP(B89,'Snapshot (Volume)'!$A$7:$G$168,7,0)</f>
        <v>77810625</v>
      </c>
      <c r="F89" s="165">
        <f t="shared" si="27"/>
        <v>89100</v>
      </c>
      <c r="G89" s="166">
        <f t="shared" si="28"/>
        <v>1.1450878334417697E-3</v>
      </c>
      <c r="H89" s="165">
        <f>VLOOKUP($B89,'Data shares'!$C:$FB,66)</f>
        <v>37808775</v>
      </c>
      <c r="I89" s="165">
        <f>VLOOKUP($B89,'Data shares'!$C:$FB,67)</f>
        <v>31816800</v>
      </c>
      <c r="J89" s="81">
        <f t="shared" si="29"/>
        <v>18.832739307535643</v>
      </c>
      <c r="K89" s="5">
        <f>VLOOKUP($B89,'Data Vlaue (Cr)'!$C:$FB,99)</f>
        <v>2901</v>
      </c>
      <c r="L89" s="81">
        <f>VLOOKUP(B89,'OI(Value)'!$A$7:$C$232,3,0)</f>
        <v>3</v>
      </c>
      <c r="M89" s="33">
        <f t="shared" si="22"/>
        <v>0.10341261633919339</v>
      </c>
      <c r="N89" s="5">
        <f>VLOOKUP($B89,'Data Vlaue (Cr)'!$C:$FB,67)</f>
        <v>1408</v>
      </c>
      <c r="O89" s="5">
        <f>VLOOKUP($B89,'Data Vlaue (Cr)'!$C:$FB,68)</f>
        <v>1185</v>
      </c>
      <c r="P89" s="5">
        <f t="shared" si="30"/>
        <v>15.838068181818182</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FMCG</v>
      </c>
      <c r="B90" s="79" t="str">
        <f>'Data shares'!C85</f>
        <v>HINDUNILVR</v>
      </c>
      <c r="C90" s="4">
        <f>VLOOKUP($B90,'Data shares'!$C:$FB,7)</f>
        <v>2240.8000000000002</v>
      </c>
      <c r="D90" s="82">
        <f>VLOOKUP($B90,'Data shares'!$C:$FB,98)</f>
        <v>29977800</v>
      </c>
      <c r="E90" s="165">
        <f>VLOOKUP(B90,'Snapshot (Volume)'!$A$7:$G$168,7,0)</f>
        <v>27142800</v>
      </c>
      <c r="F90" s="165">
        <f t="shared" si="27"/>
        <v>2835000</v>
      </c>
      <c r="G90" s="166">
        <f t="shared" si="28"/>
        <v>0.10444758831071223</v>
      </c>
      <c r="H90" s="165">
        <f>VLOOKUP($B90,'Data shares'!$C:$FB,66)</f>
        <v>59895600</v>
      </c>
      <c r="I90" s="165">
        <f>VLOOKUP($B90,'Data shares'!$C:$FB,67)</f>
        <v>9058500</v>
      </c>
      <c r="J90" s="81">
        <f t="shared" si="29"/>
        <v>561.2088094055307</v>
      </c>
      <c r="K90" s="5">
        <f>VLOOKUP($B90,'Data Vlaue (Cr)'!$C:$FB,99)</f>
        <v>6717</v>
      </c>
      <c r="L90" s="81">
        <f>VLOOKUP(B90,'OI(Value)'!$A$7:$C$232,3,0)</f>
        <v>635</v>
      </c>
      <c r="M90" s="33">
        <f t="shared" si="22"/>
        <v>9.453625130266488</v>
      </c>
      <c r="N90" s="5">
        <f>VLOOKUP($B90,'Data Vlaue (Cr)'!$C:$FB,67)</f>
        <v>13421</v>
      </c>
      <c r="O90" s="5">
        <f>VLOOKUP($B90,'Data Vlaue (Cr)'!$C:$FB,68)</f>
        <v>2030</v>
      </c>
      <c r="P90" s="5">
        <f t="shared" si="30"/>
        <v>84.874450488041134</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Metals</v>
      </c>
      <c r="B91" s="79" t="str">
        <f>'Data shares'!C86</f>
        <v>HINDZINC</v>
      </c>
      <c r="C91" s="4">
        <f>VLOOKUP($B91,'Data shares'!$C:$FB,7)</f>
        <v>592.29999999999995</v>
      </c>
      <c r="D91" s="82">
        <f>VLOOKUP($B91,'Data shares'!$C:$FB,98)</f>
        <v>74200700</v>
      </c>
      <c r="E91" s="165">
        <f>VLOOKUP(B91,'Snapshot (Volume)'!$A$7:$G$168,7,0)</f>
        <v>72510200</v>
      </c>
      <c r="F91" s="165">
        <f t="shared" si="27"/>
        <v>1690500</v>
      </c>
      <c r="G91" s="166">
        <f t="shared" si="28"/>
        <v>2.3313961346127857E-2</v>
      </c>
      <c r="H91" s="165">
        <f>VLOOKUP($B91,'Data shares'!$C:$FB,66)</f>
        <v>31339175</v>
      </c>
      <c r="I91" s="165">
        <f>VLOOKUP($B91,'Data shares'!$C:$FB,67)</f>
        <v>81645025</v>
      </c>
      <c r="J91" s="81">
        <f t="shared" si="29"/>
        <v>-61.615328061936417</v>
      </c>
      <c r="K91" s="5">
        <f>VLOOKUP($B91,'Data Vlaue (Cr)'!$C:$FB,99)</f>
        <v>4402</v>
      </c>
      <c r="L91" s="81">
        <f>VLOOKUP(B91,'OI(Value)'!$A$7:$C$232,3,0)</f>
        <v>100</v>
      </c>
      <c r="M91" s="33">
        <f t="shared" si="22"/>
        <v>2.271694684234439</v>
      </c>
      <c r="N91" s="5">
        <f>VLOOKUP($B91,'Data Vlaue (Cr)'!$C:$FB,67)</f>
        <v>1859</v>
      </c>
      <c r="O91" s="5">
        <f>VLOOKUP($B91,'Data Vlaue (Cr)'!$C:$FB,68)</f>
        <v>4843</v>
      </c>
      <c r="P91" s="5">
        <f t="shared" si="30"/>
        <v>-160.51640667025282</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Realty</v>
      </c>
      <c r="B92" s="79" t="str">
        <f>'Data shares'!C87</f>
        <v>HUDCO</v>
      </c>
      <c r="C92" s="4">
        <f>VLOOKUP($B92,'Data shares'!$C:$FB,7)</f>
        <v>196.91</v>
      </c>
      <c r="D92" s="82">
        <f>VLOOKUP($B92,'Data shares'!$C:$FB,98)</f>
        <v>48745650</v>
      </c>
      <c r="E92" s="165">
        <f>VLOOKUP(B92,'Snapshot (Volume)'!$A$7:$G$168,7,0)</f>
        <v>49644750</v>
      </c>
      <c r="F92" s="165">
        <f t="shared" si="27"/>
        <v>-899100</v>
      </c>
      <c r="G92" s="166">
        <f t="shared" si="28"/>
        <v>-1.811067635550587E-2</v>
      </c>
      <c r="H92" s="165">
        <f>VLOOKUP($B92,'Data shares'!$C:$FB,66)</f>
        <v>45584925</v>
      </c>
      <c r="I92" s="165">
        <f>VLOOKUP($B92,'Data shares'!$C:$FB,67)</f>
        <v>43697925</v>
      </c>
      <c r="J92" s="81">
        <f t="shared" si="29"/>
        <v>4.3182828475265129</v>
      </c>
      <c r="K92" s="5">
        <f>VLOOKUP($B92,'Data Vlaue (Cr)'!$C:$FB,99)</f>
        <v>963</v>
      </c>
      <c r="L92" s="81">
        <f>VLOOKUP(B92,'OI(Value)'!$A$7:$C$232,3,0)</f>
        <v>-18</v>
      </c>
      <c r="M92" s="33">
        <f t="shared" si="22"/>
        <v>-1.8691588785046727</v>
      </c>
      <c r="N92" s="5">
        <f>VLOOKUP($B92,'Data Vlaue (Cr)'!$C:$FB,67)</f>
        <v>901</v>
      </c>
      <c r="O92" s="5">
        <f>VLOOKUP($B92,'Data Vlaue (Cr)'!$C:$FB,68)</f>
        <v>863</v>
      </c>
      <c r="P92" s="5">
        <f t="shared" si="30"/>
        <v>4.2175360710321863</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Automobile</v>
      </c>
      <c r="B93" s="79" t="str">
        <f>'Data shares'!C88</f>
        <v>HYUNDAI</v>
      </c>
      <c r="C93" s="4">
        <f>VLOOKUP($B93,'Data shares'!$C:$FB,7)</f>
        <v>1902.8</v>
      </c>
      <c r="D93" s="82">
        <f>VLOOKUP($B93,'Data shares'!$C:$FB,98)</f>
        <v>9905500</v>
      </c>
      <c r="E93" s="165">
        <f>VLOOKUP(B93,'Snapshot (Volume)'!$A$7:$G$168,7,0)</f>
        <v>9766625</v>
      </c>
      <c r="F93" s="165">
        <f t="shared" si="27"/>
        <v>138875</v>
      </c>
      <c r="G93" s="166">
        <f t="shared" si="28"/>
        <v>1.4219343939180628E-2</v>
      </c>
      <c r="H93" s="165">
        <f>VLOOKUP($B93,'Data shares'!$C:$FB,66)</f>
        <v>7158800</v>
      </c>
      <c r="I93" s="165">
        <f>VLOOKUP($B93,'Data shares'!$C:$FB,67)</f>
        <v>9130000</v>
      </c>
      <c r="J93" s="81">
        <f t="shared" si="29"/>
        <v>-21.590361445783131</v>
      </c>
      <c r="K93" s="5">
        <f>VLOOKUP($B93,'Data Vlaue (Cr)'!$C:$FB,99)</f>
        <v>1852</v>
      </c>
      <c r="L93" s="81">
        <f>VLOOKUP(B93,'OI(Value)'!$A$7:$C$232,3,0)</f>
        <v>26</v>
      </c>
      <c r="M93" s="33">
        <f t="shared" si="22"/>
        <v>1.4038876889848813</v>
      </c>
      <c r="N93" s="5">
        <f>VLOOKUP($B93,'Data Vlaue (Cr)'!$C:$FB,67)</f>
        <v>1338</v>
      </c>
      <c r="O93" s="5">
        <f>VLOOKUP($B93,'Data Vlaue (Cr)'!$C:$FB,68)</f>
        <v>1707</v>
      </c>
      <c r="P93" s="5">
        <f t="shared" si="30"/>
        <v>-27.578475336322871</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ICICIBANK</v>
      </c>
      <c r="C94" s="4">
        <f>VLOOKUP($B94,'Data shares'!$C:$FB,7)</f>
        <v>1346.8</v>
      </c>
      <c r="D94" s="82">
        <f>VLOOKUP($B94,'Data shares'!$C:$FB,98)</f>
        <v>171844400</v>
      </c>
      <c r="E94" s="165">
        <f>VLOOKUP(B94,'Snapshot (Volume)'!$A$7:$G$168,7,0)</f>
        <v>159312300</v>
      </c>
      <c r="F94" s="165">
        <f t="shared" si="27"/>
        <v>12532100</v>
      </c>
      <c r="G94" s="166">
        <f t="shared" si="28"/>
        <v>7.8663731551173385E-2</v>
      </c>
      <c r="H94" s="165">
        <f>VLOOKUP($B94,'Data shares'!$C:$FB,66)</f>
        <v>116723600</v>
      </c>
      <c r="I94" s="165">
        <f>VLOOKUP($B94,'Data shares'!$C:$FB,67)</f>
        <v>90812400</v>
      </c>
      <c r="J94" s="81">
        <f t="shared" si="29"/>
        <v>28.532667344988127</v>
      </c>
      <c r="K94" s="5">
        <f>VLOOKUP($B94,'Data Vlaue (Cr)'!$C:$FB,99)</f>
        <v>23226</v>
      </c>
      <c r="L94" s="81">
        <f>VLOOKUP(B94,'OI(Value)'!$A$7:$C$232,3,0)</f>
        <v>1694</v>
      </c>
      <c r="M94" s="33">
        <f t="shared" ref="M94:M122" si="31">L94/K94*100</f>
        <v>7.2935503315250143</v>
      </c>
      <c r="N94" s="5">
        <f>VLOOKUP($B94,'Data Vlaue (Cr)'!$C:$FB,67)</f>
        <v>15776</v>
      </c>
      <c r="O94" s="5">
        <f>VLOOKUP($B94,'Data Vlaue (Cr)'!$C:$FB,68)</f>
        <v>12274</v>
      </c>
      <c r="P94" s="5">
        <f t="shared" si="30"/>
        <v>22.198275862068968</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ICICIGI</v>
      </c>
      <c r="C95" s="4">
        <f>VLOOKUP($B95,'Data shares'!$C:$FB,7)</f>
        <v>1891.6</v>
      </c>
      <c r="D95" s="82">
        <f>VLOOKUP($B95,'Data shares'!$C:$FB,98)</f>
        <v>8403200</v>
      </c>
      <c r="E95" s="165">
        <f>VLOOKUP(B95,'Snapshot (Volume)'!$A$7:$G$168,7,0)</f>
        <v>8849750</v>
      </c>
      <c r="F95" s="165">
        <f t="shared" si="27"/>
        <v>-446550</v>
      </c>
      <c r="G95" s="166">
        <f t="shared" si="28"/>
        <v>-5.0459052515607783E-2</v>
      </c>
      <c r="H95" s="165">
        <f>VLOOKUP($B95,'Data shares'!$C:$FB,66)</f>
        <v>4885725</v>
      </c>
      <c r="I95" s="165">
        <f>VLOOKUP($B95,'Data shares'!$C:$FB,67)</f>
        <v>23589150</v>
      </c>
      <c r="J95" s="81">
        <f t="shared" si="29"/>
        <v>-79.288253285938666</v>
      </c>
      <c r="K95" s="5">
        <f>VLOOKUP($B95,'Data Vlaue (Cr)'!$C:$FB,99)</f>
        <v>1589</v>
      </c>
      <c r="L95" s="81">
        <f>VLOOKUP(B95,'OI(Value)'!$A$7:$C$232,3,0)</f>
        <v>-84</v>
      </c>
      <c r="M95" s="33">
        <f t="shared" si="31"/>
        <v>-5.286343612334802</v>
      </c>
      <c r="N95" s="5">
        <f>VLOOKUP($B95,'Data Vlaue (Cr)'!$C:$FB,67)</f>
        <v>924</v>
      </c>
      <c r="O95" s="5">
        <f>VLOOKUP($B95,'Data Vlaue (Cr)'!$C:$FB,68)</f>
        <v>4460</v>
      </c>
      <c r="P95" s="5">
        <f t="shared" si="30"/>
        <v>-382.68398268398272</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Finance</v>
      </c>
      <c r="B96" s="79" t="str">
        <f>'Data shares'!C91</f>
        <v>ICICIPRULI</v>
      </c>
      <c r="C96" s="4">
        <f>VLOOKUP($B96,'Data shares'!$C:$FB,7)</f>
        <v>562</v>
      </c>
      <c r="D96" s="82">
        <f>VLOOKUP($B96,'Data shares'!$C:$FB,98)</f>
        <v>32592375</v>
      </c>
      <c r="E96" s="165">
        <f>VLOOKUP(B96,'Snapshot (Volume)'!$A$7:$G$168,7,0)</f>
        <v>31468500</v>
      </c>
      <c r="F96" s="165">
        <f t="shared" si="27"/>
        <v>1123875</v>
      </c>
      <c r="G96" s="166">
        <f t="shared" si="28"/>
        <v>3.5714285714285712E-2</v>
      </c>
      <c r="H96" s="165">
        <f>VLOOKUP($B96,'Data shares'!$C:$FB,66)</f>
        <v>18208625</v>
      </c>
      <c r="I96" s="165">
        <f>VLOOKUP($B96,'Data shares'!$C:$FB,67)</f>
        <v>17456600</v>
      </c>
      <c r="J96" s="81">
        <f t="shared" si="29"/>
        <v>4.3079694785926241</v>
      </c>
      <c r="K96" s="5">
        <f>VLOOKUP($B96,'Data Vlaue (Cr)'!$C:$FB,99)</f>
        <v>1834</v>
      </c>
      <c r="L96" s="81">
        <f>VLOOKUP(B96,'OI(Value)'!$A$7:$C$232,3,0)</f>
        <v>63</v>
      </c>
      <c r="M96" s="33">
        <f t="shared" si="31"/>
        <v>3.4351145038167941</v>
      </c>
      <c r="N96" s="5">
        <f>VLOOKUP($B96,'Data Vlaue (Cr)'!$C:$FB,67)</f>
        <v>1025</v>
      </c>
      <c r="O96" s="5">
        <f>VLOOKUP($B96,'Data Vlaue (Cr)'!$C:$FB,68)</f>
        <v>982</v>
      </c>
      <c r="P96" s="5">
        <f t="shared" si="30"/>
        <v>4.1951219512195124</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Telecom</v>
      </c>
      <c r="B97" s="79" t="str">
        <f>'Data shares'!C92</f>
        <v>IDEA</v>
      </c>
      <c r="C97" s="4">
        <f>VLOOKUP($B97,'Data shares'!$C:$FB,7)</f>
        <v>9.61</v>
      </c>
      <c r="D97" s="82">
        <f>VLOOKUP($B97,'Data shares'!$C:$FB,98)</f>
        <v>8756044875</v>
      </c>
      <c r="E97" s="165">
        <f>VLOOKUP(B97,'Snapshot (Volume)'!$A$7:$G$168,7,0)</f>
        <v>8754972750</v>
      </c>
      <c r="F97" s="165">
        <f t="shared" ref="F97:F105" si="32">D97-E97</f>
        <v>1072125</v>
      </c>
      <c r="G97" s="166">
        <f t="shared" ref="G97:G105" si="33">F97/E97</f>
        <v>1.2245897624295861E-4</v>
      </c>
      <c r="H97" s="165">
        <f>VLOOKUP($B97,'Data shares'!$C:$FB,66)</f>
        <v>1973067375</v>
      </c>
      <c r="I97" s="165">
        <f>VLOOKUP($B97,'Data shares'!$C:$FB,67)</f>
        <v>1770292800</v>
      </c>
      <c r="J97" s="81">
        <f t="shared" ref="J97:J105" si="34">(H97-I97)/I97*100</f>
        <v>11.454295865633075</v>
      </c>
      <c r="K97" s="5">
        <f>VLOOKUP($B97,'Data Vlaue (Cr)'!$C:$FB,99)</f>
        <v>8415</v>
      </c>
      <c r="L97" s="81">
        <f>VLOOKUP(B97,'OI(Value)'!$A$7:$C$232,3,0)</f>
        <v>1</v>
      </c>
      <c r="M97" s="33">
        <f t="shared" si="31"/>
        <v>1.1883541295306001E-2</v>
      </c>
      <c r="N97" s="5">
        <f>VLOOKUP($B97,'Data Vlaue (Cr)'!$C:$FB,67)</f>
        <v>1896</v>
      </c>
      <c r="O97" s="5">
        <f>VLOOKUP($B97,'Data Vlaue (Cr)'!$C:$FB,68)</f>
        <v>1701</v>
      </c>
      <c r="P97" s="5">
        <f t="shared" ref="P97:P105" si="35">(N97-O97)/N97*100</f>
        <v>10.284810126582279</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Banking</v>
      </c>
      <c r="B98" s="79" t="str">
        <f>'Data shares'!C93</f>
        <v>IDFCFIRSTB</v>
      </c>
      <c r="C98" s="4">
        <f>VLOOKUP($B98,'Data shares'!$C:$FB,7)</f>
        <v>68.53</v>
      </c>
      <c r="D98" s="82">
        <f>VLOOKUP($B98,'Data shares'!$C:$FB,98)</f>
        <v>651002975</v>
      </c>
      <c r="E98" s="165">
        <f>VLOOKUP(B98,'Snapshot (Volume)'!$A$7:$G$168,7,0)</f>
        <v>651216300</v>
      </c>
      <c r="F98" s="165">
        <f t="shared" si="32"/>
        <v>-213325</v>
      </c>
      <c r="G98" s="166">
        <f t="shared" si="33"/>
        <v>-3.2757933116846124E-4</v>
      </c>
      <c r="H98" s="165">
        <f>VLOOKUP($B98,'Data shares'!$C:$FB,66)</f>
        <v>215634475</v>
      </c>
      <c r="I98" s="165">
        <f>VLOOKUP($B98,'Data shares'!$C:$FB,67)</f>
        <v>295584975</v>
      </c>
      <c r="J98" s="81">
        <f t="shared" si="34"/>
        <v>-27.048228686184068</v>
      </c>
      <c r="K98" s="5">
        <f>VLOOKUP($B98,'Data Vlaue (Cr)'!$C:$FB,99)</f>
        <v>4463</v>
      </c>
      <c r="L98" s="81">
        <f>VLOOKUP(B98,'OI(Value)'!$A$7:$C$232,3,0)</f>
        <v>-1</v>
      </c>
      <c r="M98" s="33">
        <f t="shared" si="31"/>
        <v>-2.2406453058480841E-2</v>
      </c>
      <c r="N98" s="5">
        <f>VLOOKUP($B98,'Data Vlaue (Cr)'!$C:$FB,67)</f>
        <v>1478</v>
      </c>
      <c r="O98" s="5">
        <f>VLOOKUP($B98,'Data Vlaue (Cr)'!$C:$FB,68)</f>
        <v>2026</v>
      </c>
      <c r="P98" s="5">
        <f t="shared" si="35"/>
        <v>-37.077131258457371</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Power</v>
      </c>
      <c r="B99" s="79" t="str">
        <f>'Data shares'!C94</f>
        <v>IEX</v>
      </c>
      <c r="C99" s="4">
        <f>VLOOKUP($B99,'Data shares'!$C:$FB,7)</f>
        <v>135.81</v>
      </c>
      <c r="D99" s="82">
        <f>VLOOKUP($B99,'Data shares'!$C:$FB,98)</f>
        <v>138453750</v>
      </c>
      <c r="E99" s="165">
        <f>VLOOKUP(B99,'Snapshot (Volume)'!$A$7:$G$168,7,0)</f>
        <v>142417500</v>
      </c>
      <c r="F99" s="165">
        <f t="shared" si="32"/>
        <v>-3963750</v>
      </c>
      <c r="G99" s="166">
        <f t="shared" si="33"/>
        <v>-2.7831902680499235E-2</v>
      </c>
      <c r="H99" s="165">
        <f>VLOOKUP($B99,'Data shares'!$C:$FB,66)</f>
        <v>65677500</v>
      </c>
      <c r="I99" s="165">
        <f>VLOOKUP($B99,'Data shares'!$C:$FB,67)</f>
        <v>48663750</v>
      </c>
      <c r="J99" s="81">
        <f t="shared" si="34"/>
        <v>34.961855590660399</v>
      </c>
      <c r="K99" s="5">
        <f>VLOOKUP($B99,'Data Vlaue (Cr)'!$C:$FB,99)</f>
        <v>1880</v>
      </c>
      <c r="L99" s="81">
        <f>VLOOKUP(B99,'OI(Value)'!$A$7:$C$232,3,0)</f>
        <v>-54</v>
      </c>
      <c r="M99" s="33">
        <f t="shared" si="31"/>
        <v>-2.8723404255319149</v>
      </c>
      <c r="N99" s="5">
        <f>VLOOKUP($B99,'Data Vlaue (Cr)'!$C:$FB,67)</f>
        <v>892</v>
      </c>
      <c r="O99" s="5">
        <f>VLOOKUP($B99,'Data Vlaue (Cr)'!$C:$FB,68)</f>
        <v>661</v>
      </c>
      <c r="P99" s="5">
        <f t="shared" si="35"/>
        <v>25.89686098654709</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Realty</v>
      </c>
      <c r="B100" s="79" t="str">
        <f>'Data shares'!C95</f>
        <v>INDHOTEL</v>
      </c>
      <c r="C100" s="4">
        <f>VLOOKUP($B100,'Data shares'!$C:$FB,7)</f>
        <v>659.3</v>
      </c>
      <c r="D100" s="82">
        <f>VLOOKUP($B100,'Data shares'!$C:$FB,98)</f>
        <v>34118000</v>
      </c>
      <c r="E100" s="165">
        <f>VLOOKUP(B100,'Snapshot (Volume)'!$A$7:$G$168,7,0)</f>
        <v>34101000</v>
      </c>
      <c r="F100" s="165">
        <f t="shared" si="32"/>
        <v>17000</v>
      </c>
      <c r="G100" s="166">
        <f t="shared" si="33"/>
        <v>4.985191050115832E-4</v>
      </c>
      <c r="H100" s="165">
        <f>VLOOKUP($B100,'Data shares'!$C:$FB,66)</f>
        <v>15126000</v>
      </c>
      <c r="I100" s="165">
        <f>VLOOKUP($B100,'Data shares'!$C:$FB,67)</f>
        <v>17323000</v>
      </c>
      <c r="J100" s="81">
        <f t="shared" si="34"/>
        <v>-12.682560757374588</v>
      </c>
      <c r="K100" s="5">
        <f>VLOOKUP($B100,'Data Vlaue (Cr)'!$C:$FB,99)</f>
        <v>2250</v>
      </c>
      <c r="L100" s="81">
        <f>VLOOKUP(B100,'OI(Value)'!$A$7:$C$232,3,0)</f>
        <v>1</v>
      </c>
      <c r="M100" s="33">
        <f t="shared" si="31"/>
        <v>4.4444444444444446E-2</v>
      </c>
      <c r="N100" s="5">
        <f>VLOOKUP($B100,'Data Vlaue (Cr)'!$C:$FB,67)</f>
        <v>998</v>
      </c>
      <c r="O100" s="5">
        <f>VLOOKUP($B100,'Data Vlaue (Cr)'!$C:$FB,68)</f>
        <v>1143</v>
      </c>
      <c r="P100" s="5">
        <f t="shared" si="35"/>
        <v>-14.529058116232466</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Banking</v>
      </c>
      <c r="B101" s="79" t="str">
        <f>'Data shares'!C96</f>
        <v>INDIANB</v>
      </c>
      <c r="C101" s="4">
        <f>VLOOKUP($B101,'Data shares'!$C:$FB,7)</f>
        <v>939.45</v>
      </c>
      <c r="D101" s="82">
        <f>VLOOKUP($B101,'Data shares'!$C:$FB,98)</f>
        <v>19614000</v>
      </c>
      <c r="E101" s="165">
        <f>VLOOKUP(B101,'Snapshot (Volume)'!$A$7:$G$168,7,0)</f>
        <v>19705000</v>
      </c>
      <c r="F101" s="165">
        <f t="shared" si="32"/>
        <v>-91000</v>
      </c>
      <c r="G101" s="166">
        <f t="shared" si="33"/>
        <v>-4.6181172291296629E-3</v>
      </c>
      <c r="H101" s="165">
        <f>VLOOKUP($B101,'Data shares'!$C:$FB,66)</f>
        <v>9866000</v>
      </c>
      <c r="I101" s="165">
        <f>VLOOKUP($B101,'Data shares'!$C:$FB,67)</f>
        <v>15907000</v>
      </c>
      <c r="J101" s="81">
        <f t="shared" si="34"/>
        <v>-37.976991261708683</v>
      </c>
      <c r="K101" s="5">
        <f>VLOOKUP($B101,'Data Vlaue (Cr)'!$C:$FB,99)</f>
        <v>1848</v>
      </c>
      <c r="L101" s="81">
        <f>VLOOKUP(B101,'OI(Value)'!$A$7:$C$232,3,0)</f>
        <v>-9</v>
      </c>
      <c r="M101" s="33">
        <f t="shared" si="31"/>
        <v>-0.48701298701298701</v>
      </c>
      <c r="N101" s="5">
        <f>VLOOKUP($B101,'Data Vlaue (Cr)'!$C:$FB,67)</f>
        <v>930</v>
      </c>
      <c r="O101" s="5">
        <f>VLOOKUP($B101,'Data Vlaue (Cr)'!$C:$FB,68)</f>
        <v>1499</v>
      </c>
      <c r="P101" s="5">
        <f t="shared" si="35"/>
        <v>-61.182795698924728</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Index</v>
      </c>
      <c r="B102" s="79" t="str">
        <f>'Data shares'!C97</f>
        <v>INDIAVIX</v>
      </c>
      <c r="C102" s="4">
        <f>VLOOKUP($B102,'Data shares'!$C:$FB,7)</f>
        <v>17.2</v>
      </c>
      <c r="D102" s="82">
        <f>VLOOKUP($B102,'Data shares'!$C:$FB,98)</f>
        <v>0</v>
      </c>
      <c r="E102" s="165">
        <f>VLOOKUP(B102,'Snapshot (Volume)'!$A$7:$G$168,7,0)</f>
        <v>0</v>
      </c>
      <c r="F102" s="165">
        <f t="shared" si="32"/>
        <v>0</v>
      </c>
      <c r="G102" s="166" t="e">
        <f t="shared" si="33"/>
        <v>#DIV/0!</v>
      </c>
      <c r="H102" s="165">
        <f>VLOOKUP($B102,'Data shares'!$C:$FB,66)</f>
        <v>0</v>
      </c>
      <c r="I102" s="165">
        <f>VLOOKUP($B102,'Data shares'!$C:$FB,67)</f>
        <v>0</v>
      </c>
      <c r="J102" s="81" t="e">
        <f t="shared" si="34"/>
        <v>#DIV/0!</v>
      </c>
      <c r="K102" s="5">
        <f>VLOOKUP($B102,'Data Vlaue (Cr)'!$C:$FB,99)</f>
        <v>0</v>
      </c>
      <c r="L102" s="81">
        <f>VLOOKUP(B102,'OI(Value)'!$A$7:$C$232,3,0)</f>
        <v>0</v>
      </c>
      <c r="M102" s="33" t="e">
        <f t="shared" si="31"/>
        <v>#DIV/0!</v>
      </c>
      <c r="N102" s="5">
        <f>VLOOKUP($B102,'Data Vlaue (Cr)'!$C:$FB,67)</f>
        <v>0</v>
      </c>
      <c r="O102" s="5">
        <f>VLOOKUP($B102,'Data Vlaue (Cr)'!$C:$FB,68)</f>
        <v>0</v>
      </c>
      <c r="P102" s="5" t="e">
        <f t="shared" si="35"/>
        <v>#DIV/0!</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Infrastructure</v>
      </c>
      <c r="B103" s="79" t="str">
        <f>'Data shares'!C98</f>
        <v>INDIGO</v>
      </c>
      <c r="C103" s="4">
        <f>VLOOKUP($B103,'Data shares'!$C:$FB,7)</f>
        <v>4638.3999999999996</v>
      </c>
      <c r="D103" s="82">
        <f>VLOOKUP($B103,'Data shares'!$C:$FB,98)</f>
        <v>17672400</v>
      </c>
      <c r="E103" s="165">
        <f>VLOOKUP(B103,'Snapshot (Volume)'!$A$7:$G$168,7,0)</f>
        <v>17573100</v>
      </c>
      <c r="F103" s="165">
        <f t="shared" si="32"/>
        <v>99300</v>
      </c>
      <c r="G103" s="166">
        <f t="shared" si="33"/>
        <v>5.6506820082967719E-3</v>
      </c>
      <c r="H103" s="165">
        <f>VLOOKUP($B103,'Data shares'!$C:$FB,66)</f>
        <v>8943000</v>
      </c>
      <c r="I103" s="165">
        <f>VLOOKUP($B103,'Data shares'!$C:$FB,67)</f>
        <v>10398450</v>
      </c>
      <c r="J103" s="81">
        <f t="shared" si="34"/>
        <v>-13.996797599642255</v>
      </c>
      <c r="K103" s="5">
        <f>VLOOKUP($B103,'Data Vlaue (Cr)'!$C:$FB,99)</f>
        <v>8214</v>
      </c>
      <c r="L103" s="81">
        <f>VLOOKUP(B103,'OI(Value)'!$A$7:$C$232,3,0)</f>
        <v>46</v>
      </c>
      <c r="M103" s="33">
        <f t="shared" si="31"/>
        <v>0.56001947893839787</v>
      </c>
      <c r="N103" s="5">
        <f>VLOOKUP($B103,'Data Vlaue (Cr)'!$C:$FB,67)</f>
        <v>4157</v>
      </c>
      <c r="O103" s="5">
        <f>VLOOKUP($B103,'Data Vlaue (Cr)'!$C:$FB,68)</f>
        <v>4833</v>
      </c>
      <c r="P103" s="5">
        <f t="shared" si="35"/>
        <v>-16.261727207120519</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Banking</v>
      </c>
      <c r="B104" s="79" t="str">
        <f>'Data shares'!C99</f>
        <v>INDUSINDBK</v>
      </c>
      <c r="C104" s="4">
        <f>VLOOKUP($B104,'Data shares'!$C:$FB,7)</f>
        <v>853.9</v>
      </c>
      <c r="D104" s="82">
        <f>VLOOKUP($B104,'Data shares'!$C:$FB,98)</f>
        <v>52703700</v>
      </c>
      <c r="E104" s="165">
        <f>VLOOKUP(B104,'Snapshot (Volume)'!$A$7:$G$168,7,0)</f>
        <v>51944200</v>
      </c>
      <c r="F104" s="165">
        <f t="shared" si="32"/>
        <v>759500</v>
      </c>
      <c r="G104" s="166">
        <f t="shared" si="33"/>
        <v>1.4621459181198285E-2</v>
      </c>
      <c r="H104" s="165">
        <f>VLOOKUP($B104,'Data shares'!$C:$FB,66)</f>
        <v>16914100</v>
      </c>
      <c r="I104" s="165">
        <f>VLOOKUP($B104,'Data shares'!$C:$FB,67)</f>
        <v>23102100</v>
      </c>
      <c r="J104" s="81">
        <f t="shared" si="34"/>
        <v>-26.7854437475381</v>
      </c>
      <c r="K104" s="5">
        <f>VLOOKUP($B104,'Data Vlaue (Cr)'!$C:$FB,99)</f>
        <v>4492</v>
      </c>
      <c r="L104" s="81">
        <f>VLOOKUP(B104,'OI(Value)'!$A$7:$C$232,3,0)</f>
        <v>65</v>
      </c>
      <c r="M104" s="33">
        <f t="shared" si="31"/>
        <v>1.4470169189670525</v>
      </c>
      <c r="N104" s="5">
        <f>VLOOKUP($B104,'Data Vlaue (Cr)'!$C:$FB,67)</f>
        <v>1442</v>
      </c>
      <c r="O104" s="5">
        <f>VLOOKUP($B104,'Data Vlaue (Cr)'!$C:$FB,68)</f>
        <v>1969</v>
      </c>
      <c r="P104" s="5">
        <f t="shared" si="35"/>
        <v>-36.546463245492369</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Telecom</v>
      </c>
      <c r="B105" s="79" t="str">
        <f>'Data shares'!C100</f>
        <v>INDUSTOWER</v>
      </c>
      <c r="C105" s="4">
        <f>VLOOKUP($B105,'Data shares'!$C:$FB,7)</f>
        <v>412.25</v>
      </c>
      <c r="D105" s="82">
        <f>VLOOKUP($B105,'Data shares'!$C:$FB,98)</f>
        <v>113077200</v>
      </c>
      <c r="E105" s="165">
        <f>VLOOKUP(B105,'Snapshot (Volume)'!$A$7:$G$168,7,0)</f>
        <v>107859900</v>
      </c>
      <c r="F105" s="165">
        <f t="shared" si="32"/>
        <v>5217300</v>
      </c>
      <c r="G105" s="166">
        <f t="shared" si="33"/>
        <v>4.8371081375005912E-2</v>
      </c>
      <c r="H105" s="165">
        <f>VLOOKUP($B105,'Data shares'!$C:$FB,66)</f>
        <v>73506300</v>
      </c>
      <c r="I105" s="165">
        <f>VLOOKUP($B105,'Data shares'!$C:$FB,67)</f>
        <v>56933000</v>
      </c>
      <c r="J105" s="81">
        <f t="shared" si="34"/>
        <v>29.110182143923559</v>
      </c>
      <c r="K105" s="5">
        <f>VLOOKUP($B105,'Data Vlaue (Cr)'!$C:$FB,99)</f>
        <v>4674</v>
      </c>
      <c r="L105" s="81">
        <f>VLOOKUP(B105,'OI(Value)'!$A$7:$C$232,3,0)</f>
        <v>216</v>
      </c>
      <c r="M105" s="33">
        <f t="shared" si="31"/>
        <v>4.6213093709884472</v>
      </c>
      <c r="N105" s="5">
        <f>VLOOKUP($B105,'Data Vlaue (Cr)'!$C:$FB,67)</f>
        <v>3038</v>
      </c>
      <c r="O105" s="5">
        <f>VLOOKUP($B105,'Data Vlaue (Cr)'!$C:$FB,68)</f>
        <v>2353</v>
      </c>
      <c r="P105" s="5">
        <f t="shared" si="35"/>
        <v>22.547728768926927</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Technology</v>
      </c>
      <c r="B106" s="79" t="str">
        <f>'Data shares'!C101</f>
        <v>INFY</v>
      </c>
      <c r="C106" s="79">
        <f>VLOOKUP($B106,'Data shares'!$C:$FB,7)</f>
        <v>1318.7</v>
      </c>
      <c r="D106" s="80">
        <f>VLOOKUP($B106,'Data shares'!$C:$FB,98)</f>
        <v>128380400</v>
      </c>
      <c r="E106" s="165">
        <f>VLOOKUP(B106,'Snapshot (Volume)'!$A$7:$G$168,7,0)</f>
        <v>128870800</v>
      </c>
      <c r="F106" s="165">
        <f t="shared" ref="F106:F114" si="36">D106-E106</f>
        <v>-490400</v>
      </c>
      <c r="G106" s="166">
        <f t="shared" ref="G106:G114" si="37">F106/E106</f>
        <v>-3.8053616490314329E-3</v>
      </c>
      <c r="H106" s="165">
        <f>VLOOKUP($B106,'Data shares'!$C:$FB,66)</f>
        <v>42485600</v>
      </c>
      <c r="I106" s="165">
        <f>VLOOKUP($B106,'Data shares'!$C:$FB,67)</f>
        <v>68853600</v>
      </c>
      <c r="J106" s="81">
        <f t="shared" ref="J106:J114" si="38">(H106-I106)/I106*100</f>
        <v>-38.29574633715594</v>
      </c>
      <c r="K106" s="81">
        <f>VLOOKUP($B106,'Data Vlaue (Cr)'!$C:$FB,99)</f>
        <v>16959</v>
      </c>
      <c r="L106" s="81">
        <f>VLOOKUP(B106,'OI(Value)'!$A$7:$C$232,3,0)</f>
        <v>-65</v>
      </c>
      <c r="M106" s="81">
        <f t="shared" si="31"/>
        <v>-0.383277315879474</v>
      </c>
      <c r="N106" s="81">
        <f>VLOOKUP($B106,'Data Vlaue (Cr)'!$C:$FB,67)</f>
        <v>5612</v>
      </c>
      <c r="O106" s="81">
        <f>VLOOKUP($B106,'Data Vlaue (Cr)'!$C:$FB,68)</f>
        <v>9096</v>
      </c>
      <c r="P106" s="81">
        <f t="shared" ref="P106:P114" si="39">(N106-O106)/N106*100</f>
        <v>-62.081254454739842</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Power</v>
      </c>
      <c r="B107" s="79" t="str">
        <f>'Data shares'!C102</f>
        <v>INOXWIND</v>
      </c>
      <c r="C107" s="79">
        <f>VLOOKUP($B107,'Data shares'!$C:$FB,7)</f>
        <v>97.9</v>
      </c>
      <c r="D107" s="80">
        <f>VLOOKUP($B107,'Data shares'!$C:$FB,98)</f>
        <v>151061625</v>
      </c>
      <c r="E107" s="165">
        <f>VLOOKUP(B107,'Snapshot (Volume)'!$A$7:$G$168,7,0)</f>
        <v>148130125</v>
      </c>
      <c r="F107" s="165">
        <f t="shared" si="36"/>
        <v>2931500</v>
      </c>
      <c r="G107" s="166">
        <f t="shared" si="37"/>
        <v>1.9790032581151199E-2</v>
      </c>
      <c r="H107" s="165">
        <f>VLOOKUP($B107,'Data shares'!$C:$FB,66)</f>
        <v>111675850</v>
      </c>
      <c r="I107" s="165">
        <f>VLOOKUP($B107,'Data shares'!$C:$FB,67)</f>
        <v>74195550</v>
      </c>
      <c r="J107" s="81">
        <f t="shared" si="38"/>
        <v>50.515563264912785</v>
      </c>
      <c r="K107" s="81">
        <f>VLOOKUP($B107,'Data Vlaue (Cr)'!$C:$FB,99)</f>
        <v>1478</v>
      </c>
      <c r="L107" s="81">
        <f>VLOOKUP(B107,'OI(Value)'!$A$7:$C$232,3,0)</f>
        <v>29</v>
      </c>
      <c r="M107" s="81">
        <f t="shared" si="31"/>
        <v>1.9621109607577809</v>
      </c>
      <c r="N107" s="81">
        <f>VLOOKUP($B107,'Data Vlaue (Cr)'!$C:$FB,67)</f>
        <v>1092</v>
      </c>
      <c r="O107" s="81">
        <f>VLOOKUP($B107,'Data Vlaue (Cr)'!$C:$FB,68)</f>
        <v>726</v>
      </c>
      <c r="P107" s="81">
        <f t="shared" si="39"/>
        <v>33.516483516483511</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Oil_Gas</v>
      </c>
      <c r="B108" s="79" t="str">
        <f>'Data shares'!C103</f>
        <v>IOC</v>
      </c>
      <c r="C108" s="4">
        <f>VLOOKUP($B108,'Data shares'!$C:$FB,7)</f>
        <v>145.88</v>
      </c>
      <c r="D108" s="82">
        <f>VLOOKUP($B108,'Data shares'!$C:$FB,98)</f>
        <v>214461000</v>
      </c>
      <c r="E108" s="165">
        <f>VLOOKUP(B108,'Snapshot (Volume)'!$A$7:$G$168,7,0)</f>
        <v>215372625</v>
      </c>
      <c r="F108" s="165">
        <f t="shared" si="36"/>
        <v>-911625</v>
      </c>
      <c r="G108" s="166">
        <f t="shared" si="37"/>
        <v>-4.2327802802236353E-3</v>
      </c>
      <c r="H108" s="165">
        <f>VLOOKUP($B108,'Data shares'!$C:$FB,66)</f>
        <v>69717375</v>
      </c>
      <c r="I108" s="165">
        <f>VLOOKUP($B108,'Data shares'!$C:$FB,67)</f>
        <v>73334625</v>
      </c>
      <c r="J108" s="81">
        <f t="shared" si="38"/>
        <v>-4.9325267566309918</v>
      </c>
      <c r="K108" s="5">
        <f>VLOOKUP($B108,'Data Vlaue (Cr)'!$C:$FB,99)</f>
        <v>3136</v>
      </c>
      <c r="L108" s="81">
        <f>VLOOKUP(B108,'OI(Value)'!$A$7:$C$232,3,0)</f>
        <v>-13</v>
      </c>
      <c r="M108" s="33">
        <f t="shared" si="31"/>
        <v>-0.41454081632653061</v>
      </c>
      <c r="N108" s="5">
        <f>VLOOKUP($B108,'Data Vlaue (Cr)'!$C:$FB,67)</f>
        <v>1019</v>
      </c>
      <c r="O108" s="5">
        <f>VLOOKUP($B108,'Data Vlaue (Cr)'!$C:$FB,68)</f>
        <v>1072</v>
      </c>
      <c r="P108" s="5">
        <f t="shared" si="39"/>
        <v>-5.2011776251226696</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Finance</v>
      </c>
      <c r="B109" s="79" t="str">
        <f>'Data shares'!C104</f>
        <v>IREDA</v>
      </c>
      <c r="C109" s="4">
        <f>VLOOKUP($B109,'Data shares'!$C:$FB,7)</f>
        <v>133.01</v>
      </c>
      <c r="D109" s="82">
        <f>VLOOKUP($B109,'Data shares'!$C:$FB,98)</f>
        <v>102640950</v>
      </c>
      <c r="E109" s="165">
        <f>VLOOKUP(B109,'Snapshot (Volume)'!$A$7:$G$168,7,0)</f>
        <v>97693650</v>
      </c>
      <c r="F109" s="165">
        <f t="shared" si="36"/>
        <v>4947300</v>
      </c>
      <c r="G109" s="166">
        <f t="shared" si="37"/>
        <v>5.0640957728572945E-2</v>
      </c>
      <c r="H109" s="165">
        <f>VLOOKUP($B109,'Data shares'!$C:$FB,66)</f>
        <v>92953350</v>
      </c>
      <c r="I109" s="165">
        <f>VLOOKUP($B109,'Data shares'!$C:$FB,67)</f>
        <v>77369700</v>
      </c>
      <c r="J109" s="81">
        <f t="shared" si="38"/>
        <v>20.14179969678052</v>
      </c>
      <c r="K109" s="5">
        <f>VLOOKUP($B109,'Data Vlaue (Cr)'!$C:$FB,99)</f>
        <v>1369</v>
      </c>
      <c r="L109" s="81">
        <f>VLOOKUP(B109,'OI(Value)'!$A$7:$C$232,3,0)</f>
        <v>66</v>
      </c>
      <c r="M109" s="33">
        <f t="shared" si="31"/>
        <v>4.8210372534696857</v>
      </c>
      <c r="N109" s="5">
        <f>VLOOKUP($B109,'Data Vlaue (Cr)'!$C:$FB,67)</f>
        <v>1240</v>
      </c>
      <c r="O109" s="5">
        <f>VLOOKUP($B109,'Data Vlaue (Cr)'!$C:$FB,68)</f>
        <v>1032</v>
      </c>
      <c r="P109" s="5">
        <f t="shared" si="39"/>
        <v>16.7741935483871</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Infrastructure</v>
      </c>
      <c r="B110" s="79" t="str">
        <f>'Data shares'!C105</f>
        <v>IRFC</v>
      </c>
      <c r="C110" s="4">
        <f>VLOOKUP($B110,'Data shares'!$C:$FB,7)</f>
        <v>104.84</v>
      </c>
      <c r="D110" s="82">
        <f>VLOOKUP($B110,'Data shares'!$C:$FB,98)</f>
        <v>131881750</v>
      </c>
      <c r="E110" s="165">
        <f>VLOOKUP(B110,'Snapshot (Volume)'!$A$7:$G$168,7,0)</f>
        <v>127763500</v>
      </c>
      <c r="F110" s="165">
        <f t="shared" si="36"/>
        <v>4118250</v>
      </c>
      <c r="G110" s="166">
        <f t="shared" si="37"/>
        <v>3.2233384339032667E-2</v>
      </c>
      <c r="H110" s="165">
        <f>VLOOKUP($B110,'Data shares'!$C:$FB,66)</f>
        <v>120759500</v>
      </c>
      <c r="I110" s="165">
        <f>VLOOKUP($B110,'Data shares'!$C:$FB,67)</f>
        <v>103219750</v>
      </c>
      <c r="J110" s="81">
        <f t="shared" si="38"/>
        <v>16.992629801951662</v>
      </c>
      <c r="K110" s="5">
        <f>VLOOKUP($B110,'Data Vlaue (Cr)'!$C:$FB,99)</f>
        <v>1383</v>
      </c>
      <c r="L110" s="81">
        <f>VLOOKUP(B110,'OI(Value)'!$A$7:$C$232,3,0)</f>
        <v>43</v>
      </c>
      <c r="M110" s="33">
        <f t="shared" si="31"/>
        <v>3.1091829356471439</v>
      </c>
      <c r="N110" s="5">
        <f>VLOOKUP($B110,'Data Vlaue (Cr)'!$C:$FB,67)</f>
        <v>1266</v>
      </c>
      <c r="O110" s="5">
        <f>VLOOKUP($B110,'Data Vlaue (Cr)'!$C:$FB,68)</f>
        <v>1082</v>
      </c>
      <c r="P110" s="5">
        <f t="shared" si="39"/>
        <v>14.533965244865717</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FMCG</v>
      </c>
      <c r="B111" s="79" t="str">
        <f>'Data shares'!C106</f>
        <v>ITC</v>
      </c>
      <c r="C111" s="4">
        <f>VLOOKUP($B111,'Data shares'!$C:$FB,7)</f>
        <v>306.8</v>
      </c>
      <c r="D111" s="82">
        <f>VLOOKUP($B111,'Data shares'!$C:$FB,98)</f>
        <v>336720000</v>
      </c>
      <c r="E111" s="165">
        <f>VLOOKUP(B111,'Snapshot (Volume)'!$A$7:$G$168,7,0)</f>
        <v>313382400</v>
      </c>
      <c r="F111" s="165">
        <f t="shared" si="36"/>
        <v>23337600</v>
      </c>
      <c r="G111" s="166">
        <f t="shared" si="37"/>
        <v>7.4470040436221047E-2</v>
      </c>
      <c r="H111" s="165">
        <f>VLOOKUP($B111,'Data shares'!$C:$FB,66)</f>
        <v>440985600</v>
      </c>
      <c r="I111" s="165">
        <f>VLOOKUP($B111,'Data shares'!$C:$FB,67)</f>
        <v>128284800</v>
      </c>
      <c r="J111" s="81">
        <f t="shared" si="38"/>
        <v>243.75514480281373</v>
      </c>
      <c r="K111" s="5">
        <f>VLOOKUP($B111,'Data Vlaue (Cr)'!$C:$FB,99)</f>
        <v>10354</v>
      </c>
      <c r="L111" s="81">
        <f>VLOOKUP(B111,'OI(Value)'!$A$7:$C$232,3,0)</f>
        <v>718</v>
      </c>
      <c r="M111" s="33">
        <f t="shared" si="31"/>
        <v>6.9345180606528878</v>
      </c>
      <c r="N111" s="5">
        <f>VLOOKUP($B111,'Data Vlaue (Cr)'!$C:$FB,67)</f>
        <v>13560</v>
      </c>
      <c r="O111" s="5">
        <f>VLOOKUP($B111,'Data Vlaue (Cr)'!$C:$FB,68)</f>
        <v>3945</v>
      </c>
      <c r="P111" s="5">
        <f t="shared" si="39"/>
        <v>70.907079646017706</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Metals</v>
      </c>
      <c r="B112" s="79" t="str">
        <f>'Data shares'!C107</f>
        <v>JINDALSTEL</v>
      </c>
      <c r="C112" s="4">
        <f>VLOOKUP($B112,'Data shares'!$C:$FB,7)</f>
        <v>1270</v>
      </c>
      <c r="D112" s="82">
        <f>VLOOKUP($B112,'Data shares'!$C:$FB,98)</f>
        <v>20543125</v>
      </c>
      <c r="E112" s="165">
        <f>VLOOKUP(B112,'Snapshot (Volume)'!$A$7:$G$168,7,0)</f>
        <v>19620625</v>
      </c>
      <c r="F112" s="165">
        <f t="shared" si="36"/>
        <v>922500</v>
      </c>
      <c r="G112" s="166">
        <f t="shared" si="37"/>
        <v>4.7016850890325868E-2</v>
      </c>
      <c r="H112" s="165">
        <f>VLOOKUP($B112,'Data shares'!$C:$FB,66)</f>
        <v>24908750</v>
      </c>
      <c r="I112" s="165">
        <f>VLOOKUP($B112,'Data shares'!$C:$FB,67)</f>
        <v>7920000</v>
      </c>
      <c r="J112" s="81">
        <f t="shared" si="38"/>
        <v>214.5044191919192</v>
      </c>
      <c r="K112" s="5">
        <f>VLOOKUP($B112,'Data Vlaue (Cr)'!$C:$FB,99)</f>
        <v>2612</v>
      </c>
      <c r="L112" s="81">
        <f>VLOOKUP(B112,'OI(Value)'!$A$7:$C$232,3,0)</f>
        <v>117</v>
      </c>
      <c r="M112" s="33">
        <f t="shared" si="31"/>
        <v>4.4793261868300158</v>
      </c>
      <c r="N112" s="5">
        <f>VLOOKUP($B112,'Data Vlaue (Cr)'!$C:$FB,67)</f>
        <v>3167</v>
      </c>
      <c r="O112" s="5">
        <f>VLOOKUP($B112,'Data Vlaue (Cr)'!$C:$FB,68)</f>
        <v>1007</v>
      </c>
      <c r="P112" s="5">
        <f t="shared" si="39"/>
        <v>68.203347016103564</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Finance</v>
      </c>
      <c r="B113" s="79" t="str">
        <f>'Data shares'!C108</f>
        <v>JIOFIN</v>
      </c>
      <c r="C113" s="4">
        <f>VLOOKUP($B113,'Data shares'!$C:$FB,7)</f>
        <v>243.86</v>
      </c>
      <c r="D113" s="82">
        <f>VLOOKUP($B113,'Data shares'!$C:$FB,98)</f>
        <v>285449800</v>
      </c>
      <c r="E113" s="165">
        <f>VLOOKUP(B113,'Snapshot (Volume)'!$A$7:$G$168,7,0)</f>
        <v>241831450</v>
      </c>
      <c r="F113" s="165">
        <f t="shared" si="36"/>
        <v>43618350</v>
      </c>
      <c r="G113" s="166">
        <f t="shared" si="37"/>
        <v>0.18036673890017199</v>
      </c>
      <c r="H113" s="165">
        <f>VLOOKUP($B113,'Data shares'!$C:$FB,66)</f>
        <v>212703200</v>
      </c>
      <c r="I113" s="165">
        <f>VLOOKUP($B113,'Data shares'!$C:$FB,67)</f>
        <v>95856500</v>
      </c>
      <c r="J113" s="81">
        <f t="shared" si="38"/>
        <v>121.89752390291737</v>
      </c>
      <c r="K113" s="5">
        <f>VLOOKUP($B113,'Data Vlaue (Cr)'!$C:$FB,99)</f>
        <v>6982</v>
      </c>
      <c r="L113" s="81">
        <f>VLOOKUP(B113,'OI(Value)'!$A$7:$C$232,3,0)</f>
        <v>1067</v>
      </c>
      <c r="M113" s="33">
        <f t="shared" si="31"/>
        <v>15.282154110570037</v>
      </c>
      <c r="N113" s="5">
        <f>VLOOKUP($B113,'Data Vlaue (Cr)'!$C:$FB,67)</f>
        <v>5203</v>
      </c>
      <c r="O113" s="5">
        <f>VLOOKUP($B113,'Data Vlaue (Cr)'!$C:$FB,68)</f>
        <v>2345</v>
      </c>
      <c r="P113" s="5">
        <f t="shared" si="39"/>
        <v>54.929848164520465</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Power</v>
      </c>
      <c r="B114" s="79" t="str">
        <f>'Data shares'!C109</f>
        <v>JSWENERGY</v>
      </c>
      <c r="C114" s="4">
        <f>VLOOKUP($B114,'Data shares'!$C:$FB,7)</f>
        <v>538.04999999999995</v>
      </c>
      <c r="D114" s="82">
        <f>VLOOKUP($B114,'Data shares'!$C:$FB,98)</f>
        <v>38543000</v>
      </c>
      <c r="E114" s="165">
        <f>VLOOKUP(B114,'Snapshot (Volume)'!$A$7:$G$168,7,0)</f>
        <v>38952000</v>
      </c>
      <c r="F114" s="165">
        <f t="shared" si="36"/>
        <v>-409000</v>
      </c>
      <c r="G114" s="166">
        <f t="shared" si="37"/>
        <v>-1.0500102690490861E-2</v>
      </c>
      <c r="H114" s="165">
        <f>VLOOKUP($B114,'Data shares'!$C:$FB,66)</f>
        <v>16059000</v>
      </c>
      <c r="I114" s="165">
        <f>VLOOKUP($B114,'Data shares'!$C:$FB,67)</f>
        <v>24638000</v>
      </c>
      <c r="J114" s="81">
        <f t="shared" si="38"/>
        <v>-34.820196444516597</v>
      </c>
      <c r="K114" s="5">
        <f>VLOOKUP($B114,'Data Vlaue (Cr)'!$C:$FB,99)</f>
        <v>2074</v>
      </c>
      <c r="L114" s="81">
        <f>VLOOKUP(B114,'OI(Value)'!$A$7:$C$232,3,0)</f>
        <v>-22</v>
      </c>
      <c r="M114" s="33">
        <f t="shared" si="31"/>
        <v>-1.0607521697203472</v>
      </c>
      <c r="N114" s="5">
        <f>VLOOKUP($B114,'Data Vlaue (Cr)'!$C:$FB,67)</f>
        <v>864</v>
      </c>
      <c r="O114" s="5">
        <f>VLOOKUP($B114,'Data Vlaue (Cr)'!$C:$FB,68)</f>
        <v>1326</v>
      </c>
      <c r="P114" s="5">
        <f t="shared" si="39"/>
        <v>-53.472222222222221</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Metals</v>
      </c>
      <c r="B115" s="79" t="str">
        <f>'Data shares'!C110</f>
        <v>JSWSTEEL</v>
      </c>
      <c r="C115" s="79">
        <f>VLOOKUP($B115,'Data shares'!$C:$FB,7)</f>
        <v>1240.3</v>
      </c>
      <c r="D115" s="80">
        <f>VLOOKUP($B115,'Data shares'!$C:$FB,98)</f>
        <v>61297425</v>
      </c>
      <c r="E115" s="165">
        <f>VLOOKUP(B115,'Snapshot (Volume)'!$A$7:$G$168,7,0)</f>
        <v>62330175</v>
      </c>
      <c r="F115" s="165">
        <f t="shared" ref="F115:F126" si="40">D115-E115</f>
        <v>-1032750</v>
      </c>
      <c r="G115" s="166">
        <f t="shared" ref="G115:G126" si="41">F115/E115</f>
        <v>-1.6569021344798086E-2</v>
      </c>
      <c r="H115" s="165">
        <f>VLOOKUP($B115,'Data shares'!$C:$FB,66)</f>
        <v>21487950</v>
      </c>
      <c r="I115" s="165">
        <f>VLOOKUP($B115,'Data shares'!$C:$FB,67)</f>
        <v>16393725</v>
      </c>
      <c r="J115" s="81">
        <f t="shared" ref="J115:J126" si="42">(H115-I115)/I115*100</f>
        <v>31.074237246263429</v>
      </c>
      <c r="K115" s="81">
        <f>VLOOKUP($B115,'Data Vlaue (Cr)'!$C:$FB,99)</f>
        <v>7602</v>
      </c>
      <c r="L115" s="81">
        <f>VLOOKUP(B115,'OI(Value)'!$A$7:$C$232,3,0)</f>
        <v>-128</v>
      </c>
      <c r="M115" s="81">
        <f t="shared" si="31"/>
        <v>-1.6837674296237832</v>
      </c>
      <c r="N115" s="81">
        <f>VLOOKUP($B115,'Data Vlaue (Cr)'!$C:$FB,67)</f>
        <v>2665</v>
      </c>
      <c r="O115" s="81">
        <f>VLOOKUP($B115,'Data Vlaue (Cr)'!$C:$FB,68)</f>
        <v>2033</v>
      </c>
      <c r="P115" s="81">
        <f t="shared" ref="P115:P126" si="43">(N115-O115)/N115*100</f>
        <v>23.714821763602252</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JUBLFOOD</v>
      </c>
      <c r="C116" s="4">
        <f>VLOOKUP($B116,'Data shares'!$C:$FB,7)</f>
        <v>458.95</v>
      </c>
      <c r="D116" s="82">
        <f>VLOOKUP($B116,'Data shares'!$C:$FB,98)</f>
        <v>76172500</v>
      </c>
      <c r="E116" s="165">
        <f>VLOOKUP(B116,'Snapshot (Volume)'!$A$7:$G$168,7,0)</f>
        <v>73032500</v>
      </c>
      <c r="F116" s="165">
        <f t="shared" si="40"/>
        <v>3140000</v>
      </c>
      <c r="G116" s="166">
        <f t="shared" si="41"/>
        <v>4.299455721767706E-2</v>
      </c>
      <c r="H116" s="165">
        <f>VLOOKUP($B116,'Data shares'!$C:$FB,66)</f>
        <v>39621250</v>
      </c>
      <c r="I116" s="165">
        <f>VLOOKUP($B116,'Data shares'!$C:$FB,67)</f>
        <v>30430000</v>
      </c>
      <c r="J116" s="81">
        <f t="shared" si="42"/>
        <v>30.204567860663818</v>
      </c>
      <c r="K116" s="5">
        <f>VLOOKUP($B116,'Data Vlaue (Cr)'!$C:$FB,99)</f>
        <v>3495</v>
      </c>
      <c r="L116" s="81">
        <f>VLOOKUP(B116,'OI(Value)'!$A$7:$C$232,3,0)</f>
        <v>144</v>
      </c>
      <c r="M116" s="33">
        <f t="shared" si="31"/>
        <v>4.1201716738197423</v>
      </c>
      <c r="N116" s="5">
        <f>VLOOKUP($B116,'Data Vlaue (Cr)'!$C:$FB,67)</f>
        <v>1818</v>
      </c>
      <c r="O116" s="5">
        <f>VLOOKUP($B116,'Data Vlaue (Cr)'!$C:$FB,68)</f>
        <v>1396</v>
      </c>
      <c r="P116" s="5">
        <f t="shared" si="43"/>
        <v>23.212321232123212</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FMCG</v>
      </c>
      <c r="B117" s="79" t="str">
        <f>'Data shares'!C112</f>
        <v>KALYANKJIL</v>
      </c>
      <c r="C117" s="4">
        <f>VLOOKUP($B117,'Data shares'!$C:$FB,7)</f>
        <v>426.85</v>
      </c>
      <c r="D117" s="82">
        <f>VLOOKUP($B117,'Data shares'!$C:$FB,98)</f>
        <v>47703825</v>
      </c>
      <c r="E117" s="165">
        <f>VLOOKUP(B117,'Snapshot (Volume)'!$A$7:$G$168,7,0)</f>
        <v>37392025</v>
      </c>
      <c r="F117" s="165">
        <f t="shared" si="40"/>
        <v>10311800</v>
      </c>
      <c r="G117" s="166">
        <f t="shared" si="41"/>
        <v>0.27577538258492285</v>
      </c>
      <c r="H117" s="165">
        <f>VLOOKUP($B117,'Data shares'!$C:$FB,66)</f>
        <v>148035900</v>
      </c>
      <c r="I117" s="165">
        <f>VLOOKUP($B117,'Data shares'!$C:$FB,67)</f>
        <v>20553100</v>
      </c>
      <c r="J117" s="81">
        <f t="shared" si="42"/>
        <v>620.26069060141776</v>
      </c>
      <c r="K117" s="5">
        <f>VLOOKUP($B117,'Data Vlaue (Cr)'!$C:$FB,99)</f>
        <v>2041</v>
      </c>
      <c r="L117" s="81">
        <f>VLOOKUP(B117,'OI(Value)'!$A$7:$C$232,3,0)</f>
        <v>441</v>
      </c>
      <c r="M117" s="33">
        <f t="shared" si="31"/>
        <v>21.607055365017146</v>
      </c>
      <c r="N117" s="5">
        <f>VLOOKUP($B117,'Data Vlaue (Cr)'!$C:$FB,67)</f>
        <v>6335</v>
      </c>
      <c r="O117" s="5">
        <f>VLOOKUP($B117,'Data Vlaue (Cr)'!$C:$FB,68)</f>
        <v>880</v>
      </c>
      <c r="P117" s="5">
        <f t="shared" si="43"/>
        <v>86.108918705603784</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Capital_Goods</v>
      </c>
      <c r="B118" s="79" t="str">
        <f>'Data shares'!C113</f>
        <v>KAYNES</v>
      </c>
      <c r="C118" s="4">
        <f>VLOOKUP($B118,'Data shares'!$C:$FB,7)</f>
        <v>4214.3999999999996</v>
      </c>
      <c r="D118" s="82">
        <f>VLOOKUP($B118,'Data shares'!$C:$FB,98)</f>
        <v>6141100</v>
      </c>
      <c r="E118" s="165">
        <f>VLOOKUP(B118,'Snapshot (Volume)'!$A$7:$G$168,7,0)</f>
        <v>6036100</v>
      </c>
      <c r="F118" s="165">
        <f t="shared" si="40"/>
        <v>105000</v>
      </c>
      <c r="G118" s="166">
        <f t="shared" si="41"/>
        <v>1.7395338049402759E-2</v>
      </c>
      <c r="H118" s="165">
        <f>VLOOKUP($B118,'Data shares'!$C:$FB,66)</f>
        <v>4778200</v>
      </c>
      <c r="I118" s="165">
        <f>VLOOKUP($B118,'Data shares'!$C:$FB,67)</f>
        <v>12384500</v>
      </c>
      <c r="J118" s="81">
        <f t="shared" si="42"/>
        <v>-61.417901409019336</v>
      </c>
      <c r="K118" s="5">
        <f>VLOOKUP($B118,'Data Vlaue (Cr)'!$C:$FB,99)</f>
        <v>2585</v>
      </c>
      <c r="L118" s="81">
        <f>VLOOKUP(B118,'OI(Value)'!$A$7:$C$232,3,0)</f>
        <v>44</v>
      </c>
      <c r="M118" s="33">
        <f t="shared" si="31"/>
        <v>1.7021276595744681</v>
      </c>
      <c r="N118" s="5">
        <f>VLOOKUP($B118,'Data Vlaue (Cr)'!$C:$FB,67)</f>
        <v>2011</v>
      </c>
      <c r="O118" s="5">
        <f>VLOOKUP($B118,'Data Vlaue (Cr)'!$C:$FB,68)</f>
        <v>5212</v>
      </c>
      <c r="P118" s="5">
        <f t="shared" si="43"/>
        <v>-159.1745400298359</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Power</v>
      </c>
      <c r="B119" s="79" t="str">
        <f>'Data shares'!C114</f>
        <v>KEI</v>
      </c>
      <c r="C119" s="4">
        <f>VLOOKUP($B119,'Data shares'!$C:$FB,7)</f>
        <v>4839.3</v>
      </c>
      <c r="D119" s="82">
        <f>VLOOKUP($B119,'Data shares'!$C:$FB,98)</f>
        <v>3508925</v>
      </c>
      <c r="E119" s="165">
        <f>VLOOKUP(B119,'Snapshot (Volume)'!$A$7:$G$168,7,0)</f>
        <v>3405150</v>
      </c>
      <c r="F119" s="165">
        <f t="shared" si="40"/>
        <v>103775</v>
      </c>
      <c r="G119" s="166">
        <f t="shared" si="41"/>
        <v>3.0475896803371365E-2</v>
      </c>
      <c r="H119" s="165">
        <f>VLOOKUP($B119,'Data shares'!$C:$FB,66)</f>
        <v>5513200</v>
      </c>
      <c r="I119" s="165">
        <f>VLOOKUP($B119,'Data shares'!$C:$FB,67)</f>
        <v>2449125</v>
      </c>
      <c r="J119" s="81">
        <f t="shared" si="42"/>
        <v>125.10896748838871</v>
      </c>
      <c r="K119" s="5">
        <f>VLOOKUP($B119,'Data Vlaue (Cr)'!$C:$FB,99)</f>
        <v>1693</v>
      </c>
      <c r="L119" s="81">
        <f>VLOOKUP(B119,'OI(Value)'!$A$7:$C$232,3,0)</f>
        <v>50</v>
      </c>
      <c r="M119" s="33">
        <f t="shared" si="31"/>
        <v>2.9533372711163617</v>
      </c>
      <c r="N119" s="5">
        <f>VLOOKUP($B119,'Data Vlaue (Cr)'!$C:$FB,67)</f>
        <v>2659</v>
      </c>
      <c r="O119" s="5">
        <f>VLOOKUP($B119,'Data Vlaue (Cr)'!$C:$FB,68)</f>
        <v>1181</v>
      </c>
      <c r="P119" s="5">
        <f t="shared" si="43"/>
        <v>55.584806318164723</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Finance</v>
      </c>
      <c r="B120" s="79" t="str">
        <f>'Data shares'!C115</f>
        <v>KFINTECH</v>
      </c>
      <c r="C120" s="4">
        <f>VLOOKUP($B120,'Data shares'!$C:$FB,7)</f>
        <v>976</v>
      </c>
      <c r="D120" s="82">
        <f>VLOOKUP($B120,'Data shares'!$C:$FB,98)</f>
        <v>7392500</v>
      </c>
      <c r="E120" s="165">
        <f>VLOOKUP(B120,'Snapshot (Volume)'!$A$7:$G$168,7,0)</f>
        <v>6301000</v>
      </c>
      <c r="F120" s="165">
        <f t="shared" si="40"/>
        <v>1091500</v>
      </c>
      <c r="G120" s="166">
        <f t="shared" si="41"/>
        <v>0.17322647198857324</v>
      </c>
      <c r="H120" s="165">
        <f>VLOOKUP($B120,'Data shares'!$C:$FB,66)</f>
        <v>9726000</v>
      </c>
      <c r="I120" s="165">
        <f>VLOOKUP($B120,'Data shares'!$C:$FB,67)</f>
        <v>10578500</v>
      </c>
      <c r="J120" s="81">
        <f t="shared" si="42"/>
        <v>-8.0587985064045</v>
      </c>
      <c r="K120" s="5">
        <f>VLOOKUP($B120,'Data Vlaue (Cr)'!$C:$FB,99)</f>
        <v>723</v>
      </c>
      <c r="L120" s="81">
        <f>VLOOKUP(B120,'OI(Value)'!$A$7:$C$232,3,0)</f>
        <v>107</v>
      </c>
      <c r="M120" s="33">
        <f t="shared" si="31"/>
        <v>14.799446749654219</v>
      </c>
      <c r="N120" s="5">
        <f>VLOOKUP($B120,'Data Vlaue (Cr)'!$C:$FB,67)</f>
        <v>951</v>
      </c>
      <c r="O120" s="5">
        <f>VLOOKUP($B120,'Data Vlaue (Cr)'!$C:$FB,68)</f>
        <v>1034</v>
      </c>
      <c r="P120" s="5">
        <f t="shared" si="43"/>
        <v>-8.7276550998948466</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Banking</v>
      </c>
      <c r="B121" s="79" t="str">
        <f>'Data shares'!C116</f>
        <v>KOTAKBANK</v>
      </c>
      <c r="C121" s="4">
        <f>VLOOKUP($B121,'Data shares'!$C:$FB,7)</f>
        <v>383.6</v>
      </c>
      <c r="D121" s="82">
        <f>VLOOKUP($B121,'Data shares'!$C:$FB,98)</f>
        <v>276060000</v>
      </c>
      <c r="E121" s="165">
        <f>VLOOKUP(B121,'Snapshot (Volume)'!$A$7:$G$168,7,0)</f>
        <v>280164000</v>
      </c>
      <c r="F121" s="165">
        <f t="shared" si="40"/>
        <v>-4104000</v>
      </c>
      <c r="G121" s="166">
        <f t="shared" si="41"/>
        <v>-1.4648562984537627E-2</v>
      </c>
      <c r="H121" s="165">
        <f>VLOOKUP($B121,'Data shares'!$C:$FB,66)</f>
        <v>68980000</v>
      </c>
      <c r="I121" s="165">
        <f>VLOOKUP($B121,'Data shares'!$C:$FB,67)</f>
        <v>79674000</v>
      </c>
      <c r="J121" s="81">
        <f t="shared" si="42"/>
        <v>-13.42219544644426</v>
      </c>
      <c r="K121" s="5">
        <f>VLOOKUP($B121,'Data Vlaue (Cr)'!$C:$FB,99)</f>
        <v>10590</v>
      </c>
      <c r="L121" s="81">
        <f>VLOOKUP(B121,'OI(Value)'!$A$7:$C$232,3,0)</f>
        <v>-157</v>
      </c>
      <c r="M121" s="33">
        <f t="shared" si="31"/>
        <v>-1.4825306893295562</v>
      </c>
      <c r="N121" s="5">
        <f>VLOOKUP($B121,'Data Vlaue (Cr)'!$C:$FB,67)</f>
        <v>2646</v>
      </c>
      <c r="O121" s="5">
        <f>VLOOKUP($B121,'Data Vlaue (Cr)'!$C:$FB,68)</f>
        <v>3056</v>
      </c>
      <c r="P121" s="5">
        <f t="shared" si="43"/>
        <v>-15.495086923658352</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Technology</v>
      </c>
      <c r="B122" s="79" t="str">
        <f>'Data shares'!C117</f>
        <v>KPITTECH</v>
      </c>
      <c r="C122" s="4">
        <f>VLOOKUP($B122,'Data shares'!$C:$FB,7)</f>
        <v>747.8</v>
      </c>
      <c r="D122" s="82">
        <f>VLOOKUP($B122,'Data shares'!$C:$FB,98)</f>
        <v>12873250</v>
      </c>
      <c r="E122" s="165">
        <f>VLOOKUP(B122,'Snapshot (Volume)'!$A$7:$G$168,7,0)</f>
        <v>12487350</v>
      </c>
      <c r="F122" s="165">
        <f t="shared" si="40"/>
        <v>385900</v>
      </c>
      <c r="G122" s="166">
        <f t="shared" si="41"/>
        <v>3.0903274113402764E-2</v>
      </c>
      <c r="H122" s="165">
        <f>VLOOKUP($B122,'Data shares'!$C:$FB,66)</f>
        <v>7751150</v>
      </c>
      <c r="I122" s="165">
        <f>VLOOKUP($B122,'Data shares'!$C:$FB,67)</f>
        <v>14207750</v>
      </c>
      <c r="J122" s="81">
        <f t="shared" si="42"/>
        <v>-45.444211785821118</v>
      </c>
      <c r="K122" s="5">
        <f>VLOOKUP($B122,'Data Vlaue (Cr)'!$C:$FB,99)</f>
        <v>963</v>
      </c>
      <c r="L122" s="81">
        <f>VLOOKUP(B122,'OI(Value)'!$A$7:$C$232,3,0)</f>
        <v>29</v>
      </c>
      <c r="M122" s="33">
        <f t="shared" si="31"/>
        <v>3.0114226375908619</v>
      </c>
      <c r="N122" s="5">
        <f>VLOOKUP($B122,'Data Vlaue (Cr)'!$C:$FB,67)</f>
        <v>580</v>
      </c>
      <c r="O122" s="5">
        <f>VLOOKUP($B122,'Data Vlaue (Cr)'!$C:$FB,68)</f>
        <v>1063</v>
      </c>
      <c r="P122" s="5">
        <f t="shared" si="43"/>
        <v>-83.275862068965523</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Pharma</v>
      </c>
      <c r="B123" s="79" t="str">
        <f>'Data shares'!C118</f>
        <v>LAURUSLABS</v>
      </c>
      <c r="C123" s="4">
        <f>VLOOKUP($B123,'Data shares'!$C:$FB,7)</f>
        <v>1135.75</v>
      </c>
      <c r="D123" s="82">
        <f>VLOOKUP($B123,'Data shares'!$C:$FB,98)</f>
        <v>27976050</v>
      </c>
      <c r="E123" s="165">
        <f>VLOOKUP(B123,'Snapshot (Volume)'!$A$7:$G$168,7,0)</f>
        <v>27794150</v>
      </c>
      <c r="F123" s="165">
        <f t="shared" si="40"/>
        <v>181900</v>
      </c>
      <c r="G123" s="166">
        <f t="shared" si="41"/>
        <v>6.5445426465641152E-3</v>
      </c>
      <c r="H123" s="165">
        <f>VLOOKUP($B123,'Data shares'!$C:$FB,66)</f>
        <v>12196650</v>
      </c>
      <c r="I123" s="165">
        <f>VLOOKUP($B123,'Data shares'!$C:$FB,67)</f>
        <v>10568050</v>
      </c>
      <c r="J123" s="81">
        <f t="shared" si="42"/>
        <v>15.410600820397329</v>
      </c>
      <c r="K123" s="5">
        <f>VLOOKUP($B123,'Data Vlaue (Cr)'!$C:$FB,99)</f>
        <v>3183</v>
      </c>
      <c r="L123" s="81">
        <f>VLOOKUP(B123,'OI(Value)'!$A$7:$C$232,3,0)</f>
        <v>21</v>
      </c>
      <c r="M123" s="33">
        <f t="shared" ref="M123:M144" si="44">L123/K123*100</f>
        <v>0.65975494816211122</v>
      </c>
      <c r="N123" s="5">
        <f>VLOOKUP($B123,'Data Vlaue (Cr)'!$C:$FB,67)</f>
        <v>1388</v>
      </c>
      <c r="O123" s="5">
        <f>VLOOKUP($B123,'Data Vlaue (Cr)'!$C:$FB,68)</f>
        <v>1202</v>
      </c>
      <c r="P123" s="5">
        <f t="shared" si="43"/>
        <v>13.400576368876079</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LICHSGFIN</v>
      </c>
      <c r="C124" s="4">
        <f>VLOOKUP($B124,'Data shares'!$C:$FB,7)</f>
        <v>540</v>
      </c>
      <c r="D124" s="82">
        <f>VLOOKUP($B124,'Data shares'!$C:$FB,98)</f>
        <v>43733000</v>
      </c>
      <c r="E124" s="165">
        <f>VLOOKUP(B124,'Snapshot (Volume)'!$A$7:$G$168,7,0)</f>
        <v>43865000</v>
      </c>
      <c r="F124" s="165">
        <f t="shared" si="40"/>
        <v>-132000</v>
      </c>
      <c r="G124" s="166">
        <f t="shared" si="41"/>
        <v>-3.0092328735894223E-3</v>
      </c>
      <c r="H124" s="165">
        <f>VLOOKUP($B124,'Data shares'!$C:$FB,66)</f>
        <v>9559000</v>
      </c>
      <c r="I124" s="165">
        <f>VLOOKUP($B124,'Data shares'!$C:$FB,67)</f>
        <v>13073000</v>
      </c>
      <c r="J124" s="81">
        <f t="shared" si="42"/>
        <v>-26.8798286544787</v>
      </c>
      <c r="K124" s="5">
        <f>VLOOKUP($B124,'Data Vlaue (Cr)'!$C:$FB,99)</f>
        <v>2360</v>
      </c>
      <c r="L124" s="81">
        <f>VLOOKUP(B124,'OI(Value)'!$A$7:$C$232,3,0)</f>
        <v>-7</v>
      </c>
      <c r="M124" s="33">
        <f t="shared" si="44"/>
        <v>-0.29661016949152541</v>
      </c>
      <c r="N124" s="5">
        <f>VLOOKUP($B124,'Data Vlaue (Cr)'!$C:$FB,67)</f>
        <v>516</v>
      </c>
      <c r="O124" s="5">
        <f>VLOOKUP($B124,'Data Vlaue (Cr)'!$C:$FB,68)</f>
        <v>706</v>
      </c>
      <c r="P124" s="5">
        <f t="shared" si="43"/>
        <v>-36.821705426356587</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Finance</v>
      </c>
      <c r="B125" s="79" t="str">
        <f>'Data shares'!C120</f>
        <v>LICI</v>
      </c>
      <c r="C125" s="4">
        <f>VLOOKUP($B125,'Data shares'!$C:$FB,7)</f>
        <v>842.2</v>
      </c>
      <c r="D125" s="82">
        <f>VLOOKUP($B125,'Data shares'!$C:$FB,98)</f>
        <v>22010800</v>
      </c>
      <c r="E125" s="165">
        <f>VLOOKUP(B125,'Snapshot (Volume)'!$A$7:$G$168,7,0)</f>
        <v>20463100</v>
      </c>
      <c r="F125" s="165">
        <f t="shared" si="40"/>
        <v>1547700</v>
      </c>
      <c r="G125" s="166">
        <f t="shared" si="41"/>
        <v>7.5633701638559162E-2</v>
      </c>
      <c r="H125" s="165">
        <f>VLOOKUP($B125,'Data shares'!$C:$FB,66)</f>
        <v>9534000</v>
      </c>
      <c r="I125" s="165">
        <f>VLOOKUP($B125,'Data shares'!$C:$FB,67)</f>
        <v>12006400</v>
      </c>
      <c r="J125" s="81">
        <f t="shared" si="42"/>
        <v>-20.592350746268657</v>
      </c>
      <c r="K125" s="5">
        <f>VLOOKUP($B125,'Data Vlaue (Cr)'!$C:$FB,99)</f>
        <v>1858</v>
      </c>
      <c r="L125" s="81">
        <f>VLOOKUP(B125,'OI(Value)'!$A$7:$C$232,3,0)</f>
        <v>131</v>
      </c>
      <c r="M125" s="33">
        <f t="shared" si="44"/>
        <v>7.050592034445641</v>
      </c>
      <c r="N125" s="5">
        <f>VLOOKUP($B125,'Data Vlaue (Cr)'!$C:$FB,67)</f>
        <v>805</v>
      </c>
      <c r="O125" s="5">
        <f>VLOOKUP($B125,'Data Vlaue (Cr)'!$C:$FB,68)</f>
        <v>1014</v>
      </c>
      <c r="P125" s="5">
        <f t="shared" si="43"/>
        <v>-25.962732919254663</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Realty</v>
      </c>
      <c r="B126" s="79" t="str">
        <f>'Data shares'!C121</f>
        <v>LODHA</v>
      </c>
      <c r="C126" s="4">
        <f>VLOOKUP($B126,'Data shares'!$C:$FB,7)</f>
        <v>872.55</v>
      </c>
      <c r="D126" s="82">
        <f>VLOOKUP($B126,'Data shares'!$C:$FB,98)</f>
        <v>30568500</v>
      </c>
      <c r="E126" s="165">
        <f>VLOOKUP(B126,'Snapshot (Volume)'!$A$7:$G$168,7,0)</f>
        <v>31558500</v>
      </c>
      <c r="F126" s="165">
        <f t="shared" si="40"/>
        <v>-990000</v>
      </c>
      <c r="G126" s="166">
        <f t="shared" si="41"/>
        <v>-3.137031227719949E-2</v>
      </c>
      <c r="H126" s="165">
        <f>VLOOKUP($B126,'Data shares'!$C:$FB,66)</f>
        <v>15045750</v>
      </c>
      <c r="I126" s="165">
        <f>VLOOKUP($B126,'Data shares'!$C:$FB,67)</f>
        <v>17616150</v>
      </c>
      <c r="J126" s="81">
        <f t="shared" si="42"/>
        <v>-14.591156410452907</v>
      </c>
      <c r="K126" s="5">
        <f>VLOOKUP($B126,'Data Vlaue (Cr)'!$C:$FB,99)</f>
        <v>2668</v>
      </c>
      <c r="L126" s="81">
        <f>VLOOKUP(B126,'OI(Value)'!$A$7:$C$232,3,0)</f>
        <v>-86</v>
      </c>
      <c r="M126" s="33">
        <f t="shared" si="44"/>
        <v>-3.2233883058470769</v>
      </c>
      <c r="N126" s="5">
        <f>VLOOKUP($B126,'Data Vlaue (Cr)'!$C:$FB,67)</f>
        <v>1313</v>
      </c>
      <c r="O126" s="5">
        <f>VLOOKUP($B126,'Data Vlaue (Cr)'!$C:$FB,68)</f>
        <v>1538</v>
      </c>
      <c r="P126" s="5">
        <f t="shared" si="43"/>
        <v>-17.136329017517134</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Capital_Goods</v>
      </c>
      <c r="B127" s="79" t="str">
        <f>'Data shares'!C122</f>
        <v>LT</v>
      </c>
      <c r="C127" s="4">
        <f>VLOOKUP($B127,'Data shares'!$C:$FB,7)</f>
        <v>4096.1000000000004</v>
      </c>
      <c r="D127" s="82">
        <f>VLOOKUP($B127,'Data shares'!$C:$FB,98)</f>
        <v>32313225</v>
      </c>
      <c r="E127" s="165">
        <f>VLOOKUP(B127,'Snapshot (Volume)'!$A$7:$G$168,7,0)</f>
        <v>32143650</v>
      </c>
      <c r="F127" s="165">
        <f>D127-E127</f>
        <v>169575</v>
      </c>
      <c r="G127" s="166">
        <f>F127/E127</f>
        <v>5.2755365367654263E-3</v>
      </c>
      <c r="H127" s="165">
        <f>VLOOKUP($B127,'Data shares'!$C:$FB,66)</f>
        <v>13683950</v>
      </c>
      <c r="I127" s="165">
        <f>VLOOKUP($B127,'Data shares'!$C:$FB,67)</f>
        <v>20012650</v>
      </c>
      <c r="J127" s="81">
        <f>(H127-I127)/I127*100</f>
        <v>-31.623498137428076</v>
      </c>
      <c r="K127" s="5">
        <f>VLOOKUP($B127,'Data Vlaue (Cr)'!$C:$FB,99)</f>
        <v>13271</v>
      </c>
      <c r="L127" s="81">
        <f>VLOOKUP(B127,'OI(Value)'!$A$7:$C$232,3,0)</f>
        <v>70</v>
      </c>
      <c r="M127" s="33">
        <f t="shared" si="44"/>
        <v>0.52746590309697838</v>
      </c>
      <c r="N127" s="5">
        <f>VLOOKUP($B127,'Data Vlaue (Cr)'!$C:$FB,67)</f>
        <v>5620</v>
      </c>
      <c r="O127" s="5">
        <f>VLOOKUP($B127,'Data Vlaue (Cr)'!$C:$FB,68)</f>
        <v>8219</v>
      </c>
      <c r="P127" s="5">
        <f>(N127-O127)/N127*100</f>
        <v>-46.245551601423493</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Finance</v>
      </c>
      <c r="B128" s="79" t="str">
        <f>'Data shares'!C123</f>
        <v>LTF</v>
      </c>
      <c r="C128" s="4">
        <f>VLOOKUP($B128,'Data shares'!$C:$FB,7)</f>
        <v>287.14</v>
      </c>
      <c r="D128" s="82">
        <f>VLOOKUP($B128,'Data shares'!$C:$FB,98)</f>
        <v>88211250</v>
      </c>
      <c r="E128" s="165">
        <f>VLOOKUP(B128,'Snapshot (Volume)'!$A$7:$G$168,7,0)</f>
        <v>89583750</v>
      </c>
      <c r="F128" s="165">
        <f>D128-E128</f>
        <v>-1372500</v>
      </c>
      <c r="G128" s="166">
        <f>F128/E128</f>
        <v>-1.5320858972748964E-2</v>
      </c>
      <c r="H128" s="165">
        <f>VLOOKUP($B128,'Data shares'!$C:$FB,66)</f>
        <v>45123750</v>
      </c>
      <c r="I128" s="165">
        <f>VLOOKUP($B128,'Data shares'!$C:$FB,67)</f>
        <v>34175250</v>
      </c>
      <c r="J128" s="81">
        <f>(H128-I128)/I128*100</f>
        <v>32.036342089670157</v>
      </c>
      <c r="K128" s="5">
        <f>VLOOKUP($B128,'Data Vlaue (Cr)'!$C:$FB,99)</f>
        <v>2535</v>
      </c>
      <c r="L128" s="81">
        <f>VLOOKUP(B128,'OI(Value)'!$A$7:$C$232,3,0)</f>
        <v>-39</v>
      </c>
      <c r="M128" s="33">
        <f t="shared" si="44"/>
        <v>-1.5384615384615385</v>
      </c>
      <c r="N128" s="5">
        <f>VLOOKUP($B128,'Data Vlaue (Cr)'!$C:$FB,67)</f>
        <v>1297</v>
      </c>
      <c r="O128" s="5">
        <f>VLOOKUP($B128,'Data Vlaue (Cr)'!$C:$FB,68)</f>
        <v>982</v>
      </c>
      <c r="P128" s="5">
        <f>(N128-O128)/N128*100</f>
        <v>24.286815728604473</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Technology</v>
      </c>
      <c r="B129" s="79" t="str">
        <f>'Data shares'!C124</f>
        <v>LTM</v>
      </c>
      <c r="C129" s="4">
        <f>VLOOKUP($B129,'Data shares'!$C:$FB,7)</f>
        <v>4753.6000000000004</v>
      </c>
      <c r="D129" s="82">
        <f>VLOOKUP($B129,'Data shares'!$C:$FB,98)</f>
        <v>6967500</v>
      </c>
      <c r="E129" s="165">
        <f>VLOOKUP(B129,'Snapshot (Volume)'!$A$7:$G$168,7,0)</f>
        <v>6944100</v>
      </c>
      <c r="F129" s="165">
        <f>D129-E129</f>
        <v>23400</v>
      </c>
      <c r="G129" s="166">
        <f>F129/E129</f>
        <v>3.3697671404501663E-3</v>
      </c>
      <c r="H129" s="165">
        <f>VLOOKUP($B129,'Data shares'!$C:$FB,66)</f>
        <v>2693550</v>
      </c>
      <c r="I129" s="165">
        <f>VLOOKUP($B129,'Data shares'!$C:$FB,67)</f>
        <v>4492500</v>
      </c>
      <c r="J129" s="81">
        <f>(H129-I129)/I129*100</f>
        <v>-40.043405676126881</v>
      </c>
      <c r="K129" s="5">
        <f>VLOOKUP($B129,'Data Vlaue (Cr)'!$C:$FB,99)</f>
        <v>3269</v>
      </c>
      <c r="L129" s="81">
        <f>VLOOKUP(B129,'OI(Value)'!$A$7:$C$232,3,0)</f>
        <v>11</v>
      </c>
      <c r="M129" s="33">
        <f t="shared" si="44"/>
        <v>0.33649434077699603</v>
      </c>
      <c r="N129" s="5">
        <f>VLOOKUP($B129,'Data Vlaue (Cr)'!$C:$FB,67)</f>
        <v>1264</v>
      </c>
      <c r="O129" s="5">
        <f>VLOOKUP($B129,'Data Vlaue (Cr)'!$C:$FB,68)</f>
        <v>2108</v>
      </c>
      <c r="P129" s="5">
        <f>(N129-O129)/N129*100</f>
        <v>-66.77215189873418</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Pharma</v>
      </c>
      <c r="B130" s="79" t="str">
        <f>'Data shares'!C125</f>
        <v>LUPIN</v>
      </c>
      <c r="C130" s="4">
        <f>VLOOKUP($B130,'Data shares'!$C:$FB,7)</f>
        <v>2326.1</v>
      </c>
      <c r="D130" s="82">
        <f>VLOOKUP($B130,'Data shares'!$C:$FB,98)</f>
        <v>10874900</v>
      </c>
      <c r="E130" s="165">
        <f>VLOOKUP(B130,'Snapshot (Volume)'!$A$7:$G$168,7,0)</f>
        <v>10666225</v>
      </c>
      <c r="F130" s="165">
        <f>D130-E130</f>
        <v>208675</v>
      </c>
      <c r="G130" s="166">
        <f>F130/E130</f>
        <v>1.9564091325656452E-2</v>
      </c>
      <c r="H130" s="165">
        <f>VLOOKUP($B130,'Data shares'!$C:$FB,66)</f>
        <v>6756650</v>
      </c>
      <c r="I130" s="165">
        <f>VLOOKUP($B130,'Data shares'!$C:$FB,67)</f>
        <v>6970850</v>
      </c>
      <c r="J130" s="81">
        <f>(H130-I130)/I130*100</f>
        <v>-3.0727960004877453</v>
      </c>
      <c r="K130" s="5">
        <f>VLOOKUP($B130,'Data Vlaue (Cr)'!$C:$FB,99)</f>
        <v>2532</v>
      </c>
      <c r="L130" s="81">
        <f>VLOOKUP(B130,'OI(Value)'!$A$7:$C$232,3,0)</f>
        <v>49</v>
      </c>
      <c r="M130" s="33">
        <f t="shared" si="44"/>
        <v>1.9352290679304898</v>
      </c>
      <c r="N130" s="5">
        <f>VLOOKUP($B130,'Data Vlaue (Cr)'!$C:$FB,67)</f>
        <v>1573</v>
      </c>
      <c r="O130" s="5">
        <f>VLOOKUP($B130,'Data Vlaue (Cr)'!$C:$FB,68)</f>
        <v>1623</v>
      </c>
      <c r="P130" s="5">
        <f>(N130-O130)/N130*100</f>
        <v>-3.1786395422759059</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Automobile</v>
      </c>
      <c r="B131" s="79" t="str">
        <f>'Data shares'!C126</f>
        <v>M&amp;M</v>
      </c>
      <c r="C131" s="4">
        <f>VLOOKUP($B131,'Data shares'!$C:$FB,7)</f>
        <v>3200.2</v>
      </c>
      <c r="D131" s="82">
        <f>VLOOKUP($B131,'Data shares'!$C:$FB,98)</f>
        <v>28887000</v>
      </c>
      <c r="E131" s="165">
        <f>VLOOKUP(B131,'Snapshot (Volume)'!$A$7:$G$168,7,0)</f>
        <v>27988000</v>
      </c>
      <c r="F131" s="165">
        <f>D131-E131</f>
        <v>899000</v>
      </c>
      <c r="G131" s="166">
        <f>F131/E131</f>
        <v>3.2120908960983276E-2</v>
      </c>
      <c r="H131" s="165">
        <f>VLOOKUP($B131,'Data shares'!$C:$FB,66)</f>
        <v>11856400</v>
      </c>
      <c r="I131" s="165">
        <f>VLOOKUP($B131,'Data shares'!$C:$FB,67)</f>
        <v>12157400</v>
      </c>
      <c r="J131" s="81">
        <f>(H131-I131)/I131*100</f>
        <v>-2.4758583249707997</v>
      </c>
      <c r="K131" s="5">
        <f>VLOOKUP($B131,'Data Vlaue (Cr)'!$C:$FB,99)</f>
        <v>9265</v>
      </c>
      <c r="L131" s="81">
        <f>VLOOKUP(B131,'OI(Value)'!$A$7:$C$232,3,0)</f>
        <v>288</v>
      </c>
      <c r="M131" s="33">
        <f t="shared" si="44"/>
        <v>3.1084727468969238</v>
      </c>
      <c r="N131" s="5">
        <f>VLOOKUP($B131,'Data Vlaue (Cr)'!$C:$FB,67)</f>
        <v>3803</v>
      </c>
      <c r="O131" s="5">
        <f>VLOOKUP($B131,'Data Vlaue (Cr)'!$C:$FB,68)</f>
        <v>3899</v>
      </c>
      <c r="P131" s="5">
        <f>(N131-O131)/N131*100</f>
        <v>-2.5243229029713383</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Finance</v>
      </c>
      <c r="B132" s="79" t="str">
        <f>'Data shares'!C127</f>
        <v>MANAPPURAM</v>
      </c>
      <c r="C132" s="79">
        <f>VLOOKUP($B132,'Data shares'!$C:$FB,7)</f>
        <v>268.89999999999998</v>
      </c>
      <c r="D132" s="165">
        <f>VLOOKUP($B132,'Data shares'!$C:$FB,98)</f>
        <v>82248000</v>
      </c>
      <c r="E132" s="165">
        <f>VLOOKUP(B132,'Snapshot (Volume)'!$A$7:$G$168,7,0)</f>
        <v>80421000</v>
      </c>
      <c r="F132" s="165">
        <f t="shared" ref="F132:F139" si="45">D132-E132</f>
        <v>1827000</v>
      </c>
      <c r="G132" s="166">
        <f t="shared" ref="G132:G139" si="46">F132/E132</f>
        <v>2.2717946804939007E-2</v>
      </c>
      <c r="H132" s="165">
        <f>VLOOKUP($B132,'Data shares'!$C:$FB,66)</f>
        <v>27111000</v>
      </c>
      <c r="I132" s="165">
        <f>VLOOKUP($B132,'Data shares'!$C:$FB,67)</f>
        <v>23295000</v>
      </c>
      <c r="J132" s="81">
        <f t="shared" ref="J132:J139" si="47">(H132-I132)/I132*100</f>
        <v>16.381197681905988</v>
      </c>
      <c r="K132" s="81">
        <f>VLOOKUP($B132,'Data Vlaue (Cr)'!$C:$FB,99)</f>
        <v>2221</v>
      </c>
      <c r="L132" s="81">
        <f>VLOOKUP(B132,'OI(Value)'!$A$7:$C$232,3,0)</f>
        <v>49</v>
      </c>
      <c r="M132" s="81">
        <f t="shared" si="44"/>
        <v>2.2062134173795585</v>
      </c>
      <c r="N132" s="81">
        <f>VLOOKUP($B132,'Data Vlaue (Cr)'!$C:$FB,67)</f>
        <v>732</v>
      </c>
      <c r="O132" s="81">
        <f>VLOOKUP($B132,'Data Vlaue (Cr)'!$C:$FB,68)</f>
        <v>629</v>
      </c>
      <c r="P132" s="81">
        <f t="shared" ref="P132:P139" si="48">(N132-O132)/N132*100</f>
        <v>14.071038251366119</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Pharma</v>
      </c>
      <c r="B133" s="79" t="str">
        <f>'Data shares'!C128</f>
        <v>MANKIND</v>
      </c>
      <c r="C133" s="79">
        <f>VLOOKUP($B133,'Data shares'!$C:$FB,7)</f>
        <v>2125</v>
      </c>
      <c r="D133" s="165">
        <f>VLOOKUP($B133,'Data shares'!$C:$FB,98)</f>
        <v>3971925</v>
      </c>
      <c r="E133" s="165">
        <f>VLOOKUP(B133,'Snapshot (Volume)'!$A$7:$G$168,7,0)</f>
        <v>3923325</v>
      </c>
      <c r="F133" s="165">
        <f t="shared" si="45"/>
        <v>48600</v>
      </c>
      <c r="G133" s="166">
        <f t="shared" si="46"/>
        <v>1.2387451969948959E-2</v>
      </c>
      <c r="H133" s="165">
        <f>VLOOKUP($B133,'Data shares'!$C:$FB,66)</f>
        <v>1062000</v>
      </c>
      <c r="I133" s="165">
        <f>VLOOKUP($B133,'Data shares'!$C:$FB,67)</f>
        <v>1438875</v>
      </c>
      <c r="J133" s="81">
        <f t="shared" si="47"/>
        <v>-26.192337763878033</v>
      </c>
      <c r="K133" s="81">
        <f>VLOOKUP($B133,'Data Vlaue (Cr)'!$C:$FB,99)</f>
        <v>846</v>
      </c>
      <c r="L133" s="81">
        <f>VLOOKUP(B133,'OI(Value)'!$A$7:$C$232,3,0)</f>
        <v>10</v>
      </c>
      <c r="M133" s="81">
        <f t="shared" si="44"/>
        <v>1.1820330969267139</v>
      </c>
      <c r="N133" s="81">
        <f>VLOOKUP($B133,'Data Vlaue (Cr)'!$C:$FB,67)</f>
        <v>226</v>
      </c>
      <c r="O133" s="81">
        <f>VLOOKUP($B133,'Data Vlaue (Cr)'!$C:$FB,68)</f>
        <v>306</v>
      </c>
      <c r="P133" s="81">
        <f t="shared" si="48"/>
        <v>-35.398230088495573</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FMCG</v>
      </c>
      <c r="B134" s="79" t="str">
        <f>'Data shares'!C129</f>
        <v>MARICO</v>
      </c>
      <c r="C134" s="4">
        <f>VLOOKUP($B134,'Data shares'!$C:$FB,7)</f>
        <v>757.3</v>
      </c>
      <c r="D134" s="82">
        <f>VLOOKUP($B134,'Data shares'!$C:$FB,98)</f>
        <v>33502800</v>
      </c>
      <c r="E134" s="165">
        <f>VLOOKUP(B134,'Snapshot (Volume)'!$A$7:$G$168,7,0)</f>
        <v>33590400</v>
      </c>
      <c r="F134" s="165">
        <f t="shared" si="45"/>
        <v>-87600</v>
      </c>
      <c r="G134" s="166">
        <f t="shared" si="46"/>
        <v>-2.6078879679908547E-3</v>
      </c>
      <c r="H134" s="165">
        <f>VLOOKUP($B134,'Data shares'!$C:$FB,66)</f>
        <v>20836800</v>
      </c>
      <c r="I134" s="165">
        <f>VLOOKUP($B134,'Data shares'!$C:$FB,67)</f>
        <v>12370800</v>
      </c>
      <c r="J134" s="81">
        <f t="shared" si="47"/>
        <v>68.435347754389369</v>
      </c>
      <c r="K134" s="5">
        <f>VLOOKUP($B134,'Data Vlaue (Cr)'!$C:$FB,99)</f>
        <v>2541</v>
      </c>
      <c r="L134" s="81">
        <f>VLOOKUP(B134,'OI(Value)'!$A$7:$C$232,3,0)</f>
        <v>-7</v>
      </c>
      <c r="M134" s="33">
        <f t="shared" si="44"/>
        <v>-0.27548209366391185</v>
      </c>
      <c r="N134" s="5">
        <f>VLOOKUP($B134,'Data Vlaue (Cr)'!$C:$FB,67)</f>
        <v>1580</v>
      </c>
      <c r="O134" s="5">
        <f>VLOOKUP($B134,'Data Vlaue (Cr)'!$C:$FB,68)</f>
        <v>938</v>
      </c>
      <c r="P134" s="5">
        <f t="shared" si="48"/>
        <v>40.632911392405063</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Automobile</v>
      </c>
      <c r="B135" s="79" t="str">
        <f>'Data shares'!C130</f>
        <v>MARUTI</v>
      </c>
      <c r="C135" s="4">
        <f>VLOOKUP($B135,'Data shares'!$C:$FB,7)</f>
        <v>13453</v>
      </c>
      <c r="D135" s="82">
        <f>VLOOKUP($B135,'Data shares'!$C:$FB,98)</f>
        <v>6842600</v>
      </c>
      <c r="E135" s="165">
        <f>VLOOKUP(B135,'Snapshot (Volume)'!$A$7:$G$168,7,0)</f>
        <v>6729500</v>
      </c>
      <c r="F135" s="165">
        <f t="shared" si="45"/>
        <v>113100</v>
      </c>
      <c r="G135" s="166">
        <f t="shared" si="46"/>
        <v>1.6806597815588083E-2</v>
      </c>
      <c r="H135" s="165">
        <f>VLOOKUP($B135,'Data shares'!$C:$FB,66)</f>
        <v>9439400</v>
      </c>
      <c r="I135" s="165">
        <f>VLOOKUP($B135,'Data shares'!$C:$FB,67)</f>
        <v>3545400</v>
      </c>
      <c r="J135" s="81">
        <f t="shared" si="47"/>
        <v>166.24358323461385</v>
      </c>
      <c r="K135" s="5">
        <f>VLOOKUP($B135,'Data Vlaue (Cr)'!$C:$FB,99)</f>
        <v>9231</v>
      </c>
      <c r="L135" s="81">
        <f>VLOOKUP(B135,'OI(Value)'!$A$7:$C$232,3,0)</f>
        <v>153</v>
      </c>
      <c r="M135" s="33">
        <f t="shared" si="44"/>
        <v>1.6574585635359116</v>
      </c>
      <c r="N135" s="5">
        <f>VLOOKUP($B135,'Data Vlaue (Cr)'!$C:$FB,67)</f>
        <v>12734</v>
      </c>
      <c r="O135" s="5">
        <f>VLOOKUP($B135,'Data Vlaue (Cr)'!$C:$FB,68)</f>
        <v>4783</v>
      </c>
      <c r="P135" s="5">
        <f t="shared" si="48"/>
        <v>62.439139312077906</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Pharma</v>
      </c>
      <c r="B136" s="79" t="str">
        <f>'Data shares'!C131</f>
        <v>MAXHEALTH</v>
      </c>
      <c r="C136" s="4">
        <f>VLOOKUP($B136,'Data shares'!$C:$FB,7)</f>
        <v>1007.65</v>
      </c>
      <c r="D136" s="82">
        <f>VLOOKUP($B136,'Data shares'!$C:$FB,98)</f>
        <v>21362250</v>
      </c>
      <c r="E136" s="165">
        <f>VLOOKUP(B136,'Snapshot (Volume)'!$A$7:$G$168,7,0)</f>
        <v>20830425</v>
      </c>
      <c r="F136" s="165">
        <f t="shared" si="45"/>
        <v>531825</v>
      </c>
      <c r="G136" s="166">
        <f t="shared" si="46"/>
        <v>2.5531164150515411E-2</v>
      </c>
      <c r="H136" s="165">
        <f>VLOOKUP($B136,'Data shares'!$C:$FB,66)</f>
        <v>11106375</v>
      </c>
      <c r="I136" s="165">
        <f>VLOOKUP($B136,'Data shares'!$C:$FB,67)</f>
        <v>17094525</v>
      </c>
      <c r="J136" s="81">
        <f t="shared" si="47"/>
        <v>-35.029636681920088</v>
      </c>
      <c r="K136" s="5">
        <f>VLOOKUP($B136,'Data Vlaue (Cr)'!$C:$FB,99)</f>
        <v>2152</v>
      </c>
      <c r="L136" s="81">
        <f>VLOOKUP(B136,'OI(Value)'!$A$7:$C$232,3,0)</f>
        <v>54</v>
      </c>
      <c r="M136" s="33">
        <f t="shared" si="44"/>
        <v>2.509293680297398</v>
      </c>
      <c r="N136" s="5">
        <f>VLOOKUP($B136,'Data Vlaue (Cr)'!$C:$FB,67)</f>
        <v>1119</v>
      </c>
      <c r="O136" s="5">
        <f>VLOOKUP($B136,'Data Vlaue (Cr)'!$C:$FB,68)</f>
        <v>1722</v>
      </c>
      <c r="P136" s="5">
        <f t="shared" si="48"/>
        <v>-53.887399463806972</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Infrastructure</v>
      </c>
      <c r="B137" s="79" t="str">
        <f>'Data shares'!C132</f>
        <v>MAZDOCK</v>
      </c>
      <c r="C137" s="4">
        <f>VLOOKUP($B137,'Data shares'!$C:$FB,7)</f>
        <v>2616.4</v>
      </c>
      <c r="D137" s="82">
        <f>VLOOKUP($B137,'Data shares'!$C:$FB,98)</f>
        <v>11011000</v>
      </c>
      <c r="E137" s="165">
        <f>VLOOKUP(B137,'Snapshot (Volume)'!$A$7:$G$168,7,0)</f>
        <v>10124000</v>
      </c>
      <c r="F137" s="165">
        <f t="shared" si="45"/>
        <v>887000</v>
      </c>
      <c r="G137" s="166">
        <f t="shared" si="46"/>
        <v>8.7613591465823787E-2</v>
      </c>
      <c r="H137" s="165">
        <f>VLOOKUP($B137,'Data shares'!$C:$FB,66)</f>
        <v>17867400</v>
      </c>
      <c r="I137" s="165">
        <f>VLOOKUP($B137,'Data shares'!$C:$FB,67)</f>
        <v>8985600</v>
      </c>
      <c r="J137" s="81">
        <f t="shared" si="47"/>
        <v>98.844818376068375</v>
      </c>
      <c r="K137" s="5">
        <f>VLOOKUP($B137,'Data Vlaue (Cr)'!$C:$FB,99)</f>
        <v>2890</v>
      </c>
      <c r="L137" s="81">
        <f>VLOOKUP(B137,'OI(Value)'!$A$7:$C$232,3,0)</f>
        <v>233</v>
      </c>
      <c r="M137" s="33">
        <f t="shared" si="44"/>
        <v>8.062283737024222</v>
      </c>
      <c r="N137" s="5">
        <f>VLOOKUP($B137,'Data Vlaue (Cr)'!$C:$FB,67)</f>
        <v>4690</v>
      </c>
      <c r="O137" s="5">
        <f>VLOOKUP($B137,'Data Vlaue (Cr)'!$C:$FB,68)</f>
        <v>2358</v>
      </c>
      <c r="P137" s="5">
        <f t="shared" si="48"/>
        <v>49.722814498933907</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MCX</v>
      </c>
      <c r="C138" s="4">
        <f>VLOOKUP($B138,'Data shares'!$C:$FB,7)</f>
        <v>2856.1</v>
      </c>
      <c r="D138" s="82">
        <f>VLOOKUP($B138,'Data shares'!$C:$FB,98)</f>
        <v>29853750</v>
      </c>
      <c r="E138" s="165">
        <f>VLOOKUP(B138,'Snapshot (Volume)'!$A$7:$G$168,7,0)</f>
        <v>29480625</v>
      </c>
      <c r="F138" s="165">
        <f t="shared" si="45"/>
        <v>373125</v>
      </c>
      <c r="G138" s="166">
        <f t="shared" si="46"/>
        <v>1.2656617693824333E-2</v>
      </c>
      <c r="H138" s="165">
        <f>VLOOKUP($B138,'Data shares'!$C:$FB,66)</f>
        <v>43651875</v>
      </c>
      <c r="I138" s="165">
        <f>VLOOKUP($B138,'Data shares'!$C:$FB,67)</f>
        <v>26611875</v>
      </c>
      <c r="J138" s="81">
        <f t="shared" si="47"/>
        <v>64.031564855914894</v>
      </c>
      <c r="K138" s="5">
        <f>VLOOKUP($B138,'Data Vlaue (Cr)'!$C:$FB,99)</f>
        <v>8544</v>
      </c>
      <c r="L138" s="81">
        <f>VLOOKUP(B138,'OI(Value)'!$A$7:$C$232,3,0)</f>
        <v>107</v>
      </c>
      <c r="M138" s="33">
        <f t="shared" si="44"/>
        <v>1.2523408239700373</v>
      </c>
      <c r="N138" s="5">
        <f>VLOOKUP($B138,'Data Vlaue (Cr)'!$C:$FB,67)</f>
        <v>12493</v>
      </c>
      <c r="O138" s="5">
        <f>VLOOKUP($B138,'Data Vlaue (Cr)'!$C:$FB,68)</f>
        <v>7616</v>
      </c>
      <c r="P138" s="5">
        <f t="shared" si="48"/>
        <v>39.03786120227327</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Finance</v>
      </c>
      <c r="B139" s="79" t="str">
        <f>'Data shares'!C134</f>
        <v>MFSL</v>
      </c>
      <c r="C139" s="4">
        <f>VLOOKUP($B139,'Data shares'!$C:$FB,7)</f>
        <v>1683.2</v>
      </c>
      <c r="D139" s="82">
        <f>VLOOKUP($B139,'Data shares'!$C:$FB,98)</f>
        <v>11176800</v>
      </c>
      <c r="E139" s="165">
        <f>VLOOKUP(B139,'Snapshot (Volume)'!$A$7:$G$168,7,0)</f>
        <v>11404800</v>
      </c>
      <c r="F139" s="165">
        <f t="shared" si="45"/>
        <v>-228000</v>
      </c>
      <c r="G139" s="166">
        <f t="shared" si="46"/>
        <v>-1.9991582491582491E-2</v>
      </c>
      <c r="H139" s="165">
        <f>VLOOKUP($B139,'Data shares'!$C:$FB,66)</f>
        <v>1715600</v>
      </c>
      <c r="I139" s="165">
        <f>VLOOKUP($B139,'Data shares'!$C:$FB,67)</f>
        <v>1561600</v>
      </c>
      <c r="J139" s="81">
        <f t="shared" si="47"/>
        <v>9.8616803278688518</v>
      </c>
      <c r="K139" s="5">
        <f>VLOOKUP($B139,'Data Vlaue (Cr)'!$C:$FB,99)</f>
        <v>1880</v>
      </c>
      <c r="L139" s="81">
        <f>VLOOKUP(B139,'OI(Value)'!$A$7:$C$232,3,0)</f>
        <v>-38</v>
      </c>
      <c r="M139" s="33">
        <f t="shared" si="44"/>
        <v>-2.021276595744681</v>
      </c>
      <c r="N139" s="5">
        <f>VLOOKUP($B139,'Data Vlaue (Cr)'!$C:$FB,67)</f>
        <v>289</v>
      </c>
      <c r="O139" s="5">
        <f>VLOOKUP($B139,'Data Vlaue (Cr)'!$C:$FB,68)</f>
        <v>263</v>
      </c>
      <c r="P139" s="5">
        <f t="shared" si="48"/>
        <v>8.9965397923875443</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Index</v>
      </c>
      <c r="B140" s="79" t="str">
        <f>'Data shares'!C135</f>
        <v>MIDCPNIFTY</v>
      </c>
      <c r="C140" s="79">
        <f>VLOOKUP($B140,'Data shares'!$C:$FB,7)</f>
        <v>13838.85</v>
      </c>
      <c r="D140" s="165">
        <f>VLOOKUP($B140,'Data shares'!$C:$FB,98)</f>
        <v>15694680</v>
      </c>
      <c r="E140" s="165">
        <f>VLOOKUP(B140,'Snapshot (Volume)'!$A$7:$G$168,7,0)</f>
        <v>13659600</v>
      </c>
      <c r="F140" s="165">
        <f>D140-E140</f>
        <v>2035080</v>
      </c>
      <c r="G140" s="166">
        <f>F140/E140</f>
        <v>0.14898532899938505</v>
      </c>
      <c r="H140" s="165">
        <f>VLOOKUP($B140,'Data shares'!$C:$FB,66)</f>
        <v>33626640</v>
      </c>
      <c r="I140" s="165">
        <f>VLOOKUP($B140,'Data shares'!$C:$FB,67)</f>
        <v>23180280</v>
      </c>
      <c r="J140" s="81">
        <f>(H140-I140)/I140*100</f>
        <v>45.065719654810039</v>
      </c>
      <c r="K140" s="81">
        <f>VLOOKUP($B140,'Data Vlaue (Cr)'!$C:$FB,99)</f>
        <v>21736</v>
      </c>
      <c r="L140" s="81">
        <f>VLOOKUP(B140,'OI(Value)'!$A$7:$C$232,3,0)</f>
        <v>2818</v>
      </c>
      <c r="M140" s="81">
        <f t="shared" si="44"/>
        <v>12.964666912035334</v>
      </c>
      <c r="N140" s="81">
        <f>VLOOKUP($B140,'Data Vlaue (Cr)'!$C:$FB,67)</f>
        <v>46570</v>
      </c>
      <c r="O140" s="81">
        <f>VLOOKUP($B140,'Data Vlaue (Cr)'!$C:$FB,68)</f>
        <v>32103</v>
      </c>
      <c r="P140" s="81">
        <f>(N140-O140)/N140*100</f>
        <v>31.065063345501397</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Automobile</v>
      </c>
      <c r="B141" s="79" t="str">
        <f>'Data shares'!C136</f>
        <v>MOTHERSON</v>
      </c>
      <c r="C141" s="4">
        <f>VLOOKUP($B141,'Data shares'!$C:$FB,7)</f>
        <v>125.03</v>
      </c>
      <c r="D141" s="82">
        <f>VLOOKUP($B141,'Data shares'!$C:$FB,98)</f>
        <v>204364500</v>
      </c>
      <c r="E141" s="165">
        <f>VLOOKUP(B141,'Snapshot (Volume)'!$A$7:$G$168,7,0)</f>
        <v>209302950</v>
      </c>
      <c r="F141" s="165">
        <f>D141-E141</f>
        <v>-4938450</v>
      </c>
      <c r="G141" s="166">
        <f>F141/E141</f>
        <v>-2.3594746275673612E-2</v>
      </c>
      <c r="H141" s="165">
        <f>VLOOKUP($B141,'Data shares'!$C:$FB,66)</f>
        <v>89642400</v>
      </c>
      <c r="I141" s="165">
        <f>VLOOKUP($B141,'Data shares'!$C:$FB,67)</f>
        <v>56247900</v>
      </c>
      <c r="J141" s="81">
        <f>(H141-I141)/I141*100</f>
        <v>59.370216488082214</v>
      </c>
      <c r="K141" s="5">
        <f>VLOOKUP($B141,'Data Vlaue (Cr)'!$C:$FB,99)</f>
        <v>2556</v>
      </c>
      <c r="L141" s="81">
        <f>VLOOKUP(B141,'OI(Value)'!$A$7:$C$232,3,0)</f>
        <v>-62</v>
      </c>
      <c r="M141" s="33">
        <f t="shared" si="44"/>
        <v>-2.4256651017214397</v>
      </c>
      <c r="N141" s="5">
        <f>VLOOKUP($B141,'Data Vlaue (Cr)'!$C:$FB,67)</f>
        <v>1121</v>
      </c>
      <c r="O141" s="5">
        <f>VLOOKUP($B141,'Data Vlaue (Cr)'!$C:$FB,68)</f>
        <v>703</v>
      </c>
      <c r="P141" s="5">
        <f>(N141-O141)/N141*100</f>
        <v>37.288135593220339</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MOTILALOFS</v>
      </c>
      <c r="C142" s="4">
        <f>VLOOKUP($B142,'Data shares'!$C:$FB,7)</f>
        <v>815.45</v>
      </c>
      <c r="D142" s="82">
        <f>VLOOKUP($B142,'Data shares'!$C:$FB,98)</f>
        <v>5677650</v>
      </c>
      <c r="E142" s="165">
        <f>VLOOKUP(B142,'Snapshot (Volume)'!$A$7:$G$168,7,0)</f>
        <v>4300475</v>
      </c>
      <c r="F142" s="165">
        <f>D142-E142</f>
        <v>1377175</v>
      </c>
      <c r="G142" s="166">
        <f>F142/E142</f>
        <v>0.3202378806992251</v>
      </c>
      <c r="H142" s="165">
        <f>VLOOKUP($B142,'Data shares'!$C:$FB,66)</f>
        <v>11142175</v>
      </c>
      <c r="I142" s="165">
        <f>VLOOKUP($B142,'Data shares'!$C:$FB,67)</f>
        <v>4477175</v>
      </c>
      <c r="J142" s="81">
        <f>(H142-I142)/I142*100</f>
        <v>148.8661935260516</v>
      </c>
      <c r="K142" s="5">
        <f>VLOOKUP($B142,'Data Vlaue (Cr)'!$C:$FB,99)</f>
        <v>464</v>
      </c>
      <c r="L142" s="81">
        <f>VLOOKUP(B142,'OI(Value)'!$A$7:$C$232,3,0)</f>
        <v>113</v>
      </c>
      <c r="M142" s="33">
        <f t="shared" si="44"/>
        <v>24.353448275862068</v>
      </c>
      <c r="N142" s="5">
        <f>VLOOKUP($B142,'Data Vlaue (Cr)'!$C:$FB,67)</f>
        <v>911</v>
      </c>
      <c r="O142" s="5">
        <f>VLOOKUP($B142,'Data Vlaue (Cr)'!$C:$FB,68)</f>
        <v>366</v>
      </c>
      <c r="P142" s="5">
        <f>(N142-O142)/N142*100</f>
        <v>59.824368825466522</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Technology</v>
      </c>
      <c r="B143" s="79" t="str">
        <f>'Data shares'!C138</f>
        <v>MPHASIS</v>
      </c>
      <c r="C143" s="4">
        <f>VLOOKUP($B143,'Data shares'!$C:$FB,7)</f>
        <v>2462.1999999999998</v>
      </c>
      <c r="D143" s="82">
        <f>VLOOKUP($B143,'Data shares'!$C:$FB,98)</f>
        <v>6829625</v>
      </c>
      <c r="E143" s="165">
        <f>VLOOKUP(B143,'Snapshot (Volume)'!$A$7:$G$168,7,0)</f>
        <v>7052375</v>
      </c>
      <c r="F143" s="165">
        <f>D143-E143</f>
        <v>-222750</v>
      </c>
      <c r="G143" s="166">
        <f>F143/E143</f>
        <v>-3.1585104308832129E-2</v>
      </c>
      <c r="H143" s="165">
        <f>VLOOKUP($B143,'Data shares'!$C:$FB,66)</f>
        <v>2353175</v>
      </c>
      <c r="I143" s="165">
        <f>VLOOKUP($B143,'Data shares'!$C:$FB,67)</f>
        <v>3857150</v>
      </c>
      <c r="J143" s="81">
        <f>(H143-I143)/I143*100</f>
        <v>-38.991872237273633</v>
      </c>
      <c r="K143" s="5">
        <f>VLOOKUP($B143,'Data Vlaue (Cr)'!$C:$FB,99)</f>
        <v>1687</v>
      </c>
      <c r="L143" s="81">
        <f>VLOOKUP(B143,'OI(Value)'!$A$7:$C$232,3,0)</f>
        <v>-55</v>
      </c>
      <c r="M143" s="33">
        <f t="shared" si="44"/>
        <v>-3.2602252519264971</v>
      </c>
      <c r="N143" s="5">
        <f>VLOOKUP($B143,'Data Vlaue (Cr)'!$C:$FB,67)</f>
        <v>581</v>
      </c>
      <c r="O143" s="5">
        <f>VLOOKUP($B143,'Data Vlaue (Cr)'!$C:$FB,68)</f>
        <v>953</v>
      </c>
      <c r="P143" s="5">
        <f>(N143-O143)/N143*100</f>
        <v>-64.027538726333916</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MUTHOOTFIN</v>
      </c>
      <c r="C144" s="4">
        <f>VLOOKUP($B144,'Data shares'!$C:$FB,7)</f>
        <v>3571.3</v>
      </c>
      <c r="D144" s="82">
        <f>VLOOKUP($B144,'Data shares'!$C:$FB,98)</f>
        <v>7704950</v>
      </c>
      <c r="E144" s="165">
        <f>VLOOKUP(B144,'Snapshot (Volume)'!$A$7:$G$168,7,0)</f>
        <v>7497600</v>
      </c>
      <c r="F144" s="165">
        <f>D144-E144</f>
        <v>207350</v>
      </c>
      <c r="G144" s="166">
        <f>F144/E144</f>
        <v>2.7655516431924883E-2</v>
      </c>
      <c r="H144" s="165">
        <f>VLOOKUP($B144,'Data shares'!$C:$FB,66)</f>
        <v>8393275</v>
      </c>
      <c r="I144" s="165">
        <f>VLOOKUP($B144,'Data shares'!$C:$FB,67)</f>
        <v>4658225</v>
      </c>
      <c r="J144" s="81">
        <f>(H144-I144)/I144*100</f>
        <v>80.181828915520398</v>
      </c>
      <c r="K144" s="5">
        <f>VLOOKUP($B144,'Data Vlaue (Cr)'!$C:$FB,99)</f>
        <v>2752</v>
      </c>
      <c r="L144" s="81">
        <f>VLOOKUP(B144,'OI(Value)'!$A$7:$C$232,3,0)</f>
        <v>74</v>
      </c>
      <c r="M144" s="33">
        <f t="shared" si="44"/>
        <v>2.6889534883720931</v>
      </c>
      <c r="N144" s="5">
        <f>VLOOKUP($B144,'Data Vlaue (Cr)'!$C:$FB,67)</f>
        <v>2998</v>
      </c>
      <c r="O144" s="5">
        <f>VLOOKUP($B144,'Data Vlaue (Cr)'!$C:$FB,68)</f>
        <v>1664</v>
      </c>
      <c r="P144" s="5">
        <f>(N144-O144)/N144*100</f>
        <v>44.496330887258175</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Finance</v>
      </c>
      <c r="B145" s="79" t="str">
        <f>'Data shares'!C140</f>
        <v>NAM-INDIA</v>
      </c>
      <c r="C145" s="4">
        <f>VLOOKUP($B145,'Data shares'!$C:$FB,7)</f>
        <v>1015.05</v>
      </c>
      <c r="D145" s="82">
        <f>VLOOKUP($B145,'Data shares'!$C:$FB,98)</f>
        <v>4444375</v>
      </c>
      <c r="E145" s="165">
        <f>VLOOKUP(B145,'Snapshot (Volume)'!$A$7:$G$168,7,0)</f>
        <v>3747500</v>
      </c>
      <c r="F145" s="165">
        <f t="shared" ref="F145:F152" si="49">D145-E145</f>
        <v>696875</v>
      </c>
      <c r="G145" s="166">
        <f t="shared" ref="G145:G153" si="50">F145/E145</f>
        <v>0.18595730486991327</v>
      </c>
      <c r="H145" s="165">
        <f>VLOOKUP($B145,'Data shares'!$C:$FB,66)</f>
        <v>4853750</v>
      </c>
      <c r="I145" s="165">
        <f>VLOOKUP($B145,'Data shares'!$C:$FB,67)</f>
        <v>4896250</v>
      </c>
      <c r="J145" s="81">
        <f t="shared" ref="J145:J153" si="51">(H145-I145)/I145*100</f>
        <v>-0.86801123308654582</v>
      </c>
      <c r="K145" s="5">
        <f>VLOOKUP($B145,'Data Vlaue (Cr)'!$C:$FB,99)</f>
        <v>444</v>
      </c>
      <c r="L145" s="81">
        <f>VLOOKUP(B145,'OI(Value)'!$A$7:$C$232,3,0)</f>
        <v>70</v>
      </c>
      <c r="M145" s="33">
        <f t="shared" ref="M145:M153" si="52">L145/K145*100</f>
        <v>15.765765765765765</v>
      </c>
      <c r="N145" s="5">
        <f>VLOOKUP($B145,'Data Vlaue (Cr)'!$C:$FB,67)</f>
        <v>485</v>
      </c>
      <c r="O145" s="5">
        <f>VLOOKUP($B145,'Data Vlaue (Cr)'!$C:$FB,68)</f>
        <v>490</v>
      </c>
      <c r="P145" s="5">
        <f t="shared" ref="P145:P152" si="53">(N145-O145)/N145*100</f>
        <v>-1.0309278350515463</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Metals</v>
      </c>
      <c r="B146" s="79" t="str">
        <f>'Data shares'!C141</f>
        <v>NATIONALUM</v>
      </c>
      <c r="C146" s="4">
        <f>VLOOKUP($B146,'Data shares'!$C:$FB,7)</f>
        <v>438.75</v>
      </c>
      <c r="D146" s="82">
        <f>VLOOKUP($B146,'Data shares'!$C:$FB,98)</f>
        <v>122265000</v>
      </c>
      <c r="E146" s="165">
        <f>VLOOKUP(B146,'Snapshot (Volume)'!$A$7:$G$168,7,0)</f>
        <v>123097500</v>
      </c>
      <c r="F146" s="165">
        <f t="shared" si="49"/>
        <v>-832500</v>
      </c>
      <c r="G146" s="166">
        <f t="shared" si="50"/>
        <v>-6.7629318223359535E-3</v>
      </c>
      <c r="H146" s="165">
        <f>VLOOKUP($B146,'Data shares'!$C:$FB,66)</f>
        <v>111757500</v>
      </c>
      <c r="I146" s="165">
        <f>VLOOKUP($B146,'Data shares'!$C:$FB,67)</f>
        <v>150393750</v>
      </c>
      <c r="J146" s="81">
        <f t="shared" si="51"/>
        <v>-25.690063583094375</v>
      </c>
      <c r="K146" s="5">
        <f>VLOOKUP($B146,'Data Vlaue (Cr)'!$C:$FB,99)</f>
        <v>5363</v>
      </c>
      <c r="L146" s="81">
        <f>VLOOKUP(B146,'OI(Value)'!$A$7:$C$232,3,0)</f>
        <v>-37</v>
      </c>
      <c r="M146" s="33">
        <f t="shared" si="52"/>
        <v>-0.68991236248368448</v>
      </c>
      <c r="N146" s="5">
        <f>VLOOKUP($B146,'Data Vlaue (Cr)'!$C:$FB,67)</f>
        <v>4902</v>
      </c>
      <c r="O146" s="5">
        <f>VLOOKUP($B146,'Data Vlaue (Cr)'!$C:$FB,68)</f>
        <v>6597</v>
      </c>
      <c r="P146" s="5">
        <f t="shared" si="53"/>
        <v>-34.57772337821298</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New_Age</v>
      </c>
      <c r="B147" s="79" t="str">
        <f>'Data shares'!C142</f>
        <v>NAUKRI</v>
      </c>
      <c r="C147" s="4">
        <f>VLOOKUP($B147,'Data shares'!$C:$FB,7)</f>
        <v>1054.55</v>
      </c>
      <c r="D147" s="82">
        <f>VLOOKUP($B147,'Data shares'!$C:$FB,98)</f>
        <v>14418000</v>
      </c>
      <c r="E147" s="165">
        <f>VLOOKUP(B147,'Snapshot (Volume)'!$A$7:$G$168,7,0)</f>
        <v>14325000</v>
      </c>
      <c r="F147" s="165">
        <f t="shared" si="49"/>
        <v>93000</v>
      </c>
      <c r="G147" s="166">
        <f t="shared" si="50"/>
        <v>6.4921465968586388E-3</v>
      </c>
      <c r="H147" s="165">
        <f>VLOOKUP($B147,'Data shares'!$C:$FB,66)</f>
        <v>4581750</v>
      </c>
      <c r="I147" s="165">
        <f>VLOOKUP($B147,'Data shares'!$C:$FB,67)</f>
        <v>6485250</v>
      </c>
      <c r="J147" s="81">
        <f t="shared" si="51"/>
        <v>-29.351220076327049</v>
      </c>
      <c r="K147" s="5">
        <f>VLOOKUP($B147,'Data Vlaue (Cr)'!$C:$FB,99)</f>
        <v>1522</v>
      </c>
      <c r="L147" s="81">
        <f>VLOOKUP(B147,'OI(Value)'!$A$7:$C$232,3,0)</f>
        <v>10</v>
      </c>
      <c r="M147" s="33">
        <f t="shared" si="52"/>
        <v>0.65703022339027595</v>
      </c>
      <c r="N147" s="5">
        <f>VLOOKUP($B147,'Data Vlaue (Cr)'!$C:$FB,67)</f>
        <v>484</v>
      </c>
      <c r="O147" s="5">
        <f>VLOOKUP($B147,'Data Vlaue (Cr)'!$C:$FB,68)</f>
        <v>685</v>
      </c>
      <c r="P147" s="5">
        <f t="shared" si="53"/>
        <v>-41.528925619834709</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Realty</v>
      </c>
      <c r="B148" s="79" t="str">
        <f>'Data shares'!C143</f>
        <v>NBCC</v>
      </c>
      <c r="C148" s="4">
        <f>VLOOKUP($B148,'Data shares'!$C:$FB,7)</f>
        <v>94.32</v>
      </c>
      <c r="D148" s="82">
        <f>VLOOKUP($B148,'Data shares'!$C:$FB,98)</f>
        <v>112677500</v>
      </c>
      <c r="E148" s="165">
        <f>VLOOKUP(B148,'Snapshot (Volume)'!$A$7:$G$168,7,0)</f>
        <v>108108000</v>
      </c>
      <c r="F148" s="165">
        <f t="shared" si="49"/>
        <v>4569500</v>
      </c>
      <c r="G148" s="166">
        <f t="shared" si="50"/>
        <v>4.2267917267917267E-2</v>
      </c>
      <c r="H148" s="165">
        <f>VLOOKUP($B148,'Data shares'!$C:$FB,66)</f>
        <v>47320000</v>
      </c>
      <c r="I148" s="165">
        <f>VLOOKUP($B148,'Data shares'!$C:$FB,67)</f>
        <v>33624500</v>
      </c>
      <c r="J148" s="81">
        <f t="shared" si="51"/>
        <v>40.730717185385657</v>
      </c>
      <c r="K148" s="5">
        <f>VLOOKUP($B148,'Data Vlaue (Cr)'!$C:$FB,99)</f>
        <v>1064</v>
      </c>
      <c r="L148" s="81">
        <f>VLOOKUP(B148,'OI(Value)'!$A$7:$C$232,3,0)</f>
        <v>43</v>
      </c>
      <c r="M148" s="33">
        <f t="shared" si="52"/>
        <v>4.0413533834586461</v>
      </c>
      <c r="N148" s="5">
        <f>VLOOKUP($B148,'Data Vlaue (Cr)'!$C:$FB,67)</f>
        <v>447</v>
      </c>
      <c r="O148" s="5">
        <f>VLOOKUP($B148,'Data Vlaue (Cr)'!$C:$FB,68)</f>
        <v>318</v>
      </c>
      <c r="P148" s="5">
        <f t="shared" si="53"/>
        <v>28.859060402684566</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FMCG</v>
      </c>
      <c r="B149" s="79" t="str">
        <f>'Data shares'!C144</f>
        <v>NESTLEIND</v>
      </c>
      <c r="C149" s="4">
        <f>VLOOKUP($B149,'Data shares'!$C:$FB,7)</f>
        <v>1285.5999999999999</v>
      </c>
      <c r="D149" s="82">
        <f>VLOOKUP($B149,'Data shares'!$C:$FB,98)</f>
        <v>25472500</v>
      </c>
      <c r="E149" s="165">
        <f>VLOOKUP(B149,'Snapshot (Volume)'!$A$7:$G$168,7,0)</f>
        <v>24099500</v>
      </c>
      <c r="F149" s="165">
        <f t="shared" si="49"/>
        <v>1373000</v>
      </c>
      <c r="G149" s="166">
        <f t="shared" si="50"/>
        <v>5.6972136351376587E-2</v>
      </c>
      <c r="H149" s="165">
        <f>VLOOKUP($B149,'Data shares'!$C:$FB,66)</f>
        <v>14579000</v>
      </c>
      <c r="I149" s="165">
        <f>VLOOKUP($B149,'Data shares'!$C:$FB,67)</f>
        <v>9841000</v>
      </c>
      <c r="J149" s="81">
        <f t="shared" si="51"/>
        <v>48.145513667310233</v>
      </c>
      <c r="K149" s="5">
        <f>VLOOKUP($B149,'Data Vlaue (Cr)'!$C:$FB,99)</f>
        <v>3276</v>
      </c>
      <c r="L149" s="81">
        <f>VLOOKUP(B149,'OI(Value)'!$A$7:$C$232,3,0)</f>
        <v>177</v>
      </c>
      <c r="M149" s="33">
        <f t="shared" si="52"/>
        <v>5.4029304029304033</v>
      </c>
      <c r="N149" s="5">
        <f>VLOOKUP($B149,'Data Vlaue (Cr)'!$C:$FB,67)</f>
        <v>1875</v>
      </c>
      <c r="O149" s="5">
        <f>VLOOKUP($B149,'Data Vlaue (Cr)'!$C:$FB,68)</f>
        <v>1266</v>
      </c>
      <c r="P149" s="5">
        <f t="shared" si="53"/>
        <v>32.479999999999997</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Power</v>
      </c>
      <c r="B150" s="79" t="str">
        <f>'Data shares'!C145</f>
        <v>NHPC</v>
      </c>
      <c r="C150" s="4">
        <f>VLOOKUP($B150,'Data shares'!$C:$FB,7)</f>
        <v>83.56</v>
      </c>
      <c r="D150" s="82">
        <f>VLOOKUP($B150,'Data shares'!$C:$FB,98)</f>
        <v>153331200</v>
      </c>
      <c r="E150" s="165">
        <f>VLOOKUP(B150,'Snapshot (Volume)'!$A$7:$G$168,7,0)</f>
        <v>146777600</v>
      </c>
      <c r="F150" s="165">
        <f t="shared" si="49"/>
        <v>6553600</v>
      </c>
      <c r="G150" s="166">
        <f t="shared" si="50"/>
        <v>4.464986482951077E-2</v>
      </c>
      <c r="H150" s="165">
        <f>VLOOKUP($B150,'Data shares'!$C:$FB,66)</f>
        <v>129811200</v>
      </c>
      <c r="I150" s="165">
        <f>VLOOKUP($B150,'Data shares'!$C:$FB,67)</f>
        <v>101875200</v>
      </c>
      <c r="J150" s="81">
        <f t="shared" si="51"/>
        <v>27.421786656615154</v>
      </c>
      <c r="K150" s="5">
        <f>VLOOKUP($B150,'Data Vlaue (Cr)'!$C:$FB,99)</f>
        <v>1264</v>
      </c>
      <c r="L150" s="81">
        <f>VLOOKUP(B150,'OI(Value)'!$A$7:$C$232,3,0)</f>
        <v>54</v>
      </c>
      <c r="M150" s="33">
        <f t="shared" si="52"/>
        <v>4.2721518987341769</v>
      </c>
      <c r="N150" s="5">
        <f>VLOOKUP($B150,'Data Vlaue (Cr)'!$C:$FB,67)</f>
        <v>1070</v>
      </c>
      <c r="O150" s="5">
        <f>VLOOKUP($B150,'Data Vlaue (Cr)'!$C:$FB,68)</f>
        <v>840</v>
      </c>
      <c r="P150" s="5">
        <f t="shared" si="53"/>
        <v>21.495327102803738</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Index</v>
      </c>
      <c r="B151" s="79" t="str">
        <f>'Data shares'!C146</f>
        <v>NIFTY</v>
      </c>
      <c r="C151" s="4">
        <f>VLOOKUP($B151,'Data shares'!$C:$FB,7)</f>
        <v>24353.55</v>
      </c>
      <c r="D151" s="82">
        <f>VLOOKUP($B151,'Data shares'!$C:$FB,98)</f>
        <v>518874120</v>
      </c>
      <c r="E151" s="165">
        <f>VLOOKUP(B151,'Snapshot (Volume)'!$A$7:$G$168,7,0)</f>
        <v>453100085</v>
      </c>
      <c r="F151" s="165">
        <f t="shared" si="49"/>
        <v>65774035</v>
      </c>
      <c r="G151" s="166">
        <f t="shared" si="50"/>
        <v>0.14516447287799561</v>
      </c>
      <c r="H151" s="165">
        <f>VLOOKUP($B151,'Data shares'!$C:$FB,66)</f>
        <v>4531114770</v>
      </c>
      <c r="I151" s="165">
        <f>VLOOKUP($B151,'Data shares'!$C:$FB,67)</f>
        <v>2906151625</v>
      </c>
      <c r="J151" s="81">
        <f t="shared" si="51"/>
        <v>55.914603044842849</v>
      </c>
      <c r="K151" s="5">
        <f>VLOOKUP($B151,'Data Vlaue (Cr)'!$C:$FB,99)</f>
        <v>1264392</v>
      </c>
      <c r="L151" s="81">
        <f>VLOOKUP(B151,'OI(Value)'!$A$7:$C$232,3,0)</f>
        <v>160278</v>
      </c>
      <c r="M151" s="33">
        <f t="shared" si="52"/>
        <v>12.676290264411669</v>
      </c>
      <c r="N151" s="5">
        <f>VLOOKUP($B151,'Data Vlaue (Cr)'!$C:$FB,67)</f>
        <v>11041420</v>
      </c>
      <c r="O151" s="5">
        <f>VLOOKUP($B151,'Data Vlaue (Cr)'!$C:$FB,68)</f>
        <v>7081710</v>
      </c>
      <c r="P151" s="5">
        <f t="shared" si="53"/>
        <v>35.862325679124609</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Index</v>
      </c>
      <c r="B152" s="79" t="str">
        <f>'Data shares'!C147</f>
        <v>NIFTYNXT50</v>
      </c>
      <c r="C152" s="4">
        <f>VLOOKUP($B152,'Data shares'!$C:$FB,7)</f>
        <v>70273.8</v>
      </c>
      <c r="D152" s="82">
        <f>VLOOKUP($B152,'Data shares'!$C:$FB,98)</f>
        <v>39325</v>
      </c>
      <c r="E152" s="165">
        <f>VLOOKUP(B152,'Snapshot (Volume)'!$A$7:$G$168,7,0)</f>
        <v>28550</v>
      </c>
      <c r="F152" s="165">
        <f t="shared" si="49"/>
        <v>10775</v>
      </c>
      <c r="G152" s="166">
        <f t="shared" si="50"/>
        <v>0.37740805604203154</v>
      </c>
      <c r="H152" s="165">
        <f>VLOOKUP($B152,'Data shares'!$C:$FB,66)</f>
        <v>32125</v>
      </c>
      <c r="I152" s="165">
        <f>VLOOKUP($B152,'Data shares'!$C:$FB,67)</f>
        <v>14450</v>
      </c>
      <c r="J152" s="81">
        <f t="shared" si="51"/>
        <v>122.31833910034602</v>
      </c>
      <c r="K152" s="5">
        <f>VLOOKUP($B152,'Data Vlaue (Cr)'!$C:$FB,99)</f>
        <v>277</v>
      </c>
      <c r="L152" s="81">
        <f>VLOOKUP(B152,'OI(Value)'!$A$7:$C$232,3,0)</f>
        <v>76</v>
      </c>
      <c r="M152" s="33">
        <f t="shared" si="52"/>
        <v>27.436823104693143</v>
      </c>
      <c r="N152" s="5">
        <f>VLOOKUP($B152,'Data Vlaue (Cr)'!$C:$FB,67)</f>
        <v>226</v>
      </c>
      <c r="O152" s="5">
        <f>VLOOKUP($B152,'Data Vlaue (Cr)'!$C:$FB,68)</f>
        <v>102</v>
      </c>
      <c r="P152" s="5">
        <f t="shared" si="53"/>
        <v>54.86725663716814</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Metals</v>
      </c>
      <c r="B153" s="79" t="str">
        <f>'Data shares'!C148</f>
        <v>NMDC</v>
      </c>
      <c r="C153" s="4">
        <f>VLOOKUP($B153,'Data shares'!$C:$FB,7)</f>
        <v>89.78</v>
      </c>
      <c r="D153" s="82">
        <f>VLOOKUP($B153,'Data shares'!$C:$FB,98)</f>
        <v>461571750</v>
      </c>
      <c r="E153" s="165">
        <f>VLOOKUP(B153,'Snapshot (Volume)'!$A$7:$G$168,7,0)</f>
        <v>447025500</v>
      </c>
      <c r="F153" s="165">
        <f>D153-E153</f>
        <v>14546250</v>
      </c>
      <c r="G153" s="166">
        <f t="shared" si="50"/>
        <v>3.2540089994866066E-2</v>
      </c>
      <c r="H153" s="165">
        <f>VLOOKUP($B153,'Data shares'!$C:$FB,66)</f>
        <v>275109750</v>
      </c>
      <c r="I153" s="165">
        <f>VLOOKUP($B153,'Data shares'!$C:$FB,67)</f>
        <v>233340750</v>
      </c>
      <c r="J153" s="81">
        <f t="shared" si="51"/>
        <v>17.900431022013944</v>
      </c>
      <c r="K153" s="5">
        <f>VLOOKUP($B153,'Data Vlaue (Cr)'!$C:$FB,99)</f>
        <v>4152</v>
      </c>
      <c r="L153" s="81">
        <f>VLOOKUP(B153,'OI(Value)'!$A$7:$C$232,3,0)</f>
        <v>131</v>
      </c>
      <c r="M153" s="33">
        <f t="shared" si="52"/>
        <v>3.1551059730250484</v>
      </c>
      <c r="N153" s="5">
        <f>VLOOKUP($B153,'Data Vlaue (Cr)'!$C:$FB,67)</f>
        <v>2475</v>
      </c>
      <c r="O153" s="5">
        <f>VLOOKUP($B153,'Data Vlaue (Cr)'!$C:$FB,68)</f>
        <v>2099</v>
      </c>
      <c r="P153" s="5">
        <f>(N153-O153)/N153*100</f>
        <v>15.191919191919192</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Power</v>
      </c>
      <c r="B154" s="79" t="str">
        <f>'Data shares'!C149</f>
        <v>NTPC</v>
      </c>
      <c r="C154" s="4">
        <f>VLOOKUP($B154,'Data shares'!$C:$FB,7)</f>
        <v>393.6</v>
      </c>
      <c r="D154" s="82">
        <f>VLOOKUP($B154,'Data shares'!$C:$FB,98)</f>
        <v>188704500</v>
      </c>
      <c r="E154" s="165">
        <f>VLOOKUP(B154,'Snapshot (Volume)'!$A$7:$G$168,7,0)</f>
        <v>171784500</v>
      </c>
      <c r="F154" s="165">
        <f t="shared" ref="F154:F166" si="54">D154-E154</f>
        <v>16920000</v>
      </c>
      <c r="G154" s="166">
        <f t="shared" ref="G154:G166" si="55">F154/E154</f>
        <v>9.8495498720780977E-2</v>
      </c>
      <c r="H154" s="165">
        <f>VLOOKUP($B154,'Data shares'!$C:$FB,66)</f>
        <v>145749000</v>
      </c>
      <c r="I154" s="165">
        <f>VLOOKUP($B154,'Data shares'!$C:$FB,67)</f>
        <v>119502000</v>
      </c>
      <c r="J154" s="81">
        <f t="shared" ref="J154:J166" si="56">(H154-I154)/I154*100</f>
        <v>21.963649143947382</v>
      </c>
      <c r="K154" s="5">
        <f>VLOOKUP($B154,'Data Vlaue (Cr)'!$C:$FB,99)</f>
        <v>7458</v>
      </c>
      <c r="L154" s="81">
        <f>VLOOKUP(B154,'OI(Value)'!$A$7:$C$232,3,0)</f>
        <v>669</v>
      </c>
      <c r="M154" s="33">
        <f t="shared" ref="M154:M166" si="57">L154/K154*100</f>
        <v>8.9702333065164925</v>
      </c>
      <c r="N154" s="5">
        <f>VLOOKUP($B154,'Data Vlaue (Cr)'!$C:$FB,67)</f>
        <v>5760</v>
      </c>
      <c r="O154" s="5">
        <f>VLOOKUP($B154,'Data Vlaue (Cr)'!$C:$FB,68)</f>
        <v>4723</v>
      </c>
      <c r="P154" s="5">
        <f t="shared" ref="P154:P161" si="58">(N154-O154)/N154*100</f>
        <v>18.003472222222221</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Finance</v>
      </c>
      <c r="B155" s="79" t="str">
        <f>'Data shares'!C150</f>
        <v>NUVAMA</v>
      </c>
      <c r="C155" s="4">
        <f>VLOOKUP($B155,'Data shares'!$C:$FB,7)</f>
        <v>1400.7</v>
      </c>
      <c r="D155" s="82">
        <f>VLOOKUP($B155,'Data shares'!$C:$FB,98)</f>
        <v>3817500</v>
      </c>
      <c r="E155" s="165">
        <f>VLOOKUP(B155,'Snapshot (Volume)'!$A$7:$G$168,7,0)</f>
        <v>3670500</v>
      </c>
      <c r="F155" s="165">
        <f t="shared" si="54"/>
        <v>147000</v>
      </c>
      <c r="G155" s="166">
        <f t="shared" si="55"/>
        <v>4.0049039640375969E-2</v>
      </c>
      <c r="H155" s="165">
        <f>VLOOKUP($B155,'Data shares'!$C:$FB,66)</f>
        <v>2496500</v>
      </c>
      <c r="I155" s="165">
        <f>VLOOKUP($B155,'Data shares'!$C:$FB,67)</f>
        <v>1647000</v>
      </c>
      <c r="J155" s="81">
        <f t="shared" si="56"/>
        <v>51.578627808136005</v>
      </c>
      <c r="K155" s="5">
        <f>VLOOKUP($B155,'Data Vlaue (Cr)'!$C:$FB,99)</f>
        <v>532</v>
      </c>
      <c r="L155" s="81">
        <f>VLOOKUP(B155,'OI(Value)'!$A$7:$C$232,3,0)</f>
        <v>21</v>
      </c>
      <c r="M155" s="33">
        <f t="shared" si="57"/>
        <v>3.9473684210526314</v>
      </c>
      <c r="N155" s="5">
        <f>VLOOKUP($B155,'Data Vlaue (Cr)'!$C:$FB,67)</f>
        <v>348</v>
      </c>
      <c r="O155" s="5">
        <f>VLOOKUP($B155,'Data Vlaue (Cr)'!$C:$FB,68)</f>
        <v>230</v>
      </c>
      <c r="P155" s="5">
        <f t="shared" si="58"/>
        <v>33.90804597701149</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New_Age</v>
      </c>
      <c r="B156" s="79" t="str">
        <f>'Data shares'!C151</f>
        <v>NYKAA</v>
      </c>
      <c r="C156" s="4">
        <f>VLOOKUP($B156,'Data shares'!$C:$FB,7)</f>
        <v>269.66000000000003</v>
      </c>
      <c r="D156" s="82">
        <f>VLOOKUP($B156,'Data shares'!$C:$FB,98)</f>
        <v>58631250</v>
      </c>
      <c r="E156" s="165">
        <f>VLOOKUP(B156,'Snapshot (Volume)'!$A$7:$G$168,7,0)</f>
        <v>58550000</v>
      </c>
      <c r="F156" s="165">
        <f t="shared" si="54"/>
        <v>81250</v>
      </c>
      <c r="G156" s="166">
        <f t="shared" si="55"/>
        <v>1.3877028181041844E-3</v>
      </c>
      <c r="H156" s="165">
        <f>VLOOKUP($B156,'Data shares'!$C:$FB,66)</f>
        <v>21940625</v>
      </c>
      <c r="I156" s="165">
        <f>VLOOKUP($B156,'Data shares'!$C:$FB,67)</f>
        <v>11812500</v>
      </c>
      <c r="J156" s="81">
        <f t="shared" si="56"/>
        <v>85.740740740740733</v>
      </c>
      <c r="K156" s="5">
        <f>VLOOKUP($B156,'Data Vlaue (Cr)'!$C:$FB,99)</f>
        <v>1583</v>
      </c>
      <c r="L156" s="81">
        <f>VLOOKUP(B156,'OI(Value)'!$A$7:$C$232,3,0)</f>
        <v>2</v>
      </c>
      <c r="M156" s="33">
        <f t="shared" si="57"/>
        <v>0.12634238787113075</v>
      </c>
      <c r="N156" s="5">
        <f>VLOOKUP($B156,'Data Vlaue (Cr)'!$C:$FB,67)</f>
        <v>592</v>
      </c>
      <c r="O156" s="5">
        <f>VLOOKUP($B156,'Data Vlaue (Cr)'!$C:$FB,68)</f>
        <v>319</v>
      </c>
      <c r="P156" s="5">
        <f t="shared" si="58"/>
        <v>46.114864864864863</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Realty</v>
      </c>
      <c r="B157" s="79" t="str">
        <f>'Data shares'!C152</f>
        <v>OBEROIRLTY</v>
      </c>
      <c r="C157" s="4">
        <f>VLOOKUP($B157,'Data shares'!$C:$FB,7)</f>
        <v>1710.6</v>
      </c>
      <c r="D157" s="82">
        <f>VLOOKUP($B157,'Data shares'!$C:$FB,98)</f>
        <v>12255600</v>
      </c>
      <c r="E157" s="165">
        <f>VLOOKUP(B157,'Snapshot (Volume)'!$A$7:$G$168,7,0)</f>
        <v>12356750</v>
      </c>
      <c r="F157" s="165">
        <f t="shared" si="54"/>
        <v>-101150</v>
      </c>
      <c r="G157" s="166">
        <f t="shared" si="55"/>
        <v>-8.1858093754425716E-3</v>
      </c>
      <c r="H157" s="165">
        <f>VLOOKUP($B157,'Data shares'!$C:$FB,66)</f>
        <v>1661450</v>
      </c>
      <c r="I157" s="165">
        <f>VLOOKUP($B157,'Data shares'!$C:$FB,67)</f>
        <v>2463650</v>
      </c>
      <c r="J157" s="81">
        <f t="shared" si="56"/>
        <v>-32.561443386844722</v>
      </c>
      <c r="K157" s="5">
        <f>VLOOKUP($B157,'Data Vlaue (Cr)'!$C:$FB,99)</f>
        <v>2100</v>
      </c>
      <c r="L157" s="81">
        <f>VLOOKUP(B157,'OI(Value)'!$A$7:$C$232,3,0)</f>
        <v>-17</v>
      </c>
      <c r="M157" s="33">
        <f t="shared" si="57"/>
        <v>-0.80952380952380942</v>
      </c>
      <c r="N157" s="5">
        <f>VLOOKUP($B157,'Data Vlaue (Cr)'!$C:$FB,67)</f>
        <v>285</v>
      </c>
      <c r="O157" s="5">
        <f>VLOOKUP($B157,'Data Vlaue (Cr)'!$C:$FB,68)</f>
        <v>422</v>
      </c>
      <c r="P157" s="5">
        <f t="shared" si="58"/>
        <v>-48.070175438596493</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Technology</v>
      </c>
      <c r="B158" s="79" t="str">
        <f>'Data shares'!C153</f>
        <v>OFSS</v>
      </c>
      <c r="C158" s="4">
        <f>VLOOKUP($B158,'Data shares'!$C:$FB,7)</f>
        <v>7992.5</v>
      </c>
      <c r="D158" s="82">
        <f>VLOOKUP($B158,'Data shares'!$C:$FB,98)</f>
        <v>2566725</v>
      </c>
      <c r="E158" s="165">
        <f>VLOOKUP(B158,'Snapshot (Volume)'!$A$7:$G$168,7,0)</f>
        <v>2546925</v>
      </c>
      <c r="F158" s="165">
        <f t="shared" si="54"/>
        <v>19800</v>
      </c>
      <c r="G158" s="166">
        <f t="shared" si="55"/>
        <v>7.7740805088489058E-3</v>
      </c>
      <c r="H158" s="165">
        <f>VLOOKUP($B158,'Data shares'!$C:$FB,66)</f>
        <v>2987400</v>
      </c>
      <c r="I158" s="165">
        <f>VLOOKUP($B158,'Data shares'!$C:$FB,67)</f>
        <v>3149550</v>
      </c>
      <c r="J158" s="81">
        <f t="shared" si="56"/>
        <v>-5.1483545268371671</v>
      </c>
      <c r="K158" s="5">
        <f>VLOOKUP($B158,'Data Vlaue (Cr)'!$C:$FB,99)</f>
        <v>2056</v>
      </c>
      <c r="L158" s="81">
        <f>VLOOKUP(B158,'OI(Value)'!$A$7:$C$232,3,0)</f>
        <v>16</v>
      </c>
      <c r="M158" s="33">
        <f t="shared" si="57"/>
        <v>0.77821011673151752</v>
      </c>
      <c r="N158" s="5">
        <f>VLOOKUP($B158,'Data Vlaue (Cr)'!$C:$FB,67)</f>
        <v>2393</v>
      </c>
      <c r="O158" s="5">
        <f>VLOOKUP($B158,'Data Vlaue (Cr)'!$C:$FB,68)</f>
        <v>2523</v>
      </c>
      <c r="P158" s="5">
        <f t="shared" si="58"/>
        <v>-5.4325114918512334</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Oil_Gas</v>
      </c>
      <c r="B159" s="79" t="str">
        <f>'Data shares'!C154</f>
        <v>OIL</v>
      </c>
      <c r="C159" s="4">
        <f>VLOOKUP($B159,'Data shares'!$C:$FB,7)</f>
        <v>470.1</v>
      </c>
      <c r="D159" s="82">
        <f>VLOOKUP($B159,'Data shares'!$C:$FB,98)</f>
        <v>37529800</v>
      </c>
      <c r="E159" s="165">
        <f>VLOOKUP(B159,'Snapshot (Volume)'!$A$7:$G$168,7,0)</f>
        <v>38330600</v>
      </c>
      <c r="F159" s="165">
        <f t="shared" si="54"/>
        <v>-800800</v>
      </c>
      <c r="G159" s="166">
        <f t="shared" si="55"/>
        <v>-2.0891924467657693E-2</v>
      </c>
      <c r="H159" s="165">
        <f>VLOOKUP($B159,'Data shares'!$C:$FB,66)</f>
        <v>15575000</v>
      </c>
      <c r="I159" s="165">
        <f>VLOOKUP($B159,'Data shares'!$C:$FB,67)</f>
        <v>13407800</v>
      </c>
      <c r="J159" s="81">
        <f t="shared" si="56"/>
        <v>16.163725592565523</v>
      </c>
      <c r="K159" s="5">
        <f>VLOOKUP($B159,'Data Vlaue (Cr)'!$C:$FB,99)</f>
        <v>1766</v>
      </c>
      <c r="L159" s="81">
        <f>VLOOKUP(B159,'OI(Value)'!$A$7:$C$232,3,0)</f>
        <v>-38</v>
      </c>
      <c r="M159" s="33">
        <f t="shared" si="57"/>
        <v>-2.1517553793884483</v>
      </c>
      <c r="N159" s="5">
        <f>VLOOKUP($B159,'Data Vlaue (Cr)'!$C:$FB,67)</f>
        <v>733</v>
      </c>
      <c r="O159" s="5">
        <f>VLOOKUP($B159,'Data Vlaue (Cr)'!$C:$FB,68)</f>
        <v>631</v>
      </c>
      <c r="P159" s="5">
        <f t="shared" si="58"/>
        <v>13.915416098226466</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Oil_Gas</v>
      </c>
      <c r="B160" s="79" t="str">
        <f>'Data shares'!C155</f>
        <v>ONGC</v>
      </c>
      <c r="C160" s="4">
        <f>VLOOKUP($B160,'Data shares'!$C:$FB,7)</f>
        <v>284.05</v>
      </c>
      <c r="D160" s="82">
        <f>VLOOKUP($B160,'Data shares'!$C:$FB,98)</f>
        <v>229875750</v>
      </c>
      <c r="E160" s="165">
        <f>VLOOKUP(B160,'Snapshot (Volume)'!$A$7:$G$168,7,0)</f>
        <v>228629250</v>
      </c>
      <c r="F160" s="165">
        <f t="shared" si="54"/>
        <v>1246500</v>
      </c>
      <c r="G160" s="166">
        <f t="shared" si="55"/>
        <v>5.452058299627016E-3</v>
      </c>
      <c r="H160" s="165">
        <f>VLOOKUP($B160,'Data shares'!$C:$FB,66)</f>
        <v>94585500</v>
      </c>
      <c r="I160" s="165">
        <f>VLOOKUP($B160,'Data shares'!$C:$FB,67)</f>
        <v>111507750</v>
      </c>
      <c r="J160" s="81">
        <f t="shared" si="56"/>
        <v>-15.17585100587179</v>
      </c>
      <c r="K160" s="5">
        <f>VLOOKUP($B160,'Data Vlaue (Cr)'!$C:$FB,99)</f>
        <v>6549</v>
      </c>
      <c r="L160" s="81">
        <f>VLOOKUP(B160,'OI(Value)'!$A$7:$C$232,3,0)</f>
        <v>36</v>
      </c>
      <c r="M160" s="33">
        <f t="shared" si="57"/>
        <v>0.54970224461749884</v>
      </c>
      <c r="N160" s="5">
        <f>VLOOKUP($B160,'Data Vlaue (Cr)'!$C:$FB,67)</f>
        <v>2695</v>
      </c>
      <c r="O160" s="5">
        <f>VLOOKUP($B160,'Data Vlaue (Cr)'!$C:$FB,68)</f>
        <v>3177</v>
      </c>
      <c r="P160" s="5">
        <f t="shared" si="58"/>
        <v>-17.884972170686456</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Textile</v>
      </c>
      <c r="B161" s="79" t="str">
        <f>'Data shares'!C156</f>
        <v>PAGEIND</v>
      </c>
      <c r="C161" s="4">
        <f>VLOOKUP($B161,'Data shares'!$C:$FB,7)</f>
        <v>37975</v>
      </c>
      <c r="D161" s="82">
        <f>VLOOKUP($B161,'Data shares'!$C:$FB,98)</f>
        <v>503325</v>
      </c>
      <c r="E161" s="165">
        <f>VLOOKUP(B161,'Snapshot (Volume)'!$A$7:$G$168,7,0)</f>
        <v>491940</v>
      </c>
      <c r="F161" s="165">
        <f t="shared" si="54"/>
        <v>11385</v>
      </c>
      <c r="G161" s="166">
        <f t="shared" si="55"/>
        <v>2.3143066227588729E-2</v>
      </c>
      <c r="H161" s="165">
        <f>VLOOKUP($B161,'Data shares'!$C:$FB,66)</f>
        <v>353220</v>
      </c>
      <c r="I161" s="165">
        <f>VLOOKUP($B161,'Data shares'!$C:$FB,67)</f>
        <v>120300</v>
      </c>
      <c r="J161" s="81">
        <f t="shared" si="56"/>
        <v>193.61596009975062</v>
      </c>
      <c r="K161" s="5">
        <f>VLOOKUP($B161,'Data Vlaue (Cr)'!$C:$FB,99)</f>
        <v>1909</v>
      </c>
      <c r="L161" s="81">
        <f>VLOOKUP(B161,'OI(Value)'!$A$7:$C$232,3,0)</f>
        <v>43</v>
      </c>
      <c r="M161" s="33">
        <f t="shared" si="57"/>
        <v>2.2524882137244631</v>
      </c>
      <c r="N161" s="5">
        <f>VLOOKUP($B161,'Data Vlaue (Cr)'!$C:$FB,67)</f>
        <v>1340</v>
      </c>
      <c r="O161" s="5">
        <f>VLOOKUP($B161,'Data Vlaue (Cr)'!$C:$FB,68)</f>
        <v>456</v>
      </c>
      <c r="P161" s="5">
        <f t="shared" si="58"/>
        <v>65.97014925373135</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FMCG</v>
      </c>
      <c r="B162" s="79" t="str">
        <f>'Data shares'!C157</f>
        <v>PATANJALI</v>
      </c>
      <c r="C162" s="4">
        <f>VLOOKUP($B162,'Data shares'!$C:$FB,7)</f>
        <v>468.3</v>
      </c>
      <c r="D162" s="82">
        <f>VLOOKUP($B162,'Data shares'!$C:$FB,98)</f>
        <v>42699600</v>
      </c>
      <c r="E162" s="165">
        <f>VLOOKUP(B162,'Snapshot (Volume)'!$A$7:$G$168,7,0)</f>
        <v>40530600</v>
      </c>
      <c r="F162" s="165">
        <f t="shared" si="54"/>
        <v>2169000</v>
      </c>
      <c r="G162" s="166">
        <f t="shared" si="55"/>
        <v>5.3515121907891816E-2</v>
      </c>
      <c r="H162" s="165">
        <f>VLOOKUP($B162,'Data shares'!$C:$FB,66)</f>
        <v>20628000</v>
      </c>
      <c r="I162" s="165">
        <f>VLOOKUP($B162,'Data shares'!$C:$FB,67)</f>
        <v>6633900</v>
      </c>
      <c r="J162" s="81">
        <f t="shared" si="56"/>
        <v>210.94831094831096</v>
      </c>
      <c r="K162" s="5">
        <f>VLOOKUP($B162,'Data Vlaue (Cr)'!$C:$FB,99)</f>
        <v>2003</v>
      </c>
      <c r="L162" s="81">
        <f>VLOOKUP(B162,'OI(Value)'!$A$7:$C$232,3,0)</f>
        <v>102</v>
      </c>
      <c r="M162" s="33">
        <f t="shared" si="57"/>
        <v>5.0923614578132801</v>
      </c>
      <c r="N162" s="5">
        <f>VLOOKUP($B162,'Data Vlaue (Cr)'!$C:$FB,67)</f>
        <v>967</v>
      </c>
      <c r="O162" s="5">
        <f>VLOOKUP($B162,'Data Vlaue (Cr)'!$C:$FB,68)</f>
        <v>311</v>
      </c>
      <c r="P162" s="5">
        <f>(N162-O162)/N162*100</f>
        <v>67.838676318510863</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New_Age</v>
      </c>
      <c r="B163" s="79" t="str">
        <f>'Data shares'!C158</f>
        <v>PAYTM</v>
      </c>
      <c r="C163" s="4">
        <f>VLOOKUP($B163,'Data shares'!$C:$FB,7)</f>
        <v>1161.6500000000001</v>
      </c>
      <c r="D163" s="82">
        <f>VLOOKUP($B163,'Data shares'!$C:$FB,98)</f>
        <v>28085775</v>
      </c>
      <c r="E163" s="165">
        <f>VLOOKUP(B163,'Snapshot (Volume)'!$A$7:$G$168,7,0)</f>
        <v>27154150</v>
      </c>
      <c r="F163" s="165">
        <f t="shared" si="54"/>
        <v>931625</v>
      </c>
      <c r="G163" s="166">
        <f t="shared" si="55"/>
        <v>3.430875206920489E-2</v>
      </c>
      <c r="H163" s="165">
        <f>VLOOKUP($B163,'Data shares'!$C:$FB,66)</f>
        <v>13382775</v>
      </c>
      <c r="I163" s="165">
        <f>VLOOKUP($B163,'Data shares'!$C:$FB,67)</f>
        <v>14298450</v>
      </c>
      <c r="J163" s="81">
        <f t="shared" si="56"/>
        <v>-6.4040158198965624</v>
      </c>
      <c r="K163" s="5">
        <f>VLOOKUP($B163,'Data Vlaue (Cr)'!$C:$FB,99)</f>
        <v>3263</v>
      </c>
      <c r="L163" s="81">
        <f>VLOOKUP(B163,'OI(Value)'!$A$7:$C$232,3,0)</f>
        <v>108</v>
      </c>
      <c r="M163" s="33">
        <f t="shared" si="57"/>
        <v>3.3098375727857801</v>
      </c>
      <c r="N163" s="5">
        <f>VLOOKUP($B163,'Data Vlaue (Cr)'!$C:$FB,67)</f>
        <v>1555</v>
      </c>
      <c r="O163" s="5">
        <f>VLOOKUP($B163,'Data Vlaue (Cr)'!$C:$FB,68)</f>
        <v>1661</v>
      </c>
      <c r="P163" s="5">
        <f>(N163-O163)/N163*100</f>
        <v>-6.8167202572347261</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Technology</v>
      </c>
      <c r="B164" s="79" t="str">
        <f>'Data shares'!C159</f>
        <v>PERSISTENT</v>
      </c>
      <c r="C164" s="4">
        <f>VLOOKUP($B164,'Data shares'!$C:$FB,7)</f>
        <v>5446.5</v>
      </c>
      <c r="D164" s="82">
        <f>VLOOKUP($B164,'Data shares'!$C:$FB,98)</f>
        <v>8357700</v>
      </c>
      <c r="E164" s="165">
        <f>VLOOKUP(B164,'Snapshot (Volume)'!$A$7:$G$168,7,0)</f>
        <v>8160800</v>
      </c>
      <c r="F164" s="165">
        <f t="shared" si="54"/>
        <v>196900</v>
      </c>
      <c r="G164" s="166">
        <f t="shared" si="55"/>
        <v>2.412753651602784E-2</v>
      </c>
      <c r="H164" s="165">
        <f>VLOOKUP($B164,'Data shares'!$C:$FB,66)</f>
        <v>5506000</v>
      </c>
      <c r="I164" s="165">
        <f>VLOOKUP($B164,'Data shares'!$C:$FB,67)</f>
        <v>4609300</v>
      </c>
      <c r="J164" s="81">
        <f t="shared" si="56"/>
        <v>19.454147050528281</v>
      </c>
      <c r="K164" s="5">
        <f>VLOOKUP($B164,'Data Vlaue (Cr)'!$C:$FB,99)</f>
        <v>4557</v>
      </c>
      <c r="L164" s="81">
        <f>VLOOKUP(B164,'OI(Value)'!$A$7:$C$232,3,0)</f>
        <v>107</v>
      </c>
      <c r="M164" s="33">
        <f t="shared" si="57"/>
        <v>2.3480359885889839</v>
      </c>
      <c r="N164" s="5">
        <f>VLOOKUP($B164,'Data Vlaue (Cr)'!$C:$FB,67)</f>
        <v>3002</v>
      </c>
      <c r="O164" s="5">
        <f>VLOOKUP($B164,'Data Vlaue (Cr)'!$C:$FB,68)</f>
        <v>2513</v>
      </c>
      <c r="P164" s="5">
        <f>(N164-O164)/N164*100</f>
        <v>16.289140572951368</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VLOOKUP(B165,'OI(Value)'!$A$7:$C$232,3,0)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shares'!B220</f>
        <v>Pharma</v>
      </c>
      <c r="B166" s="79" t="str">
        <f>'Data shares'!C220</f>
        <v>ZYDUSLIFE</v>
      </c>
      <c r="C166" s="4">
        <f>VLOOKUP($B166,'Data shares'!$C:$FB,7)</f>
        <v>943.95</v>
      </c>
      <c r="D166" s="82">
        <f>VLOOKUP($B166,'Data shares'!$C:$FB,98)</f>
        <v>14497200</v>
      </c>
      <c r="E166" s="165" t="e">
        <f>VLOOKUP(B166,'Snapshot (Volume)'!$A$7:$G$168,7,0)</f>
        <v>#N/A</v>
      </c>
      <c r="F166" s="165" t="e">
        <f t="shared" si="54"/>
        <v>#N/A</v>
      </c>
      <c r="G166" s="166" t="e">
        <f t="shared" si="55"/>
        <v>#N/A</v>
      </c>
      <c r="H166" s="165">
        <f>VLOOKUP($B166,'Data shares'!$C:$FB,66)</f>
        <v>5775300</v>
      </c>
      <c r="I166" s="165">
        <f>VLOOKUP($B166,'Data shares'!$C:$FB,67)</f>
        <v>4833900</v>
      </c>
      <c r="J166" s="81">
        <f t="shared" si="56"/>
        <v>19.474958108359711</v>
      </c>
      <c r="K166" s="5">
        <f>VLOOKUP($B166,'Data Vlaue (Cr)'!$C:$FB,99)</f>
        <v>1372</v>
      </c>
      <c r="L166" s="81">
        <f>VLOOKUP(B166,'OI(Value)'!$A$7:$C$232,3,0)</f>
        <v>-25</v>
      </c>
      <c r="M166" s="33">
        <f t="shared" si="57"/>
        <v>-1.8221574344023324</v>
      </c>
      <c r="N166" s="5">
        <f>VLOOKUP($B166,'Data Vlaue (Cr)'!$C:$FB,67)</f>
        <v>546</v>
      </c>
      <c r="O166" s="5">
        <f>VLOOKUP($B166,'Data Vlaue (Cr)'!$C:$FB,68)</f>
        <v>457</v>
      </c>
      <c r="P166" s="5">
        <f>(N166-O166)/N166*100</f>
        <v>16.300366300366299</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8"/>
  <sheetViews>
    <sheetView zoomScale="85" zoomScaleNormal="85" workbookViewId="0">
      <pane ySplit="6" topLeftCell="A7" activePane="bottomLeft" state="frozen"/>
      <selection activeCell="Q163" sqref="Q163"/>
      <selection pane="bottomLeft" activeCell="A7" sqref="A7:A225"/>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5" t="s">
        <v>334</v>
      </c>
      <c r="B3" s="276"/>
      <c r="C3" s="276"/>
      <c r="D3" s="277"/>
      <c r="E3" s="278"/>
      <c r="F3" s="278"/>
      <c r="G3" s="278"/>
      <c r="H3" s="278"/>
      <c r="I3" s="278"/>
      <c r="J3" s="278"/>
      <c r="K3" s="278"/>
      <c r="L3" s="278"/>
      <c r="M3" s="278"/>
      <c r="N3" s="278"/>
      <c r="O3" s="279"/>
    </row>
    <row r="4" spans="1:15" s="84" customFormat="1" x14ac:dyDescent="0.25">
      <c r="A4" s="272" t="s">
        <v>330</v>
      </c>
      <c r="B4" s="272" t="s">
        <v>340</v>
      </c>
      <c r="C4" s="272"/>
      <c r="D4" s="272"/>
      <c r="E4" s="272"/>
      <c r="F4" s="272"/>
      <c r="G4" s="272"/>
      <c r="H4" s="272"/>
      <c r="I4" s="272"/>
      <c r="J4" s="272"/>
      <c r="K4" s="272"/>
      <c r="L4" s="272"/>
      <c r="M4" s="272"/>
      <c r="N4" s="272"/>
      <c r="O4" s="272"/>
    </row>
    <row r="5" spans="1:15" s="84" customFormat="1" x14ac:dyDescent="0.25">
      <c r="A5" s="273"/>
      <c r="B5" s="273" t="s">
        <v>314</v>
      </c>
      <c r="C5" s="273"/>
      <c r="D5" s="273"/>
      <c r="E5" s="273" t="s">
        <v>341</v>
      </c>
      <c r="F5" s="273"/>
      <c r="G5" s="273"/>
      <c r="H5" s="273" t="s">
        <v>336</v>
      </c>
      <c r="I5" s="273"/>
      <c r="J5" s="273"/>
      <c r="K5" s="273" t="s">
        <v>342</v>
      </c>
      <c r="L5" s="273"/>
      <c r="M5" s="273"/>
      <c r="N5" s="273" t="s">
        <v>338</v>
      </c>
      <c r="O5" s="273"/>
    </row>
    <row r="6" spans="1:15" s="84" customFormat="1" x14ac:dyDescent="0.25">
      <c r="A6" s="71" t="s">
        <v>318</v>
      </c>
      <c r="B6" s="66">
        <f>'OI(Value)'!B6</f>
        <v>46129</v>
      </c>
      <c r="C6" s="71" t="s">
        <v>333</v>
      </c>
      <c r="D6" s="71" t="s">
        <v>328</v>
      </c>
      <c r="E6" s="66">
        <f>B6</f>
        <v>46129</v>
      </c>
      <c r="F6" s="71" t="s">
        <v>333</v>
      </c>
      <c r="G6" s="71" t="s">
        <v>328</v>
      </c>
      <c r="H6" s="66">
        <f>B6</f>
        <v>46129</v>
      </c>
      <c r="I6" s="71" t="s">
        <v>333</v>
      </c>
      <c r="J6" s="71" t="s">
        <v>328</v>
      </c>
      <c r="K6" s="66">
        <f>B6</f>
        <v>46129</v>
      </c>
      <c r="L6" s="71" t="s">
        <v>333</v>
      </c>
      <c r="M6" s="71" t="s">
        <v>328</v>
      </c>
      <c r="N6" s="71" t="s">
        <v>339</v>
      </c>
      <c r="O6" s="71" t="s">
        <v>328</v>
      </c>
    </row>
    <row r="7" spans="1:15" x14ac:dyDescent="0.25">
      <c r="A7" s="100" t="str">
        <f>'Data Vlaue (Cr)'!C2</f>
        <v>360ONE</v>
      </c>
      <c r="B7" s="82">
        <f>VLOOKUP(A7,'Data shares'!$C$2:$CV$220,98,0)</f>
        <v>9868000</v>
      </c>
      <c r="C7" s="82">
        <f>VLOOKUP(A7,'Data shares'!$C$2:$CX$220,100,0)</f>
        <v>869000</v>
      </c>
      <c r="D7" s="141">
        <f>VLOOKUP(A7,'Data shares'!$C$2:$CY$543,101,0)</f>
        <v>9.6600000000000005E-2</v>
      </c>
      <c r="E7" s="86">
        <f>VLOOKUP($A7,'Data shares'!$C:$FA,74)</f>
        <v>5905500</v>
      </c>
      <c r="F7" s="86">
        <f>VLOOKUP($A7,'Data shares'!$C:$FA,76)</f>
        <v>240000</v>
      </c>
      <c r="G7" s="87">
        <f>VLOOKUP(A7,'Data shares'!$C$2:$CA$220,77,0)</f>
        <v>4.24E-2</v>
      </c>
      <c r="H7" s="86">
        <f>VLOOKUP($A7,'Data shares'!$C:$FA,90)</f>
        <v>1780500</v>
      </c>
      <c r="I7" s="86">
        <f>VLOOKUP($A7,'Data shares'!$C:$FA,92)</f>
        <v>310000</v>
      </c>
      <c r="J7" s="87">
        <f>VLOOKUP($A7,'Data shares'!$C:$FA,93)</f>
        <v>0.21079999999999999</v>
      </c>
      <c r="K7" s="86">
        <f>VLOOKUP($A7,'Data shares'!$C:$FA,94)</f>
        <v>2182000</v>
      </c>
      <c r="L7" s="86">
        <f>VLOOKUP($A7,'Data shares'!$C:$FA,96)</f>
        <v>319000</v>
      </c>
      <c r="M7" s="87">
        <f>VLOOKUP($A7,'Data shares'!$C:$FA,97)</f>
        <v>0.17119999999999999</v>
      </c>
      <c r="N7" s="86">
        <f>VLOOKUP($A7,'Data shares'!$C:$FA,78)</f>
        <v>5379500</v>
      </c>
      <c r="O7" s="87">
        <f>VLOOKUP($A7,'Data shares'!$C:$FA,81)</f>
        <v>4.58E-2</v>
      </c>
    </row>
    <row r="8" spans="1:15" x14ac:dyDescent="0.25">
      <c r="A8" s="100" t="str">
        <f>'Data Vlaue (Cr)'!C3</f>
        <v>ABB</v>
      </c>
      <c r="B8" s="82">
        <f>VLOOKUP(A8,'Data shares'!$C$2:$CV$220,98,0)</f>
        <v>4534125</v>
      </c>
      <c r="C8" s="82">
        <f>VLOOKUP(A8,'Data shares'!$C$2:$CX$220,100,0)</f>
        <v>115000</v>
      </c>
      <c r="D8" s="141">
        <f>VLOOKUP(A8,'Data shares'!$C$2:$CY$543,101,0)</f>
        <v>2.5999999999999999E-2</v>
      </c>
      <c r="E8" s="86">
        <f>VLOOKUP($A8,'Data shares'!$C:$FA,74)</f>
        <v>2403125</v>
      </c>
      <c r="F8" s="86">
        <f>VLOOKUP($A8,'Data shares'!$C:$FA,76)</f>
        <v>10500</v>
      </c>
      <c r="G8" s="87">
        <f>VLOOKUP(A8,'Data shares'!$C$2:$CA$220,77,0)</f>
        <v>4.4000000000000003E-3</v>
      </c>
      <c r="H8" s="86">
        <f>VLOOKUP($A8,'Data shares'!$C:$FA,90)</f>
        <v>999500</v>
      </c>
      <c r="I8" s="86">
        <f>VLOOKUP($A8,'Data shares'!$C:$FA,92)</f>
        <v>20250</v>
      </c>
      <c r="J8" s="87">
        <f>VLOOKUP($A8,'Data shares'!$C:$FA,93)</f>
        <v>2.07E-2</v>
      </c>
      <c r="K8" s="86">
        <f>VLOOKUP($A8,'Data shares'!$C:$FA,94)</f>
        <v>1131500</v>
      </c>
      <c r="L8" s="86">
        <f>VLOOKUP($A8,'Data shares'!$C:$FA,96)</f>
        <v>84250</v>
      </c>
      <c r="M8" s="87">
        <f>VLOOKUP($A8,'Data shares'!$C:$FA,97)</f>
        <v>8.0399999999999999E-2</v>
      </c>
      <c r="N8" s="86">
        <f>VLOOKUP($A8,'Data shares'!$C:$FA,78)</f>
        <v>2247250</v>
      </c>
      <c r="O8" s="87">
        <f>VLOOKUP($A8,'Data shares'!$C:$FA,81)</f>
        <v>-1.1000000000000001E-3</v>
      </c>
    </row>
    <row r="9" spans="1:15" x14ac:dyDescent="0.25">
      <c r="A9" s="100" t="str">
        <f>'Data Vlaue (Cr)'!C4</f>
        <v>ABCAPITAL</v>
      </c>
      <c r="B9" s="82">
        <f>VLOOKUP(A9,'Data shares'!$C$2:$CV$220,98,0)</f>
        <v>70075500</v>
      </c>
      <c r="C9" s="82">
        <f>VLOOKUP(A9,'Data shares'!$C$2:$CX$220,100,0)</f>
        <v>5809400</v>
      </c>
      <c r="D9" s="141">
        <f>VLOOKUP(A9,'Data shares'!$C$2:$CY$543,101,0)</f>
        <v>9.0399999999999994E-2</v>
      </c>
      <c r="E9" s="86">
        <f>VLOOKUP($A9,'Data shares'!$C:$FA,74)</f>
        <v>43542600</v>
      </c>
      <c r="F9" s="86">
        <f>VLOOKUP($A9,'Data shares'!$C:$FA,76)</f>
        <v>-486700</v>
      </c>
      <c r="G9" s="87">
        <f>VLOOKUP(A9,'Data shares'!$C$2:$CA$220,77,0)</f>
        <v>-1.11E-2</v>
      </c>
      <c r="H9" s="86">
        <f>VLOOKUP($A9,'Data shares'!$C:$FA,90)</f>
        <v>16433100</v>
      </c>
      <c r="I9" s="86">
        <f>VLOOKUP($A9,'Data shares'!$C:$FA,92)</f>
        <v>5074700</v>
      </c>
      <c r="J9" s="87">
        <f>VLOOKUP($A9,'Data shares'!$C:$FA,93)</f>
        <v>0.44679999999999997</v>
      </c>
      <c r="K9" s="86">
        <f>VLOOKUP($A9,'Data shares'!$C:$FA,94)</f>
        <v>10099800</v>
      </c>
      <c r="L9" s="86">
        <f>VLOOKUP($A9,'Data shares'!$C:$FA,96)</f>
        <v>1221400</v>
      </c>
      <c r="M9" s="87">
        <f>VLOOKUP($A9,'Data shares'!$C:$FA,97)</f>
        <v>0.1376</v>
      </c>
      <c r="N9" s="86">
        <f>VLOOKUP($A9,'Data shares'!$C:$FA,78)</f>
        <v>42559900</v>
      </c>
      <c r="O9" s="87">
        <f>VLOOKUP($A9,'Data shares'!$C:$FA,81)</f>
        <v>-1.46E-2</v>
      </c>
    </row>
    <row r="10" spans="1:15" x14ac:dyDescent="0.25">
      <c r="A10" s="100" t="str">
        <f>'Data Vlaue (Cr)'!C5</f>
        <v>ADANIENSOL</v>
      </c>
      <c r="B10" s="82">
        <f>VLOOKUP(A10,'Data shares'!$C$2:$CV$220,98,0)</f>
        <v>29965275</v>
      </c>
      <c r="C10" s="82">
        <f>VLOOKUP(A10,'Data shares'!$C$2:$CX$220,100,0)</f>
        <v>1979100</v>
      </c>
      <c r="D10" s="141">
        <f>VLOOKUP(A10,'Data shares'!$C$2:$CY$543,101,0)</f>
        <v>7.0699999999999999E-2</v>
      </c>
      <c r="E10" s="86">
        <f>VLOOKUP($A10,'Data shares'!$C:$FA,74)</f>
        <v>23224725</v>
      </c>
      <c r="F10" s="86">
        <f>VLOOKUP($A10,'Data shares'!$C:$FA,76)</f>
        <v>1602450</v>
      </c>
      <c r="G10" s="87">
        <f>VLOOKUP(A10,'Data shares'!$C$2:$CA$220,77,0)</f>
        <v>7.4099999999999999E-2</v>
      </c>
      <c r="H10" s="86">
        <f>VLOOKUP($A10,'Data shares'!$C:$FA,90)</f>
        <v>3996675</v>
      </c>
      <c r="I10" s="86">
        <f>VLOOKUP($A10,'Data shares'!$C:$FA,92)</f>
        <v>257175</v>
      </c>
      <c r="J10" s="87">
        <f>VLOOKUP($A10,'Data shares'!$C:$FA,93)</f>
        <v>6.88E-2</v>
      </c>
      <c r="K10" s="86">
        <f>VLOOKUP($A10,'Data shares'!$C:$FA,94)</f>
        <v>2743875</v>
      </c>
      <c r="L10" s="86">
        <f>VLOOKUP($A10,'Data shares'!$C:$FA,96)</f>
        <v>119475</v>
      </c>
      <c r="M10" s="87">
        <f>VLOOKUP($A10,'Data shares'!$C:$FA,97)</f>
        <v>4.5499999999999999E-2</v>
      </c>
      <c r="N10" s="86">
        <f>VLOOKUP($A10,'Data shares'!$C:$FA,78)</f>
        <v>19971225</v>
      </c>
      <c r="O10" s="87">
        <f>VLOOKUP($A10,'Data shares'!$C:$FA,81)</f>
        <v>8.5800000000000001E-2</v>
      </c>
    </row>
    <row r="11" spans="1:15" x14ac:dyDescent="0.25">
      <c r="A11" s="100" t="str">
        <f>'Data Vlaue (Cr)'!C6</f>
        <v>ADANIENT</v>
      </c>
      <c r="B11" s="82">
        <f>VLOOKUP(A11,'Data shares'!$C$2:$CV$220,98,0)</f>
        <v>31390692</v>
      </c>
      <c r="C11" s="82">
        <f>VLOOKUP(A11,'Data shares'!$C$2:$CX$220,100,0)</f>
        <v>643956</v>
      </c>
      <c r="D11" s="141">
        <f>VLOOKUP(A11,'Data shares'!$C$2:$CY$543,101,0)</f>
        <v>2.0899999999999998E-2</v>
      </c>
      <c r="E11" s="86">
        <f>VLOOKUP($A11,'Data shares'!$C:$FA,74)</f>
        <v>17311107</v>
      </c>
      <c r="F11" s="86">
        <f>VLOOKUP($A11,'Data shares'!$C:$FA,76)</f>
        <v>252144</v>
      </c>
      <c r="G11" s="87">
        <f>VLOOKUP(A11,'Data shares'!$C$2:$CA$220,77,0)</f>
        <v>1.4800000000000001E-2</v>
      </c>
      <c r="H11" s="86">
        <f>VLOOKUP($A11,'Data shares'!$C:$FA,90)</f>
        <v>7272315</v>
      </c>
      <c r="I11" s="86">
        <f>VLOOKUP($A11,'Data shares'!$C:$FA,92)</f>
        <v>383778</v>
      </c>
      <c r="J11" s="87">
        <f>VLOOKUP($A11,'Data shares'!$C:$FA,93)</f>
        <v>5.57E-2</v>
      </c>
      <c r="K11" s="86">
        <f>VLOOKUP($A11,'Data shares'!$C:$FA,94)</f>
        <v>6807270</v>
      </c>
      <c r="L11" s="86">
        <f>VLOOKUP($A11,'Data shares'!$C:$FA,96)</f>
        <v>8034</v>
      </c>
      <c r="M11" s="87">
        <f>VLOOKUP($A11,'Data shares'!$C:$FA,97)</f>
        <v>1.1999999999999999E-3</v>
      </c>
      <c r="N11" s="86">
        <f>VLOOKUP($A11,'Data shares'!$C:$FA,78)</f>
        <v>15672480</v>
      </c>
      <c r="O11" s="87">
        <f>VLOOKUP($A11,'Data shares'!$C:$FA,81)</f>
        <v>1.1999999999999999E-3</v>
      </c>
    </row>
    <row r="12" spans="1:15" x14ac:dyDescent="0.25">
      <c r="A12" s="100" t="str">
        <f>'Data Vlaue (Cr)'!C7</f>
        <v>ADANIGREEN</v>
      </c>
      <c r="B12" s="82">
        <f>VLOOKUP(A12,'Data shares'!$C$2:$CV$220,98,0)</f>
        <v>36141600</v>
      </c>
      <c r="C12" s="82">
        <f>VLOOKUP(A12,'Data shares'!$C$2:$CX$220,100,0)</f>
        <v>465000</v>
      </c>
      <c r="D12" s="141">
        <f>VLOOKUP(A12,'Data shares'!$C$2:$CY$543,101,0)</f>
        <v>1.2999999999999999E-2</v>
      </c>
      <c r="E12" s="86">
        <f>VLOOKUP($A12,'Data shares'!$C:$FA,74)</f>
        <v>21190200</v>
      </c>
      <c r="F12" s="86">
        <f>VLOOKUP($A12,'Data shares'!$C:$FA,76)</f>
        <v>141000</v>
      </c>
      <c r="G12" s="87">
        <f>VLOOKUP(A12,'Data shares'!$C$2:$CA$220,77,0)</f>
        <v>6.7000000000000002E-3</v>
      </c>
      <c r="H12" s="86">
        <f>VLOOKUP($A12,'Data shares'!$C:$FA,90)</f>
        <v>8115600</v>
      </c>
      <c r="I12" s="86">
        <f>VLOOKUP($A12,'Data shares'!$C:$FA,92)</f>
        <v>247200</v>
      </c>
      <c r="J12" s="87">
        <f>VLOOKUP($A12,'Data shares'!$C:$FA,93)</f>
        <v>3.1399999999999997E-2</v>
      </c>
      <c r="K12" s="86">
        <f>VLOOKUP($A12,'Data shares'!$C:$FA,94)</f>
        <v>6835800</v>
      </c>
      <c r="L12" s="86">
        <f>VLOOKUP($A12,'Data shares'!$C:$FA,96)</f>
        <v>76800</v>
      </c>
      <c r="M12" s="87">
        <f>VLOOKUP($A12,'Data shares'!$C:$FA,97)</f>
        <v>1.14E-2</v>
      </c>
      <c r="N12" s="86">
        <f>VLOOKUP($A12,'Data shares'!$C:$FA,78)</f>
        <v>20438400</v>
      </c>
      <c r="O12" s="87">
        <f>VLOOKUP($A12,'Data shares'!$C:$FA,81)</f>
        <v>1.5E-3</v>
      </c>
    </row>
    <row r="13" spans="1:15" x14ac:dyDescent="0.25">
      <c r="A13" s="100" t="str">
        <f>'Data Vlaue (Cr)'!C8</f>
        <v>ADANIPORTS</v>
      </c>
      <c r="B13" s="82">
        <f>VLOOKUP(A13,'Data shares'!$C$2:$CV$220,98,0)</f>
        <v>37163525</v>
      </c>
      <c r="C13" s="82">
        <f>VLOOKUP(A13,'Data shares'!$C$2:$CX$220,100,0)</f>
        <v>1762250</v>
      </c>
      <c r="D13" s="141">
        <f>VLOOKUP(A13,'Data shares'!$C$2:$CY$543,101,0)</f>
        <v>4.9799999999999997E-2</v>
      </c>
      <c r="E13" s="86">
        <f>VLOOKUP($A13,'Data shares'!$C:$FA,74)</f>
        <v>19844075</v>
      </c>
      <c r="F13" s="86">
        <f>VLOOKUP($A13,'Data shares'!$C:$FA,76)</f>
        <v>-78375</v>
      </c>
      <c r="G13" s="87">
        <f>VLOOKUP(A13,'Data shares'!$C$2:$CA$220,77,0)</f>
        <v>-3.8999999999999998E-3</v>
      </c>
      <c r="H13" s="86">
        <f>VLOOKUP($A13,'Data shares'!$C:$FA,90)</f>
        <v>9410225</v>
      </c>
      <c r="I13" s="86">
        <f>VLOOKUP($A13,'Data shares'!$C:$FA,92)</f>
        <v>993700</v>
      </c>
      <c r="J13" s="87">
        <f>VLOOKUP($A13,'Data shares'!$C:$FA,93)</f>
        <v>0.1181</v>
      </c>
      <c r="K13" s="86">
        <f>VLOOKUP($A13,'Data shares'!$C:$FA,94)</f>
        <v>7909225</v>
      </c>
      <c r="L13" s="86">
        <f>VLOOKUP($A13,'Data shares'!$C:$FA,96)</f>
        <v>846925</v>
      </c>
      <c r="M13" s="87">
        <f>VLOOKUP($A13,'Data shares'!$C:$FA,97)</f>
        <v>0.11990000000000001</v>
      </c>
      <c r="N13" s="86">
        <f>VLOOKUP($A13,'Data shares'!$C:$FA,78)</f>
        <v>16932325</v>
      </c>
      <c r="O13" s="87">
        <f>VLOOKUP($A13,'Data shares'!$C:$FA,81)</f>
        <v>-1.03E-2</v>
      </c>
    </row>
    <row r="14" spans="1:15" x14ac:dyDescent="0.25">
      <c r="A14" s="100" t="str">
        <f>'Data Vlaue (Cr)'!C9</f>
        <v>ADANIPOWER</v>
      </c>
      <c r="B14" s="82">
        <f>VLOOKUP(A14,'Data shares'!$C$2:$CV$220,98,0)</f>
        <v>134811250</v>
      </c>
      <c r="C14" s="82">
        <f>VLOOKUP(A14,'Data shares'!$C$2:$CX$220,100,0)</f>
        <v>18481300</v>
      </c>
      <c r="D14" s="141">
        <f>VLOOKUP(A14,'Data shares'!$C$2:$CY$543,101,0)</f>
        <v>0.15890000000000001</v>
      </c>
      <c r="E14" s="86">
        <f>VLOOKUP($A14,'Data shares'!$C:$FA,74)</f>
        <v>83325600</v>
      </c>
      <c r="F14" s="86">
        <f>VLOOKUP($A14,'Data shares'!$C:$FA,76)</f>
        <v>12673500</v>
      </c>
      <c r="G14" s="87">
        <f>VLOOKUP(A14,'Data shares'!$C$2:$CA$220,77,0)</f>
        <v>0.1794</v>
      </c>
      <c r="H14" s="86">
        <f>VLOOKUP($A14,'Data shares'!$C:$FA,90)</f>
        <v>29564400</v>
      </c>
      <c r="I14" s="86">
        <f>VLOOKUP($A14,'Data shares'!$C:$FA,92)</f>
        <v>1672050</v>
      </c>
      <c r="J14" s="87">
        <f>VLOOKUP($A14,'Data shares'!$C:$FA,93)</f>
        <v>5.9900000000000002E-2</v>
      </c>
      <c r="K14" s="86">
        <f>VLOOKUP($A14,'Data shares'!$C:$FA,94)</f>
        <v>21921250</v>
      </c>
      <c r="L14" s="86">
        <f>VLOOKUP($A14,'Data shares'!$C:$FA,96)</f>
        <v>4135750</v>
      </c>
      <c r="M14" s="87">
        <f>VLOOKUP($A14,'Data shares'!$C:$FA,97)</f>
        <v>0.23250000000000001</v>
      </c>
      <c r="N14" s="86">
        <f>VLOOKUP($A14,'Data shares'!$C:$FA,78)</f>
        <v>77184100</v>
      </c>
      <c r="O14" s="87">
        <f>VLOOKUP($A14,'Data shares'!$C:$FA,81)</f>
        <v>0.1827</v>
      </c>
    </row>
    <row r="15" spans="1:15" x14ac:dyDescent="0.25">
      <c r="A15" s="100" t="str">
        <f>'Data Vlaue (Cr)'!C10</f>
        <v>ALKEM</v>
      </c>
      <c r="B15" s="82">
        <f>VLOOKUP(A15,'Data shares'!$C$2:$CV$220,98,0)</f>
        <v>1606750</v>
      </c>
      <c r="C15" s="82">
        <f>VLOOKUP(A15,'Data shares'!$C$2:$CX$220,100,0)</f>
        <v>49625</v>
      </c>
      <c r="D15" s="141">
        <f>VLOOKUP(A15,'Data shares'!$C$2:$CY$543,101,0)</f>
        <v>3.1899999999999998E-2</v>
      </c>
      <c r="E15" s="86">
        <f>VLOOKUP($A15,'Data shares'!$C:$FA,74)</f>
        <v>1174750</v>
      </c>
      <c r="F15" s="86">
        <f>VLOOKUP($A15,'Data shares'!$C:$FA,76)</f>
        <v>17625</v>
      </c>
      <c r="G15" s="87">
        <f>VLOOKUP(A15,'Data shares'!$C$2:$CA$220,77,0)</f>
        <v>1.52E-2</v>
      </c>
      <c r="H15" s="86">
        <f>VLOOKUP($A15,'Data shares'!$C:$FA,90)</f>
        <v>280000</v>
      </c>
      <c r="I15" s="86">
        <f>VLOOKUP($A15,'Data shares'!$C:$FA,92)</f>
        <v>30250</v>
      </c>
      <c r="J15" s="87">
        <f>VLOOKUP($A15,'Data shares'!$C:$FA,93)</f>
        <v>0.1211</v>
      </c>
      <c r="K15" s="86">
        <f>VLOOKUP($A15,'Data shares'!$C:$FA,94)</f>
        <v>152000</v>
      </c>
      <c r="L15" s="86">
        <f>VLOOKUP($A15,'Data shares'!$C:$FA,96)</f>
        <v>1750</v>
      </c>
      <c r="M15" s="87">
        <f>VLOOKUP($A15,'Data shares'!$C:$FA,97)</f>
        <v>1.1599999999999999E-2</v>
      </c>
      <c r="N15" s="86">
        <f>VLOOKUP($A15,'Data shares'!$C:$FA,78)</f>
        <v>1163375</v>
      </c>
      <c r="O15" s="87">
        <f>VLOOKUP($A15,'Data shares'!$C:$FA,81)</f>
        <v>1.43E-2</v>
      </c>
    </row>
    <row r="16" spans="1:15" x14ac:dyDescent="0.25">
      <c r="A16" s="100" t="str">
        <f>'Data Vlaue (Cr)'!C11</f>
        <v>AMBER</v>
      </c>
      <c r="B16" s="82">
        <f>VLOOKUP(A16,'Data shares'!$C$2:$CV$220,98,0)</f>
        <v>3063900</v>
      </c>
      <c r="C16" s="82">
        <f>VLOOKUP(A16,'Data shares'!$C$2:$CX$220,100,0)</f>
        <v>58900</v>
      </c>
      <c r="D16" s="141">
        <f>VLOOKUP(A16,'Data shares'!$C$2:$CY$543,101,0)</f>
        <v>1.9599999999999999E-2</v>
      </c>
      <c r="E16" s="86">
        <f>VLOOKUP($A16,'Data shares'!$C:$FA,74)</f>
        <v>1276000</v>
      </c>
      <c r="F16" s="86">
        <f>VLOOKUP($A16,'Data shares'!$C:$FA,76)</f>
        <v>-49500</v>
      </c>
      <c r="G16" s="87">
        <f>VLOOKUP(A16,'Data shares'!$C$2:$CA$220,77,0)</f>
        <v>-3.73E-2</v>
      </c>
      <c r="H16" s="86">
        <f>VLOOKUP($A16,'Data shares'!$C:$FA,90)</f>
        <v>1005300</v>
      </c>
      <c r="I16" s="86">
        <f>VLOOKUP($A16,'Data shares'!$C:$FA,92)</f>
        <v>40600</v>
      </c>
      <c r="J16" s="87">
        <f>VLOOKUP($A16,'Data shares'!$C:$FA,93)</f>
        <v>4.2099999999999999E-2</v>
      </c>
      <c r="K16" s="86">
        <f>VLOOKUP($A16,'Data shares'!$C:$FA,94)</f>
        <v>782600</v>
      </c>
      <c r="L16" s="86">
        <f>VLOOKUP($A16,'Data shares'!$C:$FA,96)</f>
        <v>67800</v>
      </c>
      <c r="M16" s="87">
        <f>VLOOKUP($A16,'Data shares'!$C:$FA,97)</f>
        <v>9.4899999999999998E-2</v>
      </c>
      <c r="N16" s="86">
        <f>VLOOKUP($A16,'Data shares'!$C:$FA,78)</f>
        <v>1197600</v>
      </c>
      <c r="O16" s="87">
        <f>VLOOKUP($A16,'Data shares'!$C:$FA,81)</f>
        <v>-4.2099999999999999E-2</v>
      </c>
    </row>
    <row r="17" spans="1:15" x14ac:dyDescent="0.25">
      <c r="A17" s="100" t="str">
        <f>'Data Vlaue (Cr)'!C12</f>
        <v>AMBUJACEM</v>
      </c>
      <c r="B17" s="82">
        <f>VLOOKUP(A17,'Data shares'!$C$2:$CV$220,98,0)</f>
        <v>80276700</v>
      </c>
      <c r="C17" s="82">
        <f>VLOOKUP(A17,'Data shares'!$C$2:$CX$220,100,0)</f>
        <v>-229950</v>
      </c>
      <c r="D17" s="141">
        <f>VLOOKUP(A17,'Data shares'!$C$2:$CY$543,101,0)</f>
        <v>-2.8999999999999998E-3</v>
      </c>
      <c r="E17" s="86">
        <f>VLOOKUP($A17,'Data shares'!$C:$FA,74)</f>
        <v>59653650</v>
      </c>
      <c r="F17" s="86">
        <f>VLOOKUP($A17,'Data shares'!$C:$FA,76)</f>
        <v>-205800</v>
      </c>
      <c r="G17" s="87">
        <f>VLOOKUP(A17,'Data shares'!$C$2:$CA$220,77,0)</f>
        <v>-3.3999999999999998E-3</v>
      </c>
      <c r="H17" s="86">
        <f>VLOOKUP($A17,'Data shares'!$C:$FA,90)</f>
        <v>10616550</v>
      </c>
      <c r="I17" s="86">
        <f>VLOOKUP($A17,'Data shares'!$C:$FA,92)</f>
        <v>-15750</v>
      </c>
      <c r="J17" s="87">
        <f>VLOOKUP($A17,'Data shares'!$C:$FA,93)</f>
        <v>-1.5E-3</v>
      </c>
      <c r="K17" s="86">
        <f>VLOOKUP($A17,'Data shares'!$C:$FA,94)</f>
        <v>10006500</v>
      </c>
      <c r="L17" s="86">
        <f>VLOOKUP($A17,'Data shares'!$C:$FA,96)</f>
        <v>-8400</v>
      </c>
      <c r="M17" s="87">
        <f>VLOOKUP($A17,'Data shares'!$C:$FA,97)</f>
        <v>-8.0000000000000004E-4</v>
      </c>
      <c r="N17" s="86">
        <f>VLOOKUP($A17,'Data shares'!$C:$FA,78)</f>
        <v>51263100</v>
      </c>
      <c r="O17" s="87">
        <f>VLOOKUP($A17,'Data shares'!$C:$FA,81)</f>
        <v>-8.0000000000000002E-3</v>
      </c>
    </row>
    <row r="18" spans="1:15" x14ac:dyDescent="0.25">
      <c r="A18" s="100" t="str">
        <f>'Data Vlaue (Cr)'!C13</f>
        <v>ANGELONE</v>
      </c>
      <c r="B18" s="82">
        <f>VLOOKUP(A18,'Data shares'!$C$2:$CV$220,98,0)</f>
        <v>104005000</v>
      </c>
      <c r="C18" s="82">
        <f>VLOOKUP(A18,'Data shares'!$C$2:$CX$220,100,0)</f>
        <v>21812500</v>
      </c>
      <c r="D18" s="141">
        <f>VLOOKUP(A18,'Data shares'!$C$2:$CY$543,101,0)</f>
        <v>0.26540000000000002</v>
      </c>
      <c r="E18" s="86">
        <f>VLOOKUP($A18,'Data shares'!$C:$FA,74)</f>
        <v>31820000</v>
      </c>
      <c r="F18" s="86">
        <f>VLOOKUP($A18,'Data shares'!$C:$FA,76)</f>
        <v>1017500</v>
      </c>
      <c r="G18" s="87">
        <f>VLOOKUP(A18,'Data shares'!$C$2:$CA$220,77,0)</f>
        <v>3.3000000000000002E-2</v>
      </c>
      <c r="H18" s="86">
        <f>VLOOKUP($A18,'Data shares'!$C:$FA,90)</f>
        <v>32425000</v>
      </c>
      <c r="I18" s="86">
        <f>VLOOKUP($A18,'Data shares'!$C:$FA,92)</f>
        <v>2532500</v>
      </c>
      <c r="J18" s="87">
        <f>VLOOKUP($A18,'Data shares'!$C:$FA,93)</f>
        <v>8.4699999999999998E-2</v>
      </c>
      <c r="K18" s="86">
        <f>VLOOKUP($A18,'Data shares'!$C:$FA,94)</f>
        <v>39760000</v>
      </c>
      <c r="L18" s="86">
        <f>VLOOKUP($A18,'Data shares'!$C:$FA,96)</f>
        <v>18262500</v>
      </c>
      <c r="M18" s="87">
        <f>VLOOKUP($A18,'Data shares'!$C:$FA,97)</f>
        <v>0.84950000000000003</v>
      </c>
      <c r="N18" s="86">
        <f>VLOOKUP($A18,'Data shares'!$C:$FA,78)</f>
        <v>26377500</v>
      </c>
      <c r="O18" s="87">
        <f>VLOOKUP($A18,'Data shares'!$C:$FA,81)</f>
        <v>1.2699999999999999E-2</v>
      </c>
    </row>
    <row r="19" spans="1:15" x14ac:dyDescent="0.25">
      <c r="A19" s="100" t="str">
        <f>'Data Vlaue (Cr)'!C14</f>
        <v>APLAPOLLO</v>
      </c>
      <c r="B19" s="82">
        <f>VLOOKUP(A19,'Data shares'!$C$2:$CV$220,98,0)</f>
        <v>7244300</v>
      </c>
      <c r="C19" s="82">
        <f>VLOOKUP(A19,'Data shares'!$C$2:$CX$220,100,0)</f>
        <v>97650</v>
      </c>
      <c r="D19" s="141">
        <f>VLOOKUP(A19,'Data shares'!$C$2:$CY$543,101,0)</f>
        <v>1.37E-2</v>
      </c>
      <c r="E19" s="86">
        <f>VLOOKUP($A19,'Data shares'!$C:$FA,74)</f>
        <v>5087250</v>
      </c>
      <c r="F19" s="86">
        <f>VLOOKUP($A19,'Data shares'!$C:$FA,76)</f>
        <v>-31850</v>
      </c>
      <c r="G19" s="87">
        <f>VLOOKUP(A19,'Data shares'!$C$2:$CA$220,77,0)</f>
        <v>-6.1999999999999998E-3</v>
      </c>
      <c r="H19" s="86">
        <f>VLOOKUP($A19,'Data shares'!$C:$FA,90)</f>
        <v>1288350</v>
      </c>
      <c r="I19" s="86">
        <f>VLOOKUP($A19,'Data shares'!$C:$FA,92)</f>
        <v>96600</v>
      </c>
      <c r="J19" s="87">
        <f>VLOOKUP($A19,'Data shares'!$C:$FA,93)</f>
        <v>8.1100000000000005E-2</v>
      </c>
      <c r="K19" s="86">
        <f>VLOOKUP($A19,'Data shares'!$C:$FA,94)</f>
        <v>868700</v>
      </c>
      <c r="L19" s="86">
        <f>VLOOKUP($A19,'Data shares'!$C:$FA,96)</f>
        <v>32900</v>
      </c>
      <c r="M19" s="87">
        <f>VLOOKUP($A19,'Data shares'!$C:$FA,97)</f>
        <v>3.9399999999999998E-2</v>
      </c>
      <c r="N19" s="86">
        <f>VLOOKUP($A19,'Data shares'!$C:$FA,78)</f>
        <v>4515700</v>
      </c>
      <c r="O19" s="87">
        <f>VLOOKUP($A19,'Data shares'!$C:$FA,81)</f>
        <v>-8.8999999999999999E-3</v>
      </c>
    </row>
    <row r="20" spans="1:15" x14ac:dyDescent="0.25">
      <c r="A20" s="100" t="str">
        <f>'Data Vlaue (Cr)'!C15</f>
        <v>APOLLOHOSP</v>
      </c>
      <c r="B20" s="82">
        <f>VLOOKUP(A20,'Data shares'!$C$2:$CV$220,98,0)</f>
        <v>4065750</v>
      </c>
      <c r="C20" s="82">
        <f>VLOOKUP(A20,'Data shares'!$C$2:$CX$220,100,0)</f>
        <v>20000</v>
      </c>
      <c r="D20" s="141">
        <f>VLOOKUP(A20,'Data shares'!$C$2:$CY$543,101,0)</f>
        <v>4.8999999999999998E-3</v>
      </c>
      <c r="E20" s="86">
        <f>VLOOKUP($A20,'Data shares'!$C:$FA,74)</f>
        <v>2396375</v>
      </c>
      <c r="F20" s="86">
        <f>VLOOKUP($A20,'Data shares'!$C:$FA,76)</f>
        <v>-57500</v>
      </c>
      <c r="G20" s="87">
        <f>VLOOKUP(A20,'Data shares'!$C$2:$CA$220,77,0)</f>
        <v>-2.3400000000000001E-2</v>
      </c>
      <c r="H20" s="86">
        <f>VLOOKUP($A20,'Data shares'!$C:$FA,90)</f>
        <v>872625</v>
      </c>
      <c r="I20" s="86">
        <f>VLOOKUP($A20,'Data shares'!$C:$FA,92)</f>
        <v>6250</v>
      </c>
      <c r="J20" s="87">
        <f>VLOOKUP($A20,'Data shares'!$C:$FA,93)</f>
        <v>7.1999999999999998E-3</v>
      </c>
      <c r="K20" s="86">
        <f>VLOOKUP($A20,'Data shares'!$C:$FA,94)</f>
        <v>796750</v>
      </c>
      <c r="L20" s="86">
        <f>VLOOKUP($A20,'Data shares'!$C:$FA,96)</f>
        <v>71250</v>
      </c>
      <c r="M20" s="87">
        <f>VLOOKUP($A20,'Data shares'!$C:$FA,97)</f>
        <v>9.8199999999999996E-2</v>
      </c>
      <c r="N20" s="86">
        <f>VLOOKUP($A20,'Data shares'!$C:$FA,78)</f>
        <v>2281375</v>
      </c>
      <c r="O20" s="87">
        <f>VLOOKUP($A20,'Data shares'!$C:$FA,81)</f>
        <v>-2.4199999999999999E-2</v>
      </c>
    </row>
    <row r="21" spans="1:15" x14ac:dyDescent="0.25">
      <c r="A21" s="100" t="str">
        <f>'Data Vlaue (Cr)'!C16</f>
        <v>ASHOKLEY</v>
      </c>
      <c r="B21" s="82">
        <f>VLOOKUP(A21,'Data shares'!$C$2:$CV$220,98,0)</f>
        <v>298470000</v>
      </c>
      <c r="C21" s="82">
        <f>VLOOKUP(A21,'Data shares'!$C$2:$CX$220,100,0)</f>
        <v>4685000</v>
      </c>
      <c r="D21" s="141">
        <f>VLOOKUP(A21,'Data shares'!$C$2:$CY$543,101,0)</f>
        <v>1.5900000000000001E-2</v>
      </c>
      <c r="E21" s="86">
        <f>VLOOKUP($A21,'Data shares'!$C:$FA,74)</f>
        <v>137975000</v>
      </c>
      <c r="F21" s="86">
        <f>VLOOKUP($A21,'Data shares'!$C:$FA,76)</f>
        <v>560000</v>
      </c>
      <c r="G21" s="87">
        <f>VLOOKUP(A21,'Data shares'!$C$2:$CA$220,77,0)</f>
        <v>4.1000000000000003E-3</v>
      </c>
      <c r="H21" s="86">
        <f>VLOOKUP($A21,'Data shares'!$C:$FA,90)</f>
        <v>92395000</v>
      </c>
      <c r="I21" s="86">
        <f>VLOOKUP($A21,'Data shares'!$C:$FA,92)</f>
        <v>3490000</v>
      </c>
      <c r="J21" s="87">
        <f>VLOOKUP($A21,'Data shares'!$C:$FA,93)</f>
        <v>3.9300000000000002E-2</v>
      </c>
      <c r="K21" s="86">
        <f>VLOOKUP($A21,'Data shares'!$C:$FA,94)</f>
        <v>68100000</v>
      </c>
      <c r="L21" s="86">
        <f>VLOOKUP($A21,'Data shares'!$C:$FA,96)</f>
        <v>635000</v>
      </c>
      <c r="M21" s="87">
        <f>VLOOKUP($A21,'Data shares'!$C:$FA,97)</f>
        <v>9.4000000000000004E-3</v>
      </c>
      <c r="N21" s="86">
        <f>VLOOKUP($A21,'Data shares'!$C:$FA,78)</f>
        <v>124145000</v>
      </c>
      <c r="O21" s="87">
        <f>VLOOKUP($A21,'Data shares'!$C:$FA,81)</f>
        <v>-2.3699999999999999E-2</v>
      </c>
    </row>
    <row r="22" spans="1:15" x14ac:dyDescent="0.25">
      <c r="A22" s="100" t="str">
        <f>'Data Vlaue (Cr)'!C17</f>
        <v>ASIANPAINT</v>
      </c>
      <c r="B22" s="82">
        <f>VLOOKUP(A22,'Data shares'!$C$2:$CV$220,98,0)</f>
        <v>24184500</v>
      </c>
      <c r="C22" s="82">
        <f>VLOOKUP(A22,'Data shares'!$C$2:$CX$220,100,0)</f>
        <v>434000</v>
      </c>
      <c r="D22" s="141">
        <f>VLOOKUP(A22,'Data shares'!$C$2:$CY$543,101,0)</f>
        <v>1.83E-2</v>
      </c>
      <c r="E22" s="86">
        <f>VLOOKUP($A22,'Data shares'!$C:$FA,74)</f>
        <v>14574750</v>
      </c>
      <c r="F22" s="86">
        <f>VLOOKUP($A22,'Data shares'!$C:$FA,76)</f>
        <v>-332750</v>
      </c>
      <c r="G22" s="87">
        <f>VLOOKUP(A22,'Data shares'!$C$2:$CA$220,77,0)</f>
        <v>-2.23E-2</v>
      </c>
      <c r="H22" s="86">
        <f>VLOOKUP($A22,'Data shares'!$C:$FA,90)</f>
        <v>4461750</v>
      </c>
      <c r="I22" s="86">
        <f>VLOOKUP($A22,'Data shares'!$C:$FA,92)</f>
        <v>683000</v>
      </c>
      <c r="J22" s="87">
        <f>VLOOKUP($A22,'Data shares'!$C:$FA,93)</f>
        <v>0.1807</v>
      </c>
      <c r="K22" s="86">
        <f>VLOOKUP($A22,'Data shares'!$C:$FA,94)</f>
        <v>5148000</v>
      </c>
      <c r="L22" s="86">
        <f>VLOOKUP($A22,'Data shares'!$C:$FA,96)</f>
        <v>83750</v>
      </c>
      <c r="M22" s="87">
        <f>VLOOKUP($A22,'Data shares'!$C:$FA,97)</f>
        <v>1.6500000000000001E-2</v>
      </c>
      <c r="N22" s="86">
        <f>VLOOKUP($A22,'Data shares'!$C:$FA,78)</f>
        <v>12529000</v>
      </c>
      <c r="O22" s="87">
        <f>VLOOKUP($A22,'Data shares'!$C:$FA,81)</f>
        <v>-7.7200000000000005E-2</v>
      </c>
    </row>
    <row r="23" spans="1:15" x14ac:dyDescent="0.25">
      <c r="A23" s="100" t="str">
        <f>'Data Vlaue (Cr)'!C18</f>
        <v>ASTRAL</v>
      </c>
      <c r="B23" s="82">
        <f>VLOOKUP(A23,'Data shares'!$C$2:$CV$220,98,0)</f>
        <v>20852625</v>
      </c>
      <c r="C23" s="82">
        <f>VLOOKUP(A23,'Data shares'!$C$2:$CX$220,100,0)</f>
        <v>262225</v>
      </c>
      <c r="D23" s="141">
        <f>VLOOKUP(A23,'Data shares'!$C$2:$CY$543,101,0)</f>
        <v>1.2699999999999999E-2</v>
      </c>
      <c r="E23" s="86">
        <f>VLOOKUP($A23,'Data shares'!$C:$FA,74)</f>
        <v>14134225</v>
      </c>
      <c r="F23" s="86">
        <f>VLOOKUP($A23,'Data shares'!$C:$FA,76)</f>
        <v>493000</v>
      </c>
      <c r="G23" s="87">
        <f>VLOOKUP(A23,'Data shares'!$C$2:$CA$220,77,0)</f>
        <v>3.61E-2</v>
      </c>
      <c r="H23" s="86">
        <f>VLOOKUP($A23,'Data shares'!$C:$FA,90)</f>
        <v>4231725</v>
      </c>
      <c r="I23" s="86">
        <f>VLOOKUP($A23,'Data shares'!$C:$FA,92)</f>
        <v>-355725</v>
      </c>
      <c r="J23" s="87">
        <f>VLOOKUP($A23,'Data shares'!$C:$FA,93)</f>
        <v>-7.7499999999999999E-2</v>
      </c>
      <c r="K23" s="86">
        <f>VLOOKUP($A23,'Data shares'!$C:$FA,94)</f>
        <v>2486675</v>
      </c>
      <c r="L23" s="86">
        <f>VLOOKUP($A23,'Data shares'!$C:$FA,96)</f>
        <v>124950</v>
      </c>
      <c r="M23" s="87">
        <f>VLOOKUP($A23,'Data shares'!$C:$FA,97)</f>
        <v>5.2900000000000003E-2</v>
      </c>
      <c r="N23" s="86">
        <f>VLOOKUP($A23,'Data shares'!$C:$FA,78)</f>
        <v>10654325</v>
      </c>
      <c r="O23" s="87">
        <f>VLOOKUP($A23,'Data shares'!$C:$FA,81)</f>
        <v>1.8100000000000002E-2</v>
      </c>
    </row>
    <row r="24" spans="1:15" x14ac:dyDescent="0.25">
      <c r="A24" s="100" t="str">
        <f>'Data Vlaue (Cr)'!C19</f>
        <v>AUBANK</v>
      </c>
      <c r="B24" s="82">
        <f>VLOOKUP(A24,'Data shares'!$C$2:$CV$220,98,0)</f>
        <v>36954000</v>
      </c>
      <c r="C24" s="82">
        <f>VLOOKUP(A24,'Data shares'!$C$2:$CX$220,100,0)</f>
        <v>-246000</v>
      </c>
      <c r="D24" s="141">
        <f>VLOOKUP(A24,'Data shares'!$C$2:$CY$543,101,0)</f>
        <v>-6.6E-3</v>
      </c>
      <c r="E24" s="86">
        <f>VLOOKUP($A24,'Data shares'!$C:$FA,74)</f>
        <v>24725000</v>
      </c>
      <c r="F24" s="86">
        <f>VLOOKUP($A24,'Data shares'!$C:$FA,76)</f>
        <v>-148000</v>
      </c>
      <c r="G24" s="87">
        <f>VLOOKUP(A24,'Data shares'!$C$2:$CA$220,77,0)</f>
        <v>-6.0000000000000001E-3</v>
      </c>
      <c r="H24" s="86">
        <f>VLOOKUP($A24,'Data shares'!$C:$FA,90)</f>
        <v>6799000</v>
      </c>
      <c r="I24" s="86">
        <f>VLOOKUP($A24,'Data shares'!$C:$FA,92)</f>
        <v>109000</v>
      </c>
      <c r="J24" s="87">
        <f>VLOOKUP($A24,'Data shares'!$C:$FA,93)</f>
        <v>1.6299999999999999E-2</v>
      </c>
      <c r="K24" s="86">
        <f>VLOOKUP($A24,'Data shares'!$C:$FA,94)</f>
        <v>5430000</v>
      </c>
      <c r="L24" s="86">
        <f>VLOOKUP($A24,'Data shares'!$C:$FA,96)</f>
        <v>-207000</v>
      </c>
      <c r="M24" s="87">
        <f>VLOOKUP($A24,'Data shares'!$C:$FA,97)</f>
        <v>-3.6700000000000003E-2</v>
      </c>
      <c r="N24" s="86">
        <f>VLOOKUP($A24,'Data shares'!$C:$FA,78)</f>
        <v>23247000</v>
      </c>
      <c r="O24" s="87">
        <f>VLOOKUP($A24,'Data shares'!$C:$FA,81)</f>
        <v>-1.2999999999999999E-2</v>
      </c>
    </row>
    <row r="25" spans="1:15" x14ac:dyDescent="0.25">
      <c r="A25" s="100" t="str">
        <f>'Data Vlaue (Cr)'!C20</f>
        <v>AUROPHARMA</v>
      </c>
      <c r="B25" s="82">
        <f>VLOOKUP(A25,'Data shares'!$C$2:$CV$220,98,0)</f>
        <v>27563800</v>
      </c>
      <c r="C25" s="82">
        <f>VLOOKUP(A25,'Data shares'!$C$2:$CX$220,100,0)</f>
        <v>-87450</v>
      </c>
      <c r="D25" s="141">
        <f>VLOOKUP(A25,'Data shares'!$C$2:$CY$543,101,0)</f>
        <v>-3.2000000000000002E-3</v>
      </c>
      <c r="E25" s="86">
        <f>VLOOKUP($A25,'Data shares'!$C:$FA,74)</f>
        <v>21009450</v>
      </c>
      <c r="F25" s="86">
        <f>VLOOKUP($A25,'Data shares'!$C:$FA,76)</f>
        <v>-30250</v>
      </c>
      <c r="G25" s="87">
        <f>VLOOKUP(A25,'Data shares'!$C$2:$CA$220,77,0)</f>
        <v>-1.4E-3</v>
      </c>
      <c r="H25" s="86">
        <f>VLOOKUP($A25,'Data shares'!$C:$FA,90)</f>
        <v>3853300</v>
      </c>
      <c r="I25" s="86">
        <f>VLOOKUP($A25,'Data shares'!$C:$FA,92)</f>
        <v>5500</v>
      </c>
      <c r="J25" s="87">
        <f>VLOOKUP($A25,'Data shares'!$C:$FA,93)</f>
        <v>1.4E-3</v>
      </c>
      <c r="K25" s="86">
        <f>VLOOKUP($A25,'Data shares'!$C:$FA,94)</f>
        <v>2701050</v>
      </c>
      <c r="L25" s="86">
        <f>VLOOKUP($A25,'Data shares'!$C:$FA,96)</f>
        <v>-62700</v>
      </c>
      <c r="M25" s="87">
        <f>VLOOKUP($A25,'Data shares'!$C:$FA,97)</f>
        <v>-2.2700000000000001E-2</v>
      </c>
      <c r="N25" s="86">
        <f>VLOOKUP($A25,'Data shares'!$C:$FA,78)</f>
        <v>20341200</v>
      </c>
      <c r="O25" s="87">
        <f>VLOOKUP($A25,'Data shares'!$C:$FA,81)</f>
        <v>-3.0000000000000001E-3</v>
      </c>
    </row>
    <row r="26" spans="1:15" x14ac:dyDescent="0.25">
      <c r="A26" s="100" t="str">
        <f>'Data Vlaue (Cr)'!C21</f>
        <v>AXISBANK</v>
      </c>
      <c r="B26" s="82">
        <f>VLOOKUP(A26,'Data shares'!$C$2:$CV$220,98,0)</f>
        <v>95240000</v>
      </c>
      <c r="C26" s="82">
        <f>VLOOKUP(A26,'Data shares'!$C$2:$CX$220,100,0)</f>
        <v>1092500</v>
      </c>
      <c r="D26" s="141">
        <f>VLOOKUP(A26,'Data shares'!$C$2:$CY$543,101,0)</f>
        <v>1.1599999999999999E-2</v>
      </c>
      <c r="E26" s="86">
        <f>VLOOKUP($A26,'Data shares'!$C:$FA,74)</f>
        <v>64568125</v>
      </c>
      <c r="F26" s="86">
        <f>VLOOKUP($A26,'Data shares'!$C:$FA,76)</f>
        <v>653750</v>
      </c>
      <c r="G26" s="87">
        <f>VLOOKUP(A26,'Data shares'!$C$2:$CA$220,77,0)</f>
        <v>1.0200000000000001E-2</v>
      </c>
      <c r="H26" s="86">
        <f>VLOOKUP($A26,'Data shares'!$C:$FA,90)</f>
        <v>16693125</v>
      </c>
      <c r="I26" s="86">
        <f>VLOOKUP($A26,'Data shares'!$C:$FA,92)</f>
        <v>1250</v>
      </c>
      <c r="J26" s="87">
        <f>VLOOKUP($A26,'Data shares'!$C:$FA,93)</f>
        <v>1E-4</v>
      </c>
      <c r="K26" s="86">
        <f>VLOOKUP($A26,'Data shares'!$C:$FA,94)</f>
        <v>13978750</v>
      </c>
      <c r="L26" s="86">
        <f>VLOOKUP($A26,'Data shares'!$C:$FA,96)</f>
        <v>437500</v>
      </c>
      <c r="M26" s="87">
        <f>VLOOKUP($A26,'Data shares'!$C:$FA,97)</f>
        <v>3.2300000000000002E-2</v>
      </c>
      <c r="N26" s="86">
        <f>VLOOKUP($A26,'Data shares'!$C:$FA,78)</f>
        <v>47011875</v>
      </c>
      <c r="O26" s="87">
        <f>VLOOKUP($A26,'Data shares'!$C:$FA,81)</f>
        <v>-8.9999999999999998E-4</v>
      </c>
    </row>
    <row r="27" spans="1:15" x14ac:dyDescent="0.25">
      <c r="A27" s="100" t="str">
        <f>'Data Vlaue (Cr)'!C22</f>
        <v>BAJAJ-AUTO</v>
      </c>
      <c r="B27" s="82">
        <f>VLOOKUP(A27,'Data shares'!$C$2:$CV$220,98,0)</f>
        <v>5486775</v>
      </c>
      <c r="C27" s="82">
        <f>VLOOKUP(A27,'Data shares'!$C$2:$CX$220,100,0)</f>
        <v>179925</v>
      </c>
      <c r="D27" s="141">
        <f>VLOOKUP(A27,'Data shares'!$C$2:$CY$543,101,0)</f>
        <v>3.39E-2</v>
      </c>
      <c r="E27" s="86">
        <f>VLOOKUP($A27,'Data shares'!$C:$FA,74)</f>
        <v>3065250</v>
      </c>
      <c r="F27" s="86">
        <f>VLOOKUP($A27,'Data shares'!$C:$FA,76)</f>
        <v>32925</v>
      </c>
      <c r="G27" s="87">
        <f>VLOOKUP(A27,'Data shares'!$C$2:$CA$220,77,0)</f>
        <v>1.09E-2</v>
      </c>
      <c r="H27" s="86">
        <f>VLOOKUP($A27,'Data shares'!$C:$FA,90)</f>
        <v>1282500</v>
      </c>
      <c r="I27" s="86">
        <f>VLOOKUP($A27,'Data shares'!$C:$FA,92)</f>
        <v>144525</v>
      </c>
      <c r="J27" s="87">
        <f>VLOOKUP($A27,'Data shares'!$C:$FA,93)</f>
        <v>0.127</v>
      </c>
      <c r="K27" s="86">
        <f>VLOOKUP($A27,'Data shares'!$C:$FA,94)</f>
        <v>1139025</v>
      </c>
      <c r="L27" s="86">
        <f>VLOOKUP($A27,'Data shares'!$C:$FA,96)</f>
        <v>2475</v>
      </c>
      <c r="M27" s="87">
        <f>VLOOKUP($A27,'Data shares'!$C:$FA,97)</f>
        <v>2.2000000000000001E-3</v>
      </c>
      <c r="N27" s="86">
        <f>VLOOKUP($A27,'Data shares'!$C:$FA,78)</f>
        <v>2777775</v>
      </c>
      <c r="O27" s="87">
        <f>VLOOKUP($A27,'Data shares'!$C:$FA,81)</f>
        <v>7.1999999999999998E-3</v>
      </c>
    </row>
    <row r="28" spans="1:15" x14ac:dyDescent="0.25">
      <c r="A28" s="100" t="str">
        <f>'Data Vlaue (Cr)'!C23</f>
        <v>BAJAJFINSV</v>
      </c>
      <c r="B28" s="82">
        <f>VLOOKUP(A28,'Data shares'!$C$2:$CV$220,98,0)</f>
        <v>18279500</v>
      </c>
      <c r="C28" s="82">
        <f>VLOOKUP(A28,'Data shares'!$C$2:$CX$220,100,0)</f>
        <v>-90000</v>
      </c>
      <c r="D28" s="141">
        <f>VLOOKUP(A28,'Data shares'!$C$2:$CY$543,101,0)</f>
        <v>-4.8999999999999998E-3</v>
      </c>
      <c r="E28" s="86">
        <f>VLOOKUP($A28,'Data shares'!$C:$FA,74)</f>
        <v>11202250</v>
      </c>
      <c r="F28" s="86">
        <f>VLOOKUP($A28,'Data shares'!$C:$FA,76)</f>
        <v>-103000</v>
      </c>
      <c r="G28" s="87">
        <f>VLOOKUP(A28,'Data shares'!$C$2:$CA$220,77,0)</f>
        <v>-9.1000000000000004E-3</v>
      </c>
      <c r="H28" s="86">
        <f>VLOOKUP($A28,'Data shares'!$C:$FA,90)</f>
        <v>3498750</v>
      </c>
      <c r="I28" s="86">
        <f>VLOOKUP($A28,'Data shares'!$C:$FA,92)</f>
        <v>-36750</v>
      </c>
      <c r="J28" s="87">
        <f>VLOOKUP($A28,'Data shares'!$C:$FA,93)</f>
        <v>-1.04E-2</v>
      </c>
      <c r="K28" s="86">
        <f>VLOOKUP($A28,'Data shares'!$C:$FA,94)</f>
        <v>3578500</v>
      </c>
      <c r="L28" s="86">
        <f>VLOOKUP($A28,'Data shares'!$C:$FA,96)</f>
        <v>49750</v>
      </c>
      <c r="M28" s="87">
        <f>VLOOKUP($A28,'Data shares'!$C:$FA,97)</f>
        <v>1.41E-2</v>
      </c>
      <c r="N28" s="86">
        <f>VLOOKUP($A28,'Data shares'!$C:$FA,78)</f>
        <v>9455500</v>
      </c>
      <c r="O28" s="87">
        <f>VLOOKUP($A28,'Data shares'!$C:$FA,81)</f>
        <v>-1.2200000000000001E-2</v>
      </c>
    </row>
    <row r="29" spans="1:15" x14ac:dyDescent="0.25">
      <c r="A29" s="100" t="str">
        <f>'Data Vlaue (Cr)'!C24</f>
        <v>BAJAJHLDNG</v>
      </c>
      <c r="B29" s="82">
        <f>VLOOKUP(A29,'Data shares'!$C$2:$CV$220,98,0)</f>
        <v>426000</v>
      </c>
      <c r="C29" s="82">
        <f>VLOOKUP(A29,'Data shares'!$C$2:$CX$220,100,0)</f>
        <v>-8000</v>
      </c>
      <c r="D29" s="141">
        <f>VLOOKUP(A29,'Data shares'!$C$2:$CY$543,101,0)</f>
        <v>-1.84E-2</v>
      </c>
      <c r="E29" s="86">
        <f>VLOOKUP($A29,'Data shares'!$C:$FA,74)</f>
        <v>293800</v>
      </c>
      <c r="F29" s="86">
        <f>VLOOKUP($A29,'Data shares'!$C:$FA,76)</f>
        <v>-2100</v>
      </c>
      <c r="G29" s="87">
        <f>VLOOKUP(A29,'Data shares'!$C$2:$CA$220,77,0)</f>
        <v>-7.1000000000000004E-3</v>
      </c>
      <c r="H29" s="86">
        <f>VLOOKUP($A29,'Data shares'!$C:$FA,90)</f>
        <v>85300</v>
      </c>
      <c r="I29" s="86">
        <f>VLOOKUP($A29,'Data shares'!$C:$FA,92)</f>
        <v>-8200</v>
      </c>
      <c r="J29" s="87">
        <f>VLOOKUP($A29,'Data shares'!$C:$FA,93)</f>
        <v>-8.77E-2</v>
      </c>
      <c r="K29" s="86">
        <f>VLOOKUP($A29,'Data shares'!$C:$FA,94)</f>
        <v>46900</v>
      </c>
      <c r="L29" s="86">
        <f>VLOOKUP($A29,'Data shares'!$C:$FA,96)</f>
        <v>2300</v>
      </c>
      <c r="M29" s="87">
        <f>VLOOKUP($A29,'Data shares'!$C:$FA,97)</f>
        <v>5.16E-2</v>
      </c>
      <c r="N29" s="86">
        <f>VLOOKUP($A29,'Data shares'!$C:$FA,78)</f>
        <v>260300</v>
      </c>
      <c r="O29" s="87">
        <f>VLOOKUP($A29,'Data shares'!$C:$FA,81)</f>
        <v>-4.5999999999999999E-3</v>
      </c>
    </row>
    <row r="30" spans="1:15" x14ac:dyDescent="0.25">
      <c r="A30" s="100" t="str">
        <f>'Data Vlaue (Cr)'!C25</f>
        <v>BAJFINANCE</v>
      </c>
      <c r="B30" s="82">
        <f>VLOOKUP(A30,'Data shares'!$C$2:$CV$220,98,0)</f>
        <v>109996500</v>
      </c>
      <c r="C30" s="82">
        <f>VLOOKUP(A30,'Data shares'!$C$2:$CX$220,100,0)</f>
        <v>750750</v>
      </c>
      <c r="D30" s="141">
        <f>VLOOKUP(A30,'Data shares'!$C$2:$CY$543,101,0)</f>
        <v>6.8999999999999999E-3</v>
      </c>
      <c r="E30" s="86">
        <f>VLOOKUP($A30,'Data shares'!$C:$FA,74)</f>
        <v>70972500</v>
      </c>
      <c r="F30" s="86">
        <f>VLOOKUP($A30,'Data shares'!$C:$FA,76)</f>
        <v>-75000</v>
      </c>
      <c r="G30" s="87">
        <f>VLOOKUP(A30,'Data shares'!$C$2:$CA$220,77,0)</f>
        <v>-1.1000000000000001E-3</v>
      </c>
      <c r="H30" s="86">
        <f>VLOOKUP($A30,'Data shares'!$C:$FA,90)</f>
        <v>21938250</v>
      </c>
      <c r="I30" s="86">
        <f>VLOOKUP($A30,'Data shares'!$C:$FA,92)</f>
        <v>603000</v>
      </c>
      <c r="J30" s="87">
        <f>VLOOKUP($A30,'Data shares'!$C:$FA,93)</f>
        <v>2.8299999999999999E-2</v>
      </c>
      <c r="K30" s="86">
        <f>VLOOKUP($A30,'Data shares'!$C:$FA,94)</f>
        <v>17085750</v>
      </c>
      <c r="L30" s="86">
        <f>VLOOKUP($A30,'Data shares'!$C:$FA,96)</f>
        <v>222750</v>
      </c>
      <c r="M30" s="87">
        <f>VLOOKUP($A30,'Data shares'!$C:$FA,97)</f>
        <v>1.32E-2</v>
      </c>
      <c r="N30" s="86">
        <f>VLOOKUP($A30,'Data shares'!$C:$FA,78)</f>
        <v>65455500</v>
      </c>
      <c r="O30" s="87">
        <f>VLOOKUP($A30,'Data shares'!$C:$FA,81)</f>
        <v>-8.2000000000000007E-3</v>
      </c>
    </row>
    <row r="31" spans="1:15" x14ac:dyDescent="0.25">
      <c r="A31" s="100" t="str">
        <f>'Data Vlaue (Cr)'!C26</f>
        <v>BANDHANBNK</v>
      </c>
      <c r="B31" s="82">
        <f>VLOOKUP(A31,'Data shares'!$C$2:$CV$220,98,0)</f>
        <v>135511200</v>
      </c>
      <c r="C31" s="82">
        <f>VLOOKUP(A31,'Data shares'!$C$2:$CX$220,100,0)</f>
        <v>1072800</v>
      </c>
      <c r="D31" s="141">
        <f>VLOOKUP(A31,'Data shares'!$C$2:$CY$543,101,0)</f>
        <v>8.0000000000000002E-3</v>
      </c>
      <c r="E31" s="86">
        <f>VLOOKUP($A31,'Data shares'!$C:$FA,74)</f>
        <v>89053200</v>
      </c>
      <c r="F31" s="86">
        <f>VLOOKUP($A31,'Data shares'!$C:$FA,76)</f>
        <v>-244800</v>
      </c>
      <c r="G31" s="87">
        <f>VLOOKUP(A31,'Data shares'!$C$2:$CA$220,77,0)</f>
        <v>-2.7000000000000001E-3</v>
      </c>
      <c r="H31" s="86">
        <f>VLOOKUP($A31,'Data shares'!$C:$FA,90)</f>
        <v>26262000</v>
      </c>
      <c r="I31" s="86">
        <f>VLOOKUP($A31,'Data shares'!$C:$FA,92)</f>
        <v>864000</v>
      </c>
      <c r="J31" s="87">
        <f>VLOOKUP($A31,'Data shares'!$C:$FA,93)</f>
        <v>3.4000000000000002E-2</v>
      </c>
      <c r="K31" s="86">
        <f>VLOOKUP($A31,'Data shares'!$C:$FA,94)</f>
        <v>20196000</v>
      </c>
      <c r="L31" s="86">
        <f>VLOOKUP($A31,'Data shares'!$C:$FA,96)</f>
        <v>453600</v>
      </c>
      <c r="M31" s="87">
        <f>VLOOKUP($A31,'Data shares'!$C:$FA,97)</f>
        <v>2.3E-2</v>
      </c>
      <c r="N31" s="86">
        <f>VLOOKUP($A31,'Data shares'!$C:$FA,78)</f>
        <v>73504800</v>
      </c>
      <c r="O31" s="87">
        <f>VLOOKUP($A31,'Data shares'!$C:$FA,81)</f>
        <v>-0.126</v>
      </c>
    </row>
    <row r="32" spans="1:15" x14ac:dyDescent="0.25">
      <c r="A32" s="100" t="str">
        <f>'Data Vlaue (Cr)'!C27</f>
        <v>BANKBARODA</v>
      </c>
      <c r="B32" s="82">
        <f>VLOOKUP(A32,'Data shares'!$C$2:$CV$220,98,0)</f>
        <v>183991275</v>
      </c>
      <c r="C32" s="82">
        <f>VLOOKUP(A32,'Data shares'!$C$2:$CX$220,100,0)</f>
        <v>1170000</v>
      </c>
      <c r="D32" s="141">
        <f>VLOOKUP(A32,'Data shares'!$C$2:$CY$543,101,0)</f>
        <v>6.4000000000000003E-3</v>
      </c>
      <c r="E32" s="86">
        <f>VLOOKUP($A32,'Data shares'!$C:$FA,74)</f>
        <v>103334400</v>
      </c>
      <c r="F32" s="86">
        <f>VLOOKUP($A32,'Data shares'!$C:$FA,76)</f>
        <v>353925</v>
      </c>
      <c r="G32" s="87">
        <f>VLOOKUP(A32,'Data shares'!$C$2:$CA$220,77,0)</f>
        <v>3.3999999999999998E-3</v>
      </c>
      <c r="H32" s="86">
        <f>VLOOKUP($A32,'Data shares'!$C:$FA,90)</f>
        <v>41283450</v>
      </c>
      <c r="I32" s="86">
        <f>VLOOKUP($A32,'Data shares'!$C:$FA,92)</f>
        <v>29250</v>
      </c>
      <c r="J32" s="87">
        <f>VLOOKUP($A32,'Data shares'!$C:$FA,93)</f>
        <v>6.9999999999999999E-4</v>
      </c>
      <c r="K32" s="86">
        <f>VLOOKUP($A32,'Data shares'!$C:$FA,94)</f>
        <v>39373425</v>
      </c>
      <c r="L32" s="86">
        <f>VLOOKUP($A32,'Data shares'!$C:$FA,96)</f>
        <v>786825</v>
      </c>
      <c r="M32" s="87">
        <f>VLOOKUP($A32,'Data shares'!$C:$FA,97)</f>
        <v>2.0400000000000001E-2</v>
      </c>
      <c r="N32" s="86">
        <f>VLOOKUP($A32,'Data shares'!$C:$FA,78)</f>
        <v>89446500</v>
      </c>
      <c r="O32" s="87">
        <f>VLOOKUP($A32,'Data shares'!$C:$FA,81)</f>
        <v>-6.8000000000000005E-2</v>
      </c>
    </row>
    <row r="33" spans="1:15" x14ac:dyDescent="0.25">
      <c r="A33" s="100" t="str">
        <f>'Data Vlaue (Cr)'!C28</f>
        <v>BANKINDIA</v>
      </c>
      <c r="B33" s="82">
        <f>VLOOKUP(A33,'Data shares'!$C$2:$CV$220,98,0)</f>
        <v>104499200</v>
      </c>
      <c r="C33" s="82">
        <f>VLOOKUP(A33,'Data shares'!$C$2:$CX$220,100,0)</f>
        <v>1783600</v>
      </c>
      <c r="D33" s="141">
        <f>VLOOKUP(A33,'Data shares'!$C$2:$CY$543,101,0)</f>
        <v>1.7399999999999999E-2</v>
      </c>
      <c r="E33" s="86">
        <f>VLOOKUP($A33,'Data shares'!$C:$FA,74)</f>
        <v>56482400</v>
      </c>
      <c r="F33" s="86">
        <f>VLOOKUP($A33,'Data shares'!$C:$FA,76)</f>
        <v>98800</v>
      </c>
      <c r="G33" s="87">
        <f>VLOOKUP(A33,'Data shares'!$C$2:$CA$220,77,0)</f>
        <v>1.8E-3</v>
      </c>
      <c r="H33" s="86">
        <f>VLOOKUP($A33,'Data shares'!$C:$FA,90)</f>
        <v>25625600</v>
      </c>
      <c r="I33" s="86">
        <f>VLOOKUP($A33,'Data shares'!$C:$FA,92)</f>
        <v>2111200</v>
      </c>
      <c r="J33" s="87">
        <f>VLOOKUP($A33,'Data shares'!$C:$FA,93)</f>
        <v>8.9800000000000005E-2</v>
      </c>
      <c r="K33" s="86">
        <f>VLOOKUP($A33,'Data shares'!$C:$FA,94)</f>
        <v>22391200</v>
      </c>
      <c r="L33" s="86">
        <f>VLOOKUP($A33,'Data shares'!$C:$FA,96)</f>
        <v>-426400</v>
      </c>
      <c r="M33" s="87">
        <f>VLOOKUP($A33,'Data shares'!$C:$FA,97)</f>
        <v>-1.8700000000000001E-2</v>
      </c>
      <c r="N33" s="86">
        <f>VLOOKUP($A33,'Data shares'!$C:$FA,78)</f>
        <v>52026000</v>
      </c>
      <c r="O33" s="87">
        <f>VLOOKUP($A33,'Data shares'!$C:$FA,81)</f>
        <v>-1.9199999999999998E-2</v>
      </c>
    </row>
    <row r="34" spans="1:15" x14ac:dyDescent="0.25">
      <c r="A34" s="100" t="str">
        <f>'Data Vlaue (Cr)'!C29</f>
        <v>BANKNIFTY</v>
      </c>
      <c r="B34" s="82">
        <f>VLOOKUP(A34,'Data shares'!$C$2:$CV$220,98,0)</f>
        <v>41114100</v>
      </c>
      <c r="C34" s="82">
        <f>VLOOKUP(A34,'Data shares'!$C$2:$CX$220,100,0)</f>
        <v>2417370</v>
      </c>
      <c r="D34" s="141">
        <f>VLOOKUP(A34,'Data shares'!$C$2:$CY$543,101,0)</f>
        <v>6.25E-2</v>
      </c>
      <c r="E34" s="86">
        <f>VLOOKUP($A34,'Data shares'!$C:$FA,74)</f>
        <v>2602470</v>
      </c>
      <c r="F34" s="86">
        <f>VLOOKUP($A34,'Data shares'!$C:$FA,76)</f>
        <v>-36600</v>
      </c>
      <c r="G34" s="87">
        <f>VLOOKUP(A34,'Data shares'!$C$2:$CA$220,77,0)</f>
        <v>-1.3899999999999999E-2</v>
      </c>
      <c r="H34" s="86">
        <f>VLOOKUP($A34,'Data shares'!$C:$FA,90)</f>
        <v>19926240</v>
      </c>
      <c r="I34" s="86">
        <f>VLOOKUP($A34,'Data shares'!$C:$FA,92)</f>
        <v>600330</v>
      </c>
      <c r="J34" s="87">
        <f>VLOOKUP($A34,'Data shares'!$C:$FA,93)</f>
        <v>3.1099999999999999E-2</v>
      </c>
      <c r="K34" s="86">
        <f>VLOOKUP($A34,'Data shares'!$C:$FA,94)</f>
        <v>18585390</v>
      </c>
      <c r="L34" s="86">
        <f>VLOOKUP($A34,'Data shares'!$C:$FA,96)</f>
        <v>1853640</v>
      </c>
      <c r="M34" s="87">
        <f>VLOOKUP($A34,'Data shares'!$C:$FA,97)</f>
        <v>0.1108</v>
      </c>
      <c r="N34" s="86">
        <f>VLOOKUP($A34,'Data shares'!$C:$FA,78)</f>
        <v>1980030</v>
      </c>
      <c r="O34" s="87">
        <f>VLOOKUP($A34,'Data shares'!$C:$FA,81)</f>
        <v>-4.3200000000000002E-2</v>
      </c>
    </row>
    <row r="35" spans="1:15" x14ac:dyDescent="0.25">
      <c r="A35" s="100" t="str">
        <f>'Data Vlaue (Cr)'!C30</f>
        <v>BDL</v>
      </c>
      <c r="B35" s="82">
        <f>VLOOKUP(A35,'Data shares'!$C$2:$CV$220,98,0)</f>
        <v>9924600</v>
      </c>
      <c r="C35" s="82">
        <f>VLOOKUP(A35,'Data shares'!$C$2:$CX$220,100,0)</f>
        <v>-25550</v>
      </c>
      <c r="D35" s="141">
        <f>VLOOKUP(A35,'Data shares'!$C$2:$CY$543,101,0)</f>
        <v>-2.5999999999999999E-3</v>
      </c>
      <c r="E35" s="86">
        <f>VLOOKUP($A35,'Data shares'!$C:$FA,74)</f>
        <v>3944850</v>
      </c>
      <c r="F35" s="86">
        <f>VLOOKUP($A35,'Data shares'!$C:$FA,76)</f>
        <v>-68600</v>
      </c>
      <c r="G35" s="87">
        <f>VLOOKUP(A35,'Data shares'!$C$2:$CA$220,77,0)</f>
        <v>-1.7100000000000001E-2</v>
      </c>
      <c r="H35" s="86">
        <f>VLOOKUP($A35,'Data shares'!$C:$FA,90)</f>
        <v>3315550</v>
      </c>
      <c r="I35" s="86">
        <f>VLOOKUP($A35,'Data shares'!$C:$FA,92)</f>
        <v>-91700</v>
      </c>
      <c r="J35" s="87">
        <f>VLOOKUP($A35,'Data shares'!$C:$FA,93)</f>
        <v>-2.69E-2</v>
      </c>
      <c r="K35" s="86">
        <f>VLOOKUP($A35,'Data shares'!$C:$FA,94)</f>
        <v>2664200</v>
      </c>
      <c r="L35" s="86">
        <f>VLOOKUP($A35,'Data shares'!$C:$FA,96)</f>
        <v>134750</v>
      </c>
      <c r="M35" s="87">
        <f>VLOOKUP($A35,'Data shares'!$C:$FA,97)</f>
        <v>5.33E-2</v>
      </c>
      <c r="N35" s="86">
        <f>VLOOKUP($A35,'Data shares'!$C:$FA,78)</f>
        <v>3113600</v>
      </c>
      <c r="O35" s="87">
        <f>VLOOKUP($A35,'Data shares'!$C:$FA,81)</f>
        <v>-3.1300000000000001E-2</v>
      </c>
    </row>
    <row r="36" spans="1:15" x14ac:dyDescent="0.25">
      <c r="A36" s="100" t="str">
        <f>'Data Vlaue (Cr)'!C31</f>
        <v>BEL</v>
      </c>
      <c r="B36" s="82">
        <f>VLOOKUP(A36,'Data shares'!$C$2:$CV$220,98,0)</f>
        <v>179190900</v>
      </c>
      <c r="C36" s="82">
        <f>VLOOKUP(A36,'Data shares'!$C$2:$CX$220,100,0)</f>
        <v>2659050</v>
      </c>
      <c r="D36" s="141">
        <f>VLOOKUP(A36,'Data shares'!$C$2:$CY$543,101,0)</f>
        <v>1.5100000000000001E-2</v>
      </c>
      <c r="E36" s="86">
        <f>VLOOKUP($A36,'Data shares'!$C:$FA,74)</f>
        <v>105736425</v>
      </c>
      <c r="F36" s="86">
        <f>VLOOKUP($A36,'Data shares'!$C:$FA,76)</f>
        <v>-52725</v>
      </c>
      <c r="G36" s="87">
        <f>VLOOKUP(A36,'Data shares'!$C$2:$CA$220,77,0)</f>
        <v>-5.0000000000000001E-4</v>
      </c>
      <c r="H36" s="86">
        <f>VLOOKUP($A36,'Data shares'!$C:$FA,90)</f>
        <v>41927775</v>
      </c>
      <c r="I36" s="86">
        <f>VLOOKUP($A36,'Data shares'!$C:$FA,92)</f>
        <v>644100</v>
      </c>
      <c r="J36" s="87">
        <f>VLOOKUP($A36,'Data shares'!$C:$FA,93)</f>
        <v>1.5599999999999999E-2</v>
      </c>
      <c r="K36" s="86">
        <f>VLOOKUP($A36,'Data shares'!$C:$FA,94)</f>
        <v>31526700</v>
      </c>
      <c r="L36" s="86">
        <f>VLOOKUP($A36,'Data shares'!$C:$FA,96)</f>
        <v>2067675</v>
      </c>
      <c r="M36" s="87">
        <f>VLOOKUP($A36,'Data shares'!$C:$FA,97)</f>
        <v>7.0199999999999999E-2</v>
      </c>
      <c r="N36" s="86">
        <f>VLOOKUP($A36,'Data shares'!$C:$FA,78)</f>
        <v>90809550</v>
      </c>
      <c r="O36" s="87">
        <f>VLOOKUP($A36,'Data shares'!$C:$FA,81)</f>
        <v>-8.2000000000000007E-3</v>
      </c>
    </row>
    <row r="37" spans="1:15" x14ac:dyDescent="0.25">
      <c r="A37" s="100" t="str">
        <f>'Data Vlaue (Cr)'!C32</f>
        <v>BHARATFORG</v>
      </c>
      <c r="B37" s="82">
        <f>VLOOKUP(A37,'Data shares'!$C$2:$CV$220,98,0)</f>
        <v>13310500</v>
      </c>
      <c r="C37" s="82">
        <f>VLOOKUP(A37,'Data shares'!$C$2:$CX$220,100,0)</f>
        <v>149500</v>
      </c>
      <c r="D37" s="141">
        <f>VLOOKUP(A37,'Data shares'!$C$2:$CY$543,101,0)</f>
        <v>1.14E-2</v>
      </c>
      <c r="E37" s="86">
        <f>VLOOKUP($A37,'Data shares'!$C:$FA,74)</f>
        <v>8086000</v>
      </c>
      <c r="F37" s="86">
        <f>VLOOKUP($A37,'Data shares'!$C:$FA,76)</f>
        <v>247000</v>
      </c>
      <c r="G37" s="87">
        <f>VLOOKUP(A37,'Data shares'!$C$2:$CA$220,77,0)</f>
        <v>3.15E-2</v>
      </c>
      <c r="H37" s="86">
        <f>VLOOKUP($A37,'Data shares'!$C:$FA,90)</f>
        <v>3239000</v>
      </c>
      <c r="I37" s="86">
        <f>VLOOKUP($A37,'Data shares'!$C:$FA,92)</f>
        <v>-63000</v>
      </c>
      <c r="J37" s="87">
        <f>VLOOKUP($A37,'Data shares'!$C:$FA,93)</f>
        <v>-1.9099999999999999E-2</v>
      </c>
      <c r="K37" s="86">
        <f>VLOOKUP($A37,'Data shares'!$C:$FA,94)</f>
        <v>1985500</v>
      </c>
      <c r="L37" s="86">
        <f>VLOOKUP($A37,'Data shares'!$C:$FA,96)</f>
        <v>-34500</v>
      </c>
      <c r="M37" s="87">
        <f>VLOOKUP($A37,'Data shares'!$C:$FA,97)</f>
        <v>-1.7100000000000001E-2</v>
      </c>
      <c r="N37" s="86">
        <f>VLOOKUP($A37,'Data shares'!$C:$FA,78)</f>
        <v>7725500</v>
      </c>
      <c r="O37" s="87">
        <f>VLOOKUP($A37,'Data shares'!$C:$FA,81)</f>
        <v>7.6E-3</v>
      </c>
    </row>
    <row r="38" spans="1:15" x14ac:dyDescent="0.25">
      <c r="A38" s="100" t="str">
        <f>'Data Vlaue (Cr)'!C33</f>
        <v>BHARTIARTL</v>
      </c>
      <c r="B38" s="82">
        <f>VLOOKUP(A38,'Data shares'!$C$2:$CV$220,98,0)</f>
        <v>82734550</v>
      </c>
      <c r="C38" s="82">
        <f>VLOOKUP(A38,'Data shares'!$C$2:$CX$220,100,0)</f>
        <v>759050</v>
      </c>
      <c r="D38" s="141">
        <f>VLOOKUP(A38,'Data shares'!$C$2:$CY$543,101,0)</f>
        <v>9.2999999999999992E-3</v>
      </c>
      <c r="E38" s="86">
        <f>VLOOKUP($A38,'Data shares'!$C:$FA,74)</f>
        <v>60683150</v>
      </c>
      <c r="F38" s="86">
        <f>VLOOKUP($A38,'Data shares'!$C:$FA,76)</f>
        <v>-98325</v>
      </c>
      <c r="G38" s="87">
        <f>VLOOKUP(A38,'Data shares'!$C$2:$CA$220,77,0)</f>
        <v>-1.6000000000000001E-3</v>
      </c>
      <c r="H38" s="86">
        <f>VLOOKUP($A38,'Data shares'!$C:$FA,90)</f>
        <v>13701850</v>
      </c>
      <c r="I38" s="86">
        <f>VLOOKUP($A38,'Data shares'!$C:$FA,92)</f>
        <v>572850</v>
      </c>
      <c r="J38" s="87">
        <f>VLOOKUP($A38,'Data shares'!$C:$FA,93)</f>
        <v>4.36E-2</v>
      </c>
      <c r="K38" s="86">
        <f>VLOOKUP($A38,'Data shares'!$C:$FA,94)</f>
        <v>8349550</v>
      </c>
      <c r="L38" s="86">
        <f>VLOOKUP($A38,'Data shares'!$C:$FA,96)</f>
        <v>284525</v>
      </c>
      <c r="M38" s="87">
        <f>VLOOKUP($A38,'Data shares'!$C:$FA,97)</f>
        <v>3.5299999999999998E-2</v>
      </c>
      <c r="N38" s="86">
        <f>VLOOKUP($A38,'Data shares'!$C:$FA,78)</f>
        <v>45203375</v>
      </c>
      <c r="O38" s="87">
        <f>VLOOKUP($A38,'Data shares'!$C:$FA,81)</f>
        <v>-1.35E-2</v>
      </c>
    </row>
    <row r="39" spans="1:15" x14ac:dyDescent="0.25">
      <c r="A39" s="100" t="str">
        <f>'Data Vlaue (Cr)'!C34</f>
        <v>BHEL</v>
      </c>
      <c r="B39" s="82">
        <f>VLOOKUP(A39,'Data shares'!$C$2:$CV$220,98,0)</f>
        <v>182316750</v>
      </c>
      <c r="C39" s="82">
        <f>VLOOKUP(A39,'Data shares'!$C$2:$CX$220,100,0)</f>
        <v>1183875</v>
      </c>
      <c r="D39" s="141">
        <f>VLOOKUP(A39,'Data shares'!$C$2:$CY$543,101,0)</f>
        <v>6.4999999999999997E-3</v>
      </c>
      <c r="E39" s="86">
        <f>VLOOKUP($A39,'Data shares'!$C:$FA,74)</f>
        <v>99781500</v>
      </c>
      <c r="F39" s="86">
        <f>VLOOKUP($A39,'Data shares'!$C:$FA,76)</f>
        <v>-404250</v>
      </c>
      <c r="G39" s="87">
        <f>VLOOKUP(A39,'Data shares'!$C$2:$CA$220,77,0)</f>
        <v>-4.0000000000000001E-3</v>
      </c>
      <c r="H39" s="86">
        <f>VLOOKUP($A39,'Data shares'!$C:$FA,90)</f>
        <v>43795500</v>
      </c>
      <c r="I39" s="86">
        <f>VLOOKUP($A39,'Data shares'!$C:$FA,92)</f>
        <v>1472625</v>
      </c>
      <c r="J39" s="87">
        <f>VLOOKUP($A39,'Data shares'!$C:$FA,93)</f>
        <v>3.4799999999999998E-2</v>
      </c>
      <c r="K39" s="86">
        <f>VLOOKUP($A39,'Data shares'!$C:$FA,94)</f>
        <v>38739750</v>
      </c>
      <c r="L39" s="86">
        <f>VLOOKUP($A39,'Data shares'!$C:$FA,96)</f>
        <v>115500</v>
      </c>
      <c r="M39" s="87">
        <f>VLOOKUP($A39,'Data shares'!$C:$FA,97)</f>
        <v>3.0000000000000001E-3</v>
      </c>
      <c r="N39" s="86">
        <f>VLOOKUP($A39,'Data shares'!$C:$FA,78)</f>
        <v>94752000</v>
      </c>
      <c r="O39" s="87">
        <f>VLOOKUP($A39,'Data shares'!$C:$FA,81)</f>
        <v>-1.32E-2</v>
      </c>
    </row>
    <row r="40" spans="1:15" x14ac:dyDescent="0.25">
      <c r="A40" s="100" t="str">
        <f>'Data Vlaue (Cr)'!C35</f>
        <v>BIOCON</v>
      </c>
      <c r="B40" s="82">
        <f>VLOOKUP(A40,'Data shares'!$C$2:$CV$220,98,0)</f>
        <v>76672500</v>
      </c>
      <c r="C40" s="82">
        <f>VLOOKUP(A40,'Data shares'!$C$2:$CX$220,100,0)</f>
        <v>-660000</v>
      </c>
      <c r="D40" s="141">
        <f>VLOOKUP(A40,'Data shares'!$C$2:$CY$543,101,0)</f>
        <v>-8.5000000000000006E-3</v>
      </c>
      <c r="E40" s="86">
        <f>VLOOKUP($A40,'Data shares'!$C:$FA,74)</f>
        <v>36852500</v>
      </c>
      <c r="F40" s="86">
        <f>VLOOKUP($A40,'Data shares'!$C:$FA,76)</f>
        <v>-1367500</v>
      </c>
      <c r="G40" s="87">
        <f>VLOOKUP(A40,'Data shares'!$C$2:$CA$220,77,0)</f>
        <v>-3.5799999999999998E-2</v>
      </c>
      <c r="H40" s="86">
        <f>VLOOKUP($A40,'Data shares'!$C:$FA,90)</f>
        <v>24287500</v>
      </c>
      <c r="I40" s="86">
        <f>VLOOKUP($A40,'Data shares'!$C:$FA,92)</f>
        <v>390000</v>
      </c>
      <c r="J40" s="87">
        <f>VLOOKUP($A40,'Data shares'!$C:$FA,93)</f>
        <v>1.6299999999999999E-2</v>
      </c>
      <c r="K40" s="86">
        <f>VLOOKUP($A40,'Data shares'!$C:$FA,94)</f>
        <v>15532500</v>
      </c>
      <c r="L40" s="86">
        <f>VLOOKUP($A40,'Data shares'!$C:$FA,96)</f>
        <v>317500</v>
      </c>
      <c r="M40" s="87">
        <f>VLOOKUP($A40,'Data shares'!$C:$FA,97)</f>
        <v>2.0899999999999998E-2</v>
      </c>
      <c r="N40" s="86">
        <f>VLOOKUP($A40,'Data shares'!$C:$FA,78)</f>
        <v>33737500</v>
      </c>
      <c r="O40" s="87">
        <f>VLOOKUP($A40,'Data shares'!$C:$FA,81)</f>
        <v>-5.0700000000000002E-2</v>
      </c>
    </row>
    <row r="41" spans="1:15" x14ac:dyDescent="0.25">
      <c r="A41" s="100" t="str">
        <f>'Data Vlaue (Cr)'!C36</f>
        <v>BLUESTARCO</v>
      </c>
      <c r="B41" s="82">
        <f>VLOOKUP(A41,'Data shares'!$C$2:$CV$220,98,0)</f>
        <v>6087250</v>
      </c>
      <c r="C41" s="82">
        <f>VLOOKUP(A41,'Data shares'!$C$2:$CX$220,100,0)</f>
        <v>335400</v>
      </c>
      <c r="D41" s="141">
        <f>VLOOKUP(A41,'Data shares'!$C$2:$CY$543,101,0)</f>
        <v>5.8299999999999998E-2</v>
      </c>
      <c r="E41" s="86">
        <f>VLOOKUP($A41,'Data shares'!$C:$FA,74)</f>
        <v>3556475</v>
      </c>
      <c r="F41" s="86">
        <f>VLOOKUP($A41,'Data shares'!$C:$FA,76)</f>
        <v>344500</v>
      </c>
      <c r="G41" s="87">
        <f>VLOOKUP(A41,'Data shares'!$C$2:$CA$220,77,0)</f>
        <v>0.10730000000000001</v>
      </c>
      <c r="H41" s="86">
        <f>VLOOKUP($A41,'Data shares'!$C:$FA,90)</f>
        <v>1554475</v>
      </c>
      <c r="I41" s="86">
        <f>VLOOKUP($A41,'Data shares'!$C:$FA,92)</f>
        <v>-24700</v>
      </c>
      <c r="J41" s="87">
        <f>VLOOKUP($A41,'Data shares'!$C:$FA,93)</f>
        <v>-1.5599999999999999E-2</v>
      </c>
      <c r="K41" s="86">
        <f>VLOOKUP($A41,'Data shares'!$C:$FA,94)</f>
        <v>976300</v>
      </c>
      <c r="L41" s="86">
        <f>VLOOKUP($A41,'Data shares'!$C:$FA,96)</f>
        <v>15600</v>
      </c>
      <c r="M41" s="87">
        <f>VLOOKUP($A41,'Data shares'!$C:$FA,97)</f>
        <v>1.6199999999999999E-2</v>
      </c>
      <c r="N41" s="86">
        <f>VLOOKUP($A41,'Data shares'!$C:$FA,78)</f>
        <v>2578875</v>
      </c>
      <c r="O41" s="87">
        <f>VLOOKUP($A41,'Data shares'!$C:$FA,81)</f>
        <v>0.03</v>
      </c>
    </row>
    <row r="42" spans="1:15" x14ac:dyDescent="0.25">
      <c r="A42" s="100" t="str">
        <f>'Data Vlaue (Cr)'!C37</f>
        <v>BOSCHLTD</v>
      </c>
      <c r="B42" s="82">
        <f>VLOOKUP(A42,'Data shares'!$C$2:$CV$220,98,0)</f>
        <v>752925</v>
      </c>
      <c r="C42" s="82">
        <f>VLOOKUP(A42,'Data shares'!$C$2:$CX$220,100,0)</f>
        <v>-5900</v>
      </c>
      <c r="D42" s="141">
        <f>VLOOKUP(A42,'Data shares'!$C$2:$CY$543,101,0)</f>
        <v>-7.7999999999999996E-3</v>
      </c>
      <c r="E42" s="86">
        <f>VLOOKUP($A42,'Data shares'!$C:$FA,74)</f>
        <v>273350</v>
      </c>
      <c r="F42" s="86">
        <f>VLOOKUP($A42,'Data shares'!$C:$FA,76)</f>
        <v>-4375</v>
      </c>
      <c r="G42" s="87">
        <f>VLOOKUP(A42,'Data shares'!$C$2:$CA$220,77,0)</f>
        <v>-1.5800000000000002E-2</v>
      </c>
      <c r="H42" s="86">
        <f>VLOOKUP($A42,'Data shares'!$C:$FA,90)</f>
        <v>253925</v>
      </c>
      <c r="I42" s="86">
        <f>VLOOKUP($A42,'Data shares'!$C:$FA,92)</f>
        <v>-875</v>
      </c>
      <c r="J42" s="87">
        <f>VLOOKUP($A42,'Data shares'!$C:$FA,93)</f>
        <v>-3.3999999999999998E-3</v>
      </c>
      <c r="K42" s="86">
        <f>VLOOKUP($A42,'Data shares'!$C:$FA,94)</f>
        <v>225650</v>
      </c>
      <c r="L42" s="86">
        <f>VLOOKUP($A42,'Data shares'!$C:$FA,96)</f>
        <v>-650</v>
      </c>
      <c r="M42" s="87">
        <f>VLOOKUP($A42,'Data shares'!$C:$FA,97)</f>
        <v>-2.8999999999999998E-3</v>
      </c>
      <c r="N42" s="86">
        <f>VLOOKUP($A42,'Data shares'!$C:$FA,78)</f>
        <v>263450</v>
      </c>
      <c r="O42" s="87">
        <f>VLOOKUP($A42,'Data shares'!$C:$FA,81)</f>
        <v>-1.84E-2</v>
      </c>
    </row>
    <row r="43" spans="1:15" x14ac:dyDescent="0.25">
      <c r="A43" s="100" t="str">
        <f>'Data Vlaue (Cr)'!C38</f>
        <v>BPCL</v>
      </c>
      <c r="B43" s="82">
        <f>VLOOKUP(A43,'Data shares'!$C$2:$CV$220,98,0)</f>
        <v>97555125</v>
      </c>
      <c r="C43" s="82">
        <f>VLOOKUP(A43,'Data shares'!$C$2:$CX$220,100,0)</f>
        <v>649775</v>
      </c>
      <c r="D43" s="141">
        <f>VLOOKUP(A43,'Data shares'!$C$2:$CY$543,101,0)</f>
        <v>6.7000000000000002E-3</v>
      </c>
      <c r="E43" s="86">
        <f>VLOOKUP($A43,'Data shares'!$C:$FA,74)</f>
        <v>54719350</v>
      </c>
      <c r="F43" s="86">
        <f>VLOOKUP($A43,'Data shares'!$C:$FA,76)</f>
        <v>-57275</v>
      </c>
      <c r="G43" s="87">
        <f>VLOOKUP(A43,'Data shares'!$C$2:$CA$220,77,0)</f>
        <v>-1E-3</v>
      </c>
      <c r="H43" s="86">
        <f>VLOOKUP($A43,'Data shares'!$C:$FA,90)</f>
        <v>22821125</v>
      </c>
      <c r="I43" s="86">
        <f>VLOOKUP($A43,'Data shares'!$C:$FA,92)</f>
        <v>391050</v>
      </c>
      <c r="J43" s="87">
        <f>VLOOKUP($A43,'Data shares'!$C:$FA,93)</f>
        <v>1.7399999999999999E-2</v>
      </c>
      <c r="K43" s="86">
        <f>VLOOKUP($A43,'Data shares'!$C:$FA,94)</f>
        <v>20014650</v>
      </c>
      <c r="L43" s="86">
        <f>VLOOKUP($A43,'Data shares'!$C:$FA,96)</f>
        <v>316000</v>
      </c>
      <c r="M43" s="87">
        <f>VLOOKUP($A43,'Data shares'!$C:$FA,97)</f>
        <v>1.6E-2</v>
      </c>
      <c r="N43" s="86">
        <f>VLOOKUP($A43,'Data shares'!$C:$FA,78)</f>
        <v>52161725</v>
      </c>
      <c r="O43" s="87">
        <f>VLOOKUP($A43,'Data shares'!$C:$FA,81)</f>
        <v>-2.3999999999999998E-3</v>
      </c>
    </row>
    <row r="44" spans="1:15" x14ac:dyDescent="0.25">
      <c r="A44" s="100" t="str">
        <f>'Data Vlaue (Cr)'!C39</f>
        <v>BRITANNIA</v>
      </c>
      <c r="B44" s="82">
        <f>VLOOKUP(A44,'Data shares'!$C$2:$CV$220,98,0)</f>
        <v>3963250</v>
      </c>
      <c r="C44" s="82">
        <f>VLOOKUP(A44,'Data shares'!$C$2:$CX$220,100,0)</f>
        <v>96375</v>
      </c>
      <c r="D44" s="141">
        <f>VLOOKUP(A44,'Data shares'!$C$2:$CY$543,101,0)</f>
        <v>2.4899999999999999E-2</v>
      </c>
      <c r="E44" s="86">
        <f>VLOOKUP($A44,'Data shares'!$C:$FA,74)</f>
        <v>2789750</v>
      </c>
      <c r="F44" s="86">
        <f>VLOOKUP($A44,'Data shares'!$C:$FA,76)</f>
        <v>41375</v>
      </c>
      <c r="G44" s="87">
        <f>VLOOKUP(A44,'Data shares'!$C$2:$CA$220,77,0)</f>
        <v>1.5100000000000001E-2</v>
      </c>
      <c r="H44" s="86">
        <f>VLOOKUP($A44,'Data shares'!$C:$FA,90)</f>
        <v>569875</v>
      </c>
      <c r="I44" s="86">
        <f>VLOOKUP($A44,'Data shares'!$C:$FA,92)</f>
        <v>-10625</v>
      </c>
      <c r="J44" s="87">
        <f>VLOOKUP($A44,'Data shares'!$C:$FA,93)</f>
        <v>-1.83E-2</v>
      </c>
      <c r="K44" s="86">
        <f>VLOOKUP($A44,'Data shares'!$C:$FA,94)</f>
        <v>603625</v>
      </c>
      <c r="L44" s="86">
        <f>VLOOKUP($A44,'Data shares'!$C:$FA,96)</f>
        <v>65625</v>
      </c>
      <c r="M44" s="87">
        <f>VLOOKUP($A44,'Data shares'!$C:$FA,97)</f>
        <v>0.122</v>
      </c>
      <c r="N44" s="86">
        <f>VLOOKUP($A44,'Data shares'!$C:$FA,78)</f>
        <v>2690625</v>
      </c>
      <c r="O44" s="87">
        <f>VLOOKUP($A44,'Data shares'!$C:$FA,81)</f>
        <v>1.6E-2</v>
      </c>
    </row>
    <row r="45" spans="1:15" x14ac:dyDescent="0.25">
      <c r="A45" s="100" t="str">
        <f>'Data Vlaue (Cr)'!C40</f>
        <v>BSE</v>
      </c>
      <c r="B45" s="82">
        <f>VLOOKUP(A45,'Data shares'!$C$2:$CV$220,98,0)</f>
        <v>27006375</v>
      </c>
      <c r="C45" s="82">
        <f>VLOOKUP(A45,'Data shares'!$C$2:$CX$220,100,0)</f>
        <v>2832000</v>
      </c>
      <c r="D45" s="141">
        <f>VLOOKUP(A45,'Data shares'!$C$2:$CY$543,101,0)</f>
        <v>0.1171</v>
      </c>
      <c r="E45" s="86">
        <f>VLOOKUP($A45,'Data shares'!$C:$FA,74)</f>
        <v>8407500</v>
      </c>
      <c r="F45" s="86">
        <f>VLOOKUP($A45,'Data shares'!$C:$FA,76)</f>
        <v>454875</v>
      </c>
      <c r="G45" s="87">
        <f>VLOOKUP(A45,'Data shares'!$C$2:$CA$220,77,0)</f>
        <v>5.7200000000000001E-2</v>
      </c>
      <c r="H45" s="86">
        <f>VLOOKUP($A45,'Data shares'!$C:$FA,90)</f>
        <v>8000250</v>
      </c>
      <c r="I45" s="86">
        <f>VLOOKUP($A45,'Data shares'!$C:$FA,92)</f>
        <v>924000</v>
      </c>
      <c r="J45" s="87">
        <f>VLOOKUP($A45,'Data shares'!$C:$FA,93)</f>
        <v>0.13059999999999999</v>
      </c>
      <c r="K45" s="86">
        <f>VLOOKUP($A45,'Data shares'!$C:$FA,94)</f>
        <v>10598625</v>
      </c>
      <c r="L45" s="86">
        <f>VLOOKUP($A45,'Data shares'!$C:$FA,96)</f>
        <v>1453125</v>
      </c>
      <c r="M45" s="87">
        <f>VLOOKUP($A45,'Data shares'!$C:$FA,97)</f>
        <v>0.15890000000000001</v>
      </c>
      <c r="N45" s="86">
        <f>VLOOKUP($A45,'Data shares'!$C:$FA,78)</f>
        <v>7321500</v>
      </c>
      <c r="O45" s="87">
        <f>VLOOKUP($A45,'Data shares'!$C:$FA,81)</f>
        <v>2.0400000000000001E-2</v>
      </c>
    </row>
    <row r="46" spans="1:15" x14ac:dyDescent="0.25">
      <c r="A46" s="100" t="str">
        <f>'Data Vlaue (Cr)'!C41</f>
        <v>CAMS</v>
      </c>
      <c r="B46" s="82">
        <f>VLOOKUP(A46,'Data shares'!$C$2:$CV$220,98,0)</f>
        <v>13125750</v>
      </c>
      <c r="C46" s="82">
        <f>VLOOKUP(A46,'Data shares'!$C$2:$CX$220,100,0)</f>
        <v>1050000</v>
      </c>
      <c r="D46" s="141">
        <f>VLOOKUP(A46,'Data shares'!$C$2:$CY$543,101,0)</f>
        <v>8.6999999999999994E-2</v>
      </c>
      <c r="E46" s="86">
        <f>VLOOKUP($A46,'Data shares'!$C:$FA,74)</f>
        <v>7596000</v>
      </c>
      <c r="F46" s="86">
        <f>VLOOKUP($A46,'Data shares'!$C:$FA,76)</f>
        <v>221250</v>
      </c>
      <c r="G46" s="87">
        <f>VLOOKUP(A46,'Data shares'!$C$2:$CA$220,77,0)</f>
        <v>0.03</v>
      </c>
      <c r="H46" s="86">
        <f>VLOOKUP($A46,'Data shares'!$C:$FA,90)</f>
        <v>2984250</v>
      </c>
      <c r="I46" s="86">
        <f>VLOOKUP($A46,'Data shares'!$C:$FA,92)</f>
        <v>330000</v>
      </c>
      <c r="J46" s="87">
        <f>VLOOKUP($A46,'Data shares'!$C:$FA,93)</f>
        <v>0.12429999999999999</v>
      </c>
      <c r="K46" s="86">
        <f>VLOOKUP($A46,'Data shares'!$C:$FA,94)</f>
        <v>2545500</v>
      </c>
      <c r="L46" s="86">
        <f>VLOOKUP($A46,'Data shares'!$C:$FA,96)</f>
        <v>498750</v>
      </c>
      <c r="M46" s="87">
        <f>VLOOKUP($A46,'Data shares'!$C:$FA,97)</f>
        <v>0.2437</v>
      </c>
      <c r="N46" s="86">
        <f>VLOOKUP($A46,'Data shares'!$C:$FA,78)</f>
        <v>6367500</v>
      </c>
      <c r="O46" s="87">
        <f>VLOOKUP($A46,'Data shares'!$C:$FA,81)</f>
        <v>1.3100000000000001E-2</v>
      </c>
    </row>
    <row r="47" spans="1:15" x14ac:dyDescent="0.25">
      <c r="A47" s="100" t="str">
        <f>'Data Vlaue (Cr)'!C42</f>
        <v>CANBK</v>
      </c>
      <c r="B47" s="82">
        <f>VLOOKUP(A47,'Data shares'!$C$2:$CV$220,98,0)</f>
        <v>343608750</v>
      </c>
      <c r="C47" s="82">
        <f>VLOOKUP(A47,'Data shares'!$C$2:$CX$220,100,0)</f>
        <v>1775250</v>
      </c>
      <c r="D47" s="141">
        <f>VLOOKUP(A47,'Data shares'!$C$2:$CY$543,101,0)</f>
        <v>5.1999999999999998E-3</v>
      </c>
      <c r="E47" s="86">
        <f>VLOOKUP($A47,'Data shares'!$C:$FA,74)</f>
        <v>198470250</v>
      </c>
      <c r="F47" s="86">
        <f>VLOOKUP($A47,'Data shares'!$C:$FA,76)</f>
        <v>74250</v>
      </c>
      <c r="G47" s="87">
        <f>VLOOKUP(A47,'Data shares'!$C$2:$CA$220,77,0)</f>
        <v>4.0000000000000002E-4</v>
      </c>
      <c r="H47" s="86">
        <f>VLOOKUP($A47,'Data shares'!$C:$FA,90)</f>
        <v>75303000</v>
      </c>
      <c r="I47" s="86">
        <f>VLOOKUP($A47,'Data shares'!$C:$FA,92)</f>
        <v>1107000</v>
      </c>
      <c r="J47" s="87">
        <f>VLOOKUP($A47,'Data shares'!$C:$FA,93)</f>
        <v>1.49E-2</v>
      </c>
      <c r="K47" s="86">
        <f>VLOOKUP($A47,'Data shares'!$C:$FA,94)</f>
        <v>69835500</v>
      </c>
      <c r="L47" s="86">
        <f>VLOOKUP($A47,'Data shares'!$C:$FA,96)</f>
        <v>594000</v>
      </c>
      <c r="M47" s="87">
        <f>VLOOKUP($A47,'Data shares'!$C:$FA,97)</f>
        <v>8.6E-3</v>
      </c>
      <c r="N47" s="86">
        <f>VLOOKUP($A47,'Data shares'!$C:$FA,78)</f>
        <v>167514750</v>
      </c>
      <c r="O47" s="87">
        <f>VLOOKUP($A47,'Data shares'!$C:$FA,81)</f>
        <v>-8.3000000000000004E-2</v>
      </c>
    </row>
    <row r="48" spans="1:15" x14ac:dyDescent="0.25">
      <c r="A48" s="100" t="str">
        <f>'Data Vlaue (Cr)'!C43</f>
        <v>CDSL</v>
      </c>
      <c r="B48" s="82">
        <f>VLOOKUP(A48,'Data shares'!$C$2:$CV$220,98,0)</f>
        <v>20244500</v>
      </c>
      <c r="C48" s="82">
        <f>VLOOKUP(A48,'Data shares'!$C$2:$CX$220,100,0)</f>
        <v>500175</v>
      </c>
      <c r="D48" s="141">
        <f>VLOOKUP(A48,'Data shares'!$C$2:$CY$543,101,0)</f>
        <v>2.53E-2</v>
      </c>
      <c r="E48" s="86">
        <f>VLOOKUP($A48,'Data shares'!$C:$FA,74)</f>
        <v>10949225</v>
      </c>
      <c r="F48" s="86">
        <f>VLOOKUP($A48,'Data shares'!$C:$FA,76)</f>
        <v>-66025</v>
      </c>
      <c r="G48" s="87">
        <f>VLOOKUP(A48,'Data shares'!$C$2:$CA$220,77,0)</f>
        <v>-6.0000000000000001E-3</v>
      </c>
      <c r="H48" s="86">
        <f>VLOOKUP($A48,'Data shares'!$C:$FA,90)</f>
        <v>4859725</v>
      </c>
      <c r="I48" s="86">
        <f>VLOOKUP($A48,'Data shares'!$C:$FA,92)</f>
        <v>233700</v>
      </c>
      <c r="J48" s="87">
        <f>VLOOKUP($A48,'Data shares'!$C:$FA,93)</f>
        <v>5.0500000000000003E-2</v>
      </c>
      <c r="K48" s="86">
        <f>VLOOKUP($A48,'Data shares'!$C:$FA,94)</f>
        <v>4435550</v>
      </c>
      <c r="L48" s="86">
        <f>VLOOKUP($A48,'Data shares'!$C:$FA,96)</f>
        <v>332500</v>
      </c>
      <c r="M48" s="87">
        <f>VLOOKUP($A48,'Data shares'!$C:$FA,97)</f>
        <v>8.1000000000000003E-2</v>
      </c>
      <c r="N48" s="86">
        <f>VLOOKUP($A48,'Data shares'!$C:$FA,78)</f>
        <v>7675525</v>
      </c>
      <c r="O48" s="87">
        <f>VLOOKUP($A48,'Data shares'!$C:$FA,81)</f>
        <v>-2.76E-2</v>
      </c>
    </row>
    <row r="49" spans="1:15" x14ac:dyDescent="0.25">
      <c r="A49" s="100" t="str">
        <f>'Data Vlaue (Cr)'!C44</f>
        <v>CGPOWER</v>
      </c>
      <c r="B49" s="82">
        <f>VLOOKUP(A49,'Data shares'!$C$2:$CV$220,98,0)</f>
        <v>26677250</v>
      </c>
      <c r="C49" s="82">
        <f>VLOOKUP(A49,'Data shares'!$C$2:$CX$220,100,0)</f>
        <v>-417350</v>
      </c>
      <c r="D49" s="141">
        <f>VLOOKUP(A49,'Data shares'!$C$2:$CY$543,101,0)</f>
        <v>-1.54E-2</v>
      </c>
      <c r="E49" s="86">
        <f>VLOOKUP($A49,'Data shares'!$C:$FA,74)</f>
        <v>19886600</v>
      </c>
      <c r="F49" s="86">
        <f>VLOOKUP($A49,'Data shares'!$C:$FA,76)</f>
        <v>-453050</v>
      </c>
      <c r="G49" s="87">
        <f>VLOOKUP(A49,'Data shares'!$C$2:$CA$220,77,0)</f>
        <v>-2.23E-2</v>
      </c>
      <c r="H49" s="86">
        <f>VLOOKUP($A49,'Data shares'!$C:$FA,90)</f>
        <v>4134400</v>
      </c>
      <c r="I49" s="86">
        <f>VLOOKUP($A49,'Data shares'!$C:$FA,92)</f>
        <v>-104550</v>
      </c>
      <c r="J49" s="87">
        <f>VLOOKUP($A49,'Data shares'!$C:$FA,93)</f>
        <v>-2.47E-2</v>
      </c>
      <c r="K49" s="86">
        <f>VLOOKUP($A49,'Data shares'!$C:$FA,94)</f>
        <v>2656250</v>
      </c>
      <c r="L49" s="86">
        <f>VLOOKUP($A49,'Data shares'!$C:$FA,96)</f>
        <v>140250</v>
      </c>
      <c r="M49" s="87">
        <f>VLOOKUP($A49,'Data shares'!$C:$FA,97)</f>
        <v>5.57E-2</v>
      </c>
      <c r="N49" s="86">
        <f>VLOOKUP($A49,'Data shares'!$C:$FA,78)</f>
        <v>18067600</v>
      </c>
      <c r="O49" s="87">
        <f>VLOOKUP($A49,'Data shares'!$C:$FA,81)</f>
        <v>-2.7099999999999999E-2</v>
      </c>
    </row>
    <row r="50" spans="1:15" x14ac:dyDescent="0.25">
      <c r="A50" s="100" t="str">
        <f>'Data Vlaue (Cr)'!C45</f>
        <v>CHOLAFIN</v>
      </c>
      <c r="B50" s="82">
        <f>VLOOKUP(A50,'Data shares'!$C$2:$CV$220,98,0)</f>
        <v>28711250</v>
      </c>
      <c r="C50" s="82">
        <f>VLOOKUP(A50,'Data shares'!$C$2:$CX$220,100,0)</f>
        <v>202500</v>
      </c>
      <c r="D50" s="141">
        <f>VLOOKUP(A50,'Data shares'!$C$2:$CY$543,101,0)</f>
        <v>7.1000000000000004E-3</v>
      </c>
      <c r="E50" s="86">
        <f>VLOOKUP($A50,'Data shares'!$C:$FA,74)</f>
        <v>19915000</v>
      </c>
      <c r="F50" s="86">
        <f>VLOOKUP($A50,'Data shares'!$C:$FA,76)</f>
        <v>-237500</v>
      </c>
      <c r="G50" s="87">
        <f>VLOOKUP(A50,'Data shares'!$C$2:$CA$220,77,0)</f>
        <v>-1.18E-2</v>
      </c>
      <c r="H50" s="86">
        <f>VLOOKUP($A50,'Data shares'!$C:$FA,90)</f>
        <v>4740625</v>
      </c>
      <c r="I50" s="86">
        <f>VLOOKUP($A50,'Data shares'!$C:$FA,92)</f>
        <v>260000</v>
      </c>
      <c r="J50" s="87">
        <f>VLOOKUP($A50,'Data shares'!$C:$FA,93)</f>
        <v>5.8000000000000003E-2</v>
      </c>
      <c r="K50" s="86">
        <f>VLOOKUP($A50,'Data shares'!$C:$FA,94)</f>
        <v>4055625</v>
      </c>
      <c r="L50" s="86">
        <f>VLOOKUP($A50,'Data shares'!$C:$FA,96)</f>
        <v>180000</v>
      </c>
      <c r="M50" s="87">
        <f>VLOOKUP($A50,'Data shares'!$C:$FA,97)</f>
        <v>4.6399999999999997E-2</v>
      </c>
      <c r="N50" s="86">
        <f>VLOOKUP($A50,'Data shares'!$C:$FA,78)</f>
        <v>18500625</v>
      </c>
      <c r="O50" s="87">
        <f>VLOOKUP($A50,'Data shares'!$C:$FA,81)</f>
        <v>-5.2400000000000002E-2</v>
      </c>
    </row>
    <row r="51" spans="1:15" x14ac:dyDescent="0.25">
      <c r="A51" s="100" t="str">
        <f>'Data Vlaue (Cr)'!C46</f>
        <v>CIPLA</v>
      </c>
      <c r="B51" s="82">
        <f>VLOOKUP(A51,'Data shares'!$C$2:$CV$220,98,0)</f>
        <v>23799375</v>
      </c>
      <c r="C51" s="82">
        <f>VLOOKUP(A51,'Data shares'!$C$2:$CX$220,100,0)</f>
        <v>46125</v>
      </c>
      <c r="D51" s="141">
        <f>VLOOKUP(A51,'Data shares'!$C$2:$CY$543,101,0)</f>
        <v>1.9E-3</v>
      </c>
      <c r="E51" s="86">
        <f>VLOOKUP($A51,'Data shares'!$C:$FA,74)</f>
        <v>15688125</v>
      </c>
      <c r="F51" s="86">
        <f>VLOOKUP($A51,'Data shares'!$C:$FA,76)</f>
        <v>136125</v>
      </c>
      <c r="G51" s="87">
        <f>VLOOKUP(A51,'Data shares'!$C$2:$CA$220,77,0)</f>
        <v>8.8000000000000005E-3</v>
      </c>
      <c r="H51" s="86">
        <f>VLOOKUP($A51,'Data shares'!$C:$FA,90)</f>
        <v>4284375</v>
      </c>
      <c r="I51" s="86">
        <f>VLOOKUP($A51,'Data shares'!$C:$FA,92)</f>
        <v>-218625</v>
      </c>
      <c r="J51" s="87">
        <f>VLOOKUP($A51,'Data shares'!$C:$FA,93)</f>
        <v>-4.8599999999999997E-2</v>
      </c>
      <c r="K51" s="86">
        <f>VLOOKUP($A51,'Data shares'!$C:$FA,94)</f>
        <v>3826875</v>
      </c>
      <c r="L51" s="86">
        <f>VLOOKUP($A51,'Data shares'!$C:$FA,96)</f>
        <v>128625</v>
      </c>
      <c r="M51" s="87">
        <f>VLOOKUP($A51,'Data shares'!$C:$FA,97)</f>
        <v>3.4799999999999998E-2</v>
      </c>
      <c r="N51" s="86">
        <f>VLOOKUP($A51,'Data shares'!$C:$FA,78)</f>
        <v>14026500</v>
      </c>
      <c r="O51" s="87">
        <f>VLOOKUP($A51,'Data shares'!$C:$FA,81)</f>
        <v>3.5000000000000001E-3</v>
      </c>
    </row>
    <row r="52" spans="1:15" x14ac:dyDescent="0.25">
      <c r="A52" s="100" t="str">
        <f>'Data Vlaue (Cr)'!C47</f>
        <v>COALINDIA</v>
      </c>
      <c r="B52" s="82">
        <f>VLOOKUP(A52,'Data shares'!$C$2:$CV$220,98,0)</f>
        <v>142797600</v>
      </c>
      <c r="C52" s="82">
        <f>VLOOKUP(A52,'Data shares'!$C$2:$CX$220,100,0)</f>
        <v>1634850</v>
      </c>
      <c r="D52" s="141">
        <f>VLOOKUP(A52,'Data shares'!$C$2:$CY$543,101,0)</f>
        <v>1.1599999999999999E-2</v>
      </c>
      <c r="E52" s="86">
        <f>VLOOKUP($A52,'Data shares'!$C:$FA,74)</f>
        <v>70181100</v>
      </c>
      <c r="F52" s="86">
        <f>VLOOKUP($A52,'Data shares'!$C:$FA,76)</f>
        <v>-217350</v>
      </c>
      <c r="G52" s="87">
        <f>VLOOKUP(A52,'Data shares'!$C$2:$CA$220,77,0)</f>
        <v>-3.0999999999999999E-3</v>
      </c>
      <c r="H52" s="86">
        <f>VLOOKUP($A52,'Data shares'!$C:$FA,90)</f>
        <v>44246250</v>
      </c>
      <c r="I52" s="86">
        <f>VLOOKUP($A52,'Data shares'!$C:$FA,92)</f>
        <v>-909900</v>
      </c>
      <c r="J52" s="87">
        <f>VLOOKUP($A52,'Data shares'!$C:$FA,93)</f>
        <v>-2.0199999999999999E-2</v>
      </c>
      <c r="K52" s="86">
        <f>VLOOKUP($A52,'Data shares'!$C:$FA,94)</f>
        <v>28370250</v>
      </c>
      <c r="L52" s="86">
        <f>VLOOKUP($A52,'Data shares'!$C:$FA,96)</f>
        <v>2762100</v>
      </c>
      <c r="M52" s="87">
        <f>VLOOKUP($A52,'Data shares'!$C:$FA,97)</f>
        <v>0.1079</v>
      </c>
      <c r="N52" s="86">
        <f>VLOOKUP($A52,'Data shares'!$C:$FA,78)</f>
        <v>62379450</v>
      </c>
      <c r="O52" s="87">
        <f>VLOOKUP($A52,'Data shares'!$C:$FA,81)</f>
        <v>-2.1100000000000001E-2</v>
      </c>
    </row>
    <row r="53" spans="1:15" x14ac:dyDescent="0.25">
      <c r="A53" s="100" t="str">
        <f>'Data Vlaue (Cr)'!C48</f>
        <v>COCHINSHIP</v>
      </c>
      <c r="B53" s="82">
        <f>VLOOKUP(A53,'Data shares'!$C$2:$CV$220,98,0)</f>
        <v>3617600</v>
      </c>
      <c r="C53" s="82">
        <f>VLOOKUP(A53,'Data shares'!$C$2:$CX$220,100,0)</f>
        <v>704000</v>
      </c>
      <c r="D53" s="141">
        <f>VLOOKUP(A53,'Data shares'!$C$2:$CY$543,101,0)</f>
        <v>0.24160000000000001</v>
      </c>
      <c r="E53" s="86">
        <f>VLOOKUP($A53,'Data shares'!$C:$FA,74)</f>
        <v>1795200</v>
      </c>
      <c r="F53" s="86">
        <f>VLOOKUP($A53,'Data shares'!$C:$FA,76)</f>
        <v>327600</v>
      </c>
      <c r="G53" s="87">
        <f>VLOOKUP(A53,'Data shares'!$C$2:$CA$220,77,0)</f>
        <v>0.22320000000000001</v>
      </c>
      <c r="H53" s="86">
        <f>VLOOKUP($A53,'Data shares'!$C:$FA,90)</f>
        <v>1083200</v>
      </c>
      <c r="I53" s="86">
        <f>VLOOKUP($A53,'Data shares'!$C:$FA,92)</f>
        <v>253600</v>
      </c>
      <c r="J53" s="87">
        <f>VLOOKUP($A53,'Data shares'!$C:$FA,93)</f>
        <v>0.30570000000000003</v>
      </c>
      <c r="K53" s="86">
        <f>VLOOKUP($A53,'Data shares'!$C:$FA,94)</f>
        <v>739200</v>
      </c>
      <c r="L53" s="86">
        <f>VLOOKUP($A53,'Data shares'!$C:$FA,96)</f>
        <v>122800</v>
      </c>
      <c r="M53" s="87">
        <f>VLOOKUP($A53,'Data shares'!$C:$FA,97)</f>
        <v>0.19919999999999999</v>
      </c>
      <c r="N53" s="86">
        <f>VLOOKUP($A53,'Data shares'!$C:$FA,78)</f>
        <v>1401200</v>
      </c>
      <c r="O53" s="87">
        <f>VLOOKUP($A53,'Data shares'!$C:$FA,81)</f>
        <v>0.2515</v>
      </c>
    </row>
    <row r="54" spans="1:15" x14ac:dyDescent="0.25">
      <c r="A54" s="100" t="str">
        <f>'Data Vlaue (Cr)'!C49</f>
        <v>COFORGE</v>
      </c>
      <c r="B54" s="82">
        <f>VLOOKUP(A54,'Data shares'!$C$2:$CV$220,98,0)</f>
        <v>30873000</v>
      </c>
      <c r="C54" s="82">
        <f>VLOOKUP(A54,'Data shares'!$C$2:$CX$220,100,0)</f>
        <v>-53250</v>
      </c>
      <c r="D54" s="141">
        <f>VLOOKUP(A54,'Data shares'!$C$2:$CY$543,101,0)</f>
        <v>-1.6999999999999999E-3</v>
      </c>
      <c r="E54" s="86">
        <f>VLOOKUP($A54,'Data shares'!$C:$FA,74)</f>
        <v>18288000</v>
      </c>
      <c r="F54" s="86">
        <f>VLOOKUP($A54,'Data shares'!$C:$FA,76)</f>
        <v>-271125</v>
      </c>
      <c r="G54" s="87">
        <f>VLOOKUP(A54,'Data shares'!$C$2:$CA$220,77,0)</f>
        <v>-1.46E-2</v>
      </c>
      <c r="H54" s="86">
        <f>VLOOKUP($A54,'Data shares'!$C:$FA,90)</f>
        <v>7639500</v>
      </c>
      <c r="I54" s="86">
        <f>VLOOKUP($A54,'Data shares'!$C:$FA,92)</f>
        <v>54750</v>
      </c>
      <c r="J54" s="87">
        <f>VLOOKUP($A54,'Data shares'!$C:$FA,93)</f>
        <v>7.1999999999999998E-3</v>
      </c>
      <c r="K54" s="86">
        <f>VLOOKUP($A54,'Data shares'!$C:$FA,94)</f>
        <v>4945500</v>
      </c>
      <c r="L54" s="86">
        <f>VLOOKUP($A54,'Data shares'!$C:$FA,96)</f>
        <v>163125</v>
      </c>
      <c r="M54" s="87">
        <f>VLOOKUP($A54,'Data shares'!$C:$FA,97)</f>
        <v>3.4099999999999998E-2</v>
      </c>
      <c r="N54" s="86">
        <f>VLOOKUP($A54,'Data shares'!$C:$FA,78)</f>
        <v>17191125</v>
      </c>
      <c r="O54" s="87">
        <f>VLOOKUP($A54,'Data shares'!$C:$FA,81)</f>
        <v>-2.1299999999999999E-2</v>
      </c>
    </row>
    <row r="55" spans="1:15" x14ac:dyDescent="0.25">
      <c r="A55" s="100" t="str">
        <f>'Data Vlaue (Cr)'!C50</f>
        <v>COLPAL</v>
      </c>
      <c r="B55" s="82">
        <f>VLOOKUP(A55,'Data shares'!$C$2:$CV$220,98,0)</f>
        <v>10500075</v>
      </c>
      <c r="C55" s="82">
        <f>VLOOKUP(A55,'Data shares'!$C$2:$CX$220,100,0)</f>
        <v>1680300</v>
      </c>
      <c r="D55" s="141">
        <f>VLOOKUP(A55,'Data shares'!$C$2:$CY$543,101,0)</f>
        <v>0.1905</v>
      </c>
      <c r="E55" s="86">
        <f>VLOOKUP($A55,'Data shares'!$C:$FA,74)</f>
        <v>5842575</v>
      </c>
      <c r="F55" s="86">
        <f>VLOOKUP($A55,'Data shares'!$C:$FA,76)</f>
        <v>-324450</v>
      </c>
      <c r="G55" s="87">
        <f>VLOOKUP(A55,'Data shares'!$C$2:$CA$220,77,0)</f>
        <v>-5.2600000000000001E-2</v>
      </c>
      <c r="H55" s="86">
        <f>VLOOKUP($A55,'Data shares'!$C:$FA,90)</f>
        <v>2685825</v>
      </c>
      <c r="I55" s="86">
        <f>VLOOKUP($A55,'Data shares'!$C:$FA,92)</f>
        <v>1131525</v>
      </c>
      <c r="J55" s="87">
        <f>VLOOKUP($A55,'Data shares'!$C:$FA,93)</f>
        <v>0.72799999999999998</v>
      </c>
      <c r="K55" s="86">
        <f>VLOOKUP($A55,'Data shares'!$C:$FA,94)</f>
        <v>1971675</v>
      </c>
      <c r="L55" s="86">
        <f>VLOOKUP($A55,'Data shares'!$C:$FA,96)</f>
        <v>873225</v>
      </c>
      <c r="M55" s="87">
        <f>VLOOKUP($A55,'Data shares'!$C:$FA,97)</f>
        <v>0.79500000000000004</v>
      </c>
      <c r="N55" s="86">
        <f>VLOOKUP($A55,'Data shares'!$C:$FA,78)</f>
        <v>5495625</v>
      </c>
      <c r="O55" s="87">
        <f>VLOOKUP($A55,'Data shares'!$C:$FA,81)</f>
        <v>-5.33E-2</v>
      </c>
    </row>
    <row r="56" spans="1:15" x14ac:dyDescent="0.25">
      <c r="A56" s="100" t="str">
        <f>'Data Vlaue (Cr)'!C51</f>
        <v>CONCOR</v>
      </c>
      <c r="B56" s="82">
        <f>VLOOKUP(A56,'Data shares'!$C$2:$CV$220,98,0)</f>
        <v>37010000</v>
      </c>
      <c r="C56" s="82">
        <f>VLOOKUP(A56,'Data shares'!$C$2:$CX$220,100,0)</f>
        <v>435000</v>
      </c>
      <c r="D56" s="141">
        <f>VLOOKUP(A56,'Data shares'!$C$2:$CY$543,101,0)</f>
        <v>1.1900000000000001E-2</v>
      </c>
      <c r="E56" s="86">
        <f>VLOOKUP($A56,'Data shares'!$C:$FA,74)</f>
        <v>25852500</v>
      </c>
      <c r="F56" s="86">
        <f>VLOOKUP($A56,'Data shares'!$C:$FA,76)</f>
        <v>452500</v>
      </c>
      <c r="G56" s="87">
        <f>VLOOKUP(A56,'Data shares'!$C$2:$CA$220,77,0)</f>
        <v>1.78E-2</v>
      </c>
      <c r="H56" s="86">
        <f>VLOOKUP($A56,'Data shares'!$C:$FA,90)</f>
        <v>6151250</v>
      </c>
      <c r="I56" s="86">
        <f>VLOOKUP($A56,'Data shares'!$C:$FA,92)</f>
        <v>-180000</v>
      </c>
      <c r="J56" s="87">
        <f>VLOOKUP($A56,'Data shares'!$C:$FA,93)</f>
        <v>-2.8400000000000002E-2</v>
      </c>
      <c r="K56" s="86">
        <f>VLOOKUP($A56,'Data shares'!$C:$FA,94)</f>
        <v>5006250</v>
      </c>
      <c r="L56" s="86">
        <f>VLOOKUP($A56,'Data shares'!$C:$FA,96)</f>
        <v>162500</v>
      </c>
      <c r="M56" s="87">
        <f>VLOOKUP($A56,'Data shares'!$C:$FA,97)</f>
        <v>3.3500000000000002E-2</v>
      </c>
      <c r="N56" s="86">
        <f>VLOOKUP($A56,'Data shares'!$C:$FA,78)</f>
        <v>24191250</v>
      </c>
      <c r="O56" s="87">
        <f>VLOOKUP($A56,'Data shares'!$C:$FA,81)</f>
        <v>-2.3999999999999998E-3</v>
      </c>
    </row>
    <row r="57" spans="1:15" x14ac:dyDescent="0.25">
      <c r="A57" s="100" t="str">
        <f>'Data Vlaue (Cr)'!C52</f>
        <v>CROMPTON</v>
      </c>
      <c r="B57" s="82">
        <f>VLOOKUP(A57,'Data shares'!$C$2:$CV$220,98,0)</f>
        <v>65597400</v>
      </c>
      <c r="C57" s="82">
        <f>VLOOKUP(A57,'Data shares'!$C$2:$CX$220,100,0)</f>
        <v>-3600</v>
      </c>
      <c r="D57" s="141">
        <f>VLOOKUP(A57,'Data shares'!$C$2:$CY$543,101,0)</f>
        <v>-1E-4</v>
      </c>
      <c r="E57" s="86">
        <f>VLOOKUP($A57,'Data shares'!$C:$FA,74)</f>
        <v>44935200</v>
      </c>
      <c r="F57" s="86">
        <f>VLOOKUP($A57,'Data shares'!$C:$FA,76)</f>
        <v>-439200</v>
      </c>
      <c r="G57" s="87">
        <f>VLOOKUP(A57,'Data shares'!$C$2:$CA$220,77,0)</f>
        <v>-9.7000000000000003E-3</v>
      </c>
      <c r="H57" s="86">
        <f>VLOOKUP($A57,'Data shares'!$C:$FA,90)</f>
        <v>12141000</v>
      </c>
      <c r="I57" s="86">
        <f>VLOOKUP($A57,'Data shares'!$C:$FA,92)</f>
        <v>919800</v>
      </c>
      <c r="J57" s="87">
        <f>VLOOKUP($A57,'Data shares'!$C:$FA,93)</f>
        <v>8.2000000000000003E-2</v>
      </c>
      <c r="K57" s="86">
        <f>VLOOKUP($A57,'Data shares'!$C:$FA,94)</f>
        <v>8521200</v>
      </c>
      <c r="L57" s="86">
        <f>VLOOKUP($A57,'Data shares'!$C:$FA,96)</f>
        <v>-484200</v>
      </c>
      <c r="M57" s="87">
        <f>VLOOKUP($A57,'Data shares'!$C:$FA,97)</f>
        <v>-5.3800000000000001E-2</v>
      </c>
      <c r="N57" s="86">
        <f>VLOOKUP($A57,'Data shares'!$C:$FA,78)</f>
        <v>43630200</v>
      </c>
      <c r="O57" s="87">
        <f>VLOOKUP($A57,'Data shares'!$C:$FA,81)</f>
        <v>-1.2500000000000001E-2</v>
      </c>
    </row>
    <row r="58" spans="1:15" x14ac:dyDescent="0.25">
      <c r="A58" s="100" t="str">
        <f>'Data Vlaue (Cr)'!C53</f>
        <v>CUMMINSIND</v>
      </c>
      <c r="B58" s="82">
        <f>VLOOKUP(A58,'Data shares'!$C$2:$CV$220,98,0)</f>
        <v>6232600</v>
      </c>
      <c r="C58" s="82">
        <f>VLOOKUP(A58,'Data shares'!$C$2:$CX$220,100,0)</f>
        <v>335600</v>
      </c>
      <c r="D58" s="141">
        <f>VLOOKUP(A58,'Data shares'!$C$2:$CY$543,101,0)</f>
        <v>5.6899999999999999E-2</v>
      </c>
      <c r="E58" s="86">
        <f>VLOOKUP($A58,'Data shares'!$C:$FA,74)</f>
        <v>4060400</v>
      </c>
      <c r="F58" s="86">
        <f>VLOOKUP($A58,'Data shares'!$C:$FA,76)</f>
        <v>100200</v>
      </c>
      <c r="G58" s="87">
        <f>VLOOKUP(A58,'Data shares'!$C$2:$CA$220,77,0)</f>
        <v>2.53E-2</v>
      </c>
      <c r="H58" s="86">
        <f>VLOOKUP($A58,'Data shares'!$C:$FA,90)</f>
        <v>1282000</v>
      </c>
      <c r="I58" s="86">
        <f>VLOOKUP($A58,'Data shares'!$C:$FA,92)</f>
        <v>112600</v>
      </c>
      <c r="J58" s="87">
        <f>VLOOKUP($A58,'Data shares'!$C:$FA,93)</f>
        <v>9.6299999999999997E-2</v>
      </c>
      <c r="K58" s="86">
        <f>VLOOKUP($A58,'Data shares'!$C:$FA,94)</f>
        <v>890200</v>
      </c>
      <c r="L58" s="86">
        <f>VLOOKUP($A58,'Data shares'!$C:$FA,96)</f>
        <v>122800</v>
      </c>
      <c r="M58" s="87">
        <f>VLOOKUP($A58,'Data shares'!$C:$FA,97)</f>
        <v>0.16</v>
      </c>
      <c r="N58" s="86">
        <f>VLOOKUP($A58,'Data shares'!$C:$FA,78)</f>
        <v>3684800</v>
      </c>
      <c r="O58" s="87">
        <f>VLOOKUP($A58,'Data shares'!$C:$FA,81)</f>
        <v>-4.3900000000000002E-2</v>
      </c>
    </row>
    <row r="59" spans="1:15" x14ac:dyDescent="0.25">
      <c r="A59" s="100" t="str">
        <f>'Data Vlaue (Cr)'!C54</f>
        <v>DABUR</v>
      </c>
      <c r="B59" s="82">
        <f>VLOOKUP(A59,'Data shares'!$C$2:$CV$220,98,0)</f>
        <v>50657500</v>
      </c>
      <c r="C59" s="82">
        <f>VLOOKUP(A59,'Data shares'!$C$2:$CX$220,100,0)</f>
        <v>2165000</v>
      </c>
      <c r="D59" s="141">
        <f>VLOOKUP(A59,'Data shares'!$C$2:$CY$543,101,0)</f>
        <v>4.4600000000000001E-2</v>
      </c>
      <c r="E59" s="86">
        <f>VLOOKUP($A59,'Data shares'!$C:$FA,74)</f>
        <v>29197500</v>
      </c>
      <c r="F59" s="86">
        <f>VLOOKUP($A59,'Data shares'!$C:$FA,76)</f>
        <v>-512500</v>
      </c>
      <c r="G59" s="87">
        <f>VLOOKUP(A59,'Data shares'!$C$2:$CA$220,77,0)</f>
        <v>-1.7299999999999999E-2</v>
      </c>
      <c r="H59" s="86">
        <f>VLOOKUP($A59,'Data shares'!$C:$FA,90)</f>
        <v>13088750</v>
      </c>
      <c r="I59" s="86">
        <f>VLOOKUP($A59,'Data shares'!$C:$FA,92)</f>
        <v>1551250</v>
      </c>
      <c r="J59" s="87">
        <f>VLOOKUP($A59,'Data shares'!$C:$FA,93)</f>
        <v>0.13450000000000001</v>
      </c>
      <c r="K59" s="86">
        <f>VLOOKUP($A59,'Data shares'!$C:$FA,94)</f>
        <v>8371250</v>
      </c>
      <c r="L59" s="86">
        <f>VLOOKUP($A59,'Data shares'!$C:$FA,96)</f>
        <v>1126250</v>
      </c>
      <c r="M59" s="87">
        <f>VLOOKUP($A59,'Data shares'!$C:$FA,97)</f>
        <v>0.1555</v>
      </c>
      <c r="N59" s="86">
        <f>VLOOKUP($A59,'Data shares'!$C:$FA,78)</f>
        <v>27768750</v>
      </c>
      <c r="O59" s="87">
        <f>VLOOKUP($A59,'Data shares'!$C:$FA,81)</f>
        <v>-1.9900000000000001E-2</v>
      </c>
    </row>
    <row r="60" spans="1:15" x14ac:dyDescent="0.25">
      <c r="A60" s="100" t="str">
        <f>'Data Vlaue (Cr)'!C55</f>
        <v>DALBHARAT</v>
      </c>
      <c r="B60" s="82">
        <f>VLOOKUP(A60,'Data shares'!$C$2:$CV$220,98,0)</f>
        <v>4595825</v>
      </c>
      <c r="C60" s="82">
        <f>VLOOKUP(A60,'Data shares'!$C$2:$CX$220,100,0)</f>
        <v>78325</v>
      </c>
      <c r="D60" s="141">
        <f>VLOOKUP(A60,'Data shares'!$C$2:$CY$543,101,0)</f>
        <v>1.7299999999999999E-2</v>
      </c>
      <c r="E60" s="86">
        <f>VLOOKUP($A60,'Data shares'!$C:$FA,74)</f>
        <v>2569775</v>
      </c>
      <c r="F60" s="86">
        <f>VLOOKUP($A60,'Data shares'!$C:$FA,76)</f>
        <v>65975</v>
      </c>
      <c r="G60" s="87">
        <f>VLOOKUP(A60,'Data shares'!$C$2:$CA$220,77,0)</f>
        <v>2.63E-2</v>
      </c>
      <c r="H60" s="86">
        <f>VLOOKUP($A60,'Data shares'!$C:$FA,90)</f>
        <v>1019525</v>
      </c>
      <c r="I60" s="86">
        <f>VLOOKUP($A60,'Data shares'!$C:$FA,92)</f>
        <v>69225</v>
      </c>
      <c r="J60" s="87">
        <f>VLOOKUP($A60,'Data shares'!$C:$FA,93)</f>
        <v>7.2800000000000004E-2</v>
      </c>
      <c r="K60" s="86">
        <f>VLOOKUP($A60,'Data shares'!$C:$FA,94)</f>
        <v>1006525</v>
      </c>
      <c r="L60" s="86">
        <f>VLOOKUP($A60,'Data shares'!$C:$FA,96)</f>
        <v>-56875</v>
      </c>
      <c r="M60" s="87">
        <f>VLOOKUP($A60,'Data shares'!$C:$FA,97)</f>
        <v>-5.3499999999999999E-2</v>
      </c>
      <c r="N60" s="86">
        <f>VLOOKUP($A60,'Data shares'!$C:$FA,78)</f>
        <v>2503150</v>
      </c>
      <c r="O60" s="87">
        <f>VLOOKUP($A60,'Data shares'!$C:$FA,81)</f>
        <v>1.9199999999999998E-2</v>
      </c>
    </row>
    <row r="61" spans="1:15" x14ac:dyDescent="0.25">
      <c r="A61" s="100" t="str">
        <f>'Data Vlaue (Cr)'!C56</f>
        <v>DELHIVERY</v>
      </c>
      <c r="B61" s="82">
        <f>VLOOKUP(A61,'Data shares'!$C$2:$CV$220,98,0)</f>
        <v>51775400</v>
      </c>
      <c r="C61" s="82">
        <f>VLOOKUP(A61,'Data shares'!$C$2:$CX$220,100,0)</f>
        <v>6687725</v>
      </c>
      <c r="D61" s="141">
        <f>VLOOKUP(A61,'Data shares'!$C$2:$CY$543,101,0)</f>
        <v>0.14829999999999999</v>
      </c>
      <c r="E61" s="86">
        <f>VLOOKUP($A61,'Data shares'!$C:$FA,74)</f>
        <v>31770325</v>
      </c>
      <c r="F61" s="86">
        <f>VLOOKUP($A61,'Data shares'!$C:$FA,76)</f>
        <v>1628875</v>
      </c>
      <c r="G61" s="87">
        <f>VLOOKUP(A61,'Data shares'!$C$2:$CA$220,77,0)</f>
        <v>5.3999999999999999E-2</v>
      </c>
      <c r="H61" s="86">
        <f>VLOOKUP($A61,'Data shares'!$C:$FA,90)</f>
        <v>14435775</v>
      </c>
      <c r="I61" s="86">
        <f>VLOOKUP($A61,'Data shares'!$C:$FA,92)</f>
        <v>4189425</v>
      </c>
      <c r="J61" s="87">
        <f>VLOOKUP($A61,'Data shares'!$C:$FA,93)</f>
        <v>0.40889999999999999</v>
      </c>
      <c r="K61" s="86">
        <f>VLOOKUP($A61,'Data shares'!$C:$FA,94)</f>
        <v>5569300</v>
      </c>
      <c r="L61" s="86">
        <f>VLOOKUP($A61,'Data shares'!$C:$FA,96)</f>
        <v>869425</v>
      </c>
      <c r="M61" s="87">
        <f>VLOOKUP($A61,'Data shares'!$C:$FA,97)</f>
        <v>0.185</v>
      </c>
      <c r="N61" s="86">
        <f>VLOOKUP($A61,'Data shares'!$C:$FA,78)</f>
        <v>30834500</v>
      </c>
      <c r="O61" s="87">
        <f>VLOOKUP($A61,'Data shares'!$C:$FA,81)</f>
        <v>5.1299999999999998E-2</v>
      </c>
    </row>
    <row r="62" spans="1:15" x14ac:dyDescent="0.25">
      <c r="A62" s="100" t="str">
        <f>'Data Vlaue (Cr)'!C57</f>
        <v>DIVISLAB</v>
      </c>
      <c r="B62" s="82">
        <f>VLOOKUP(A62,'Data shares'!$C$2:$CV$220,98,0)</f>
        <v>4199800</v>
      </c>
      <c r="C62" s="82">
        <f>VLOOKUP(A62,'Data shares'!$C$2:$CX$220,100,0)</f>
        <v>68000</v>
      </c>
      <c r="D62" s="141">
        <f>VLOOKUP(A62,'Data shares'!$C$2:$CY$543,101,0)</f>
        <v>1.6500000000000001E-2</v>
      </c>
      <c r="E62" s="86">
        <f>VLOOKUP($A62,'Data shares'!$C:$FA,74)</f>
        <v>2755500</v>
      </c>
      <c r="F62" s="86">
        <f>VLOOKUP($A62,'Data shares'!$C:$FA,76)</f>
        <v>-14200</v>
      </c>
      <c r="G62" s="87">
        <f>VLOOKUP(A62,'Data shares'!$C$2:$CA$220,77,0)</f>
        <v>-5.1000000000000004E-3</v>
      </c>
      <c r="H62" s="86">
        <f>VLOOKUP($A62,'Data shares'!$C:$FA,90)</f>
        <v>704900</v>
      </c>
      <c r="I62" s="86">
        <f>VLOOKUP($A62,'Data shares'!$C:$FA,92)</f>
        <v>85900</v>
      </c>
      <c r="J62" s="87">
        <f>VLOOKUP($A62,'Data shares'!$C:$FA,93)</f>
        <v>0.13880000000000001</v>
      </c>
      <c r="K62" s="86">
        <f>VLOOKUP($A62,'Data shares'!$C:$FA,94)</f>
        <v>739400</v>
      </c>
      <c r="L62" s="86">
        <f>VLOOKUP($A62,'Data shares'!$C:$FA,96)</f>
        <v>-3700</v>
      </c>
      <c r="M62" s="87">
        <f>VLOOKUP($A62,'Data shares'!$C:$FA,97)</f>
        <v>-5.0000000000000001E-3</v>
      </c>
      <c r="N62" s="86">
        <f>VLOOKUP($A62,'Data shares'!$C:$FA,78)</f>
        <v>2665900</v>
      </c>
      <c r="O62" s="87">
        <f>VLOOKUP($A62,'Data shares'!$C:$FA,81)</f>
        <v>-8.0999999999999996E-3</v>
      </c>
    </row>
    <row r="63" spans="1:15" x14ac:dyDescent="0.25">
      <c r="A63" s="100" t="str">
        <f>'Data Vlaue (Cr)'!C58</f>
        <v>DIXON</v>
      </c>
      <c r="B63" s="82">
        <f>VLOOKUP(A63,'Data shares'!$C$2:$CV$220,98,0)</f>
        <v>6749450</v>
      </c>
      <c r="C63" s="82">
        <f>VLOOKUP(A63,'Data shares'!$C$2:$CX$220,100,0)</f>
        <v>-132550</v>
      </c>
      <c r="D63" s="141">
        <f>VLOOKUP(A63,'Data shares'!$C$2:$CY$543,101,0)</f>
        <v>-1.9300000000000001E-2</v>
      </c>
      <c r="E63" s="86">
        <f>VLOOKUP($A63,'Data shares'!$C:$FA,74)</f>
        <v>3106250</v>
      </c>
      <c r="F63" s="86">
        <f>VLOOKUP($A63,'Data shares'!$C:$FA,76)</f>
        <v>-61450</v>
      </c>
      <c r="G63" s="87">
        <f>VLOOKUP(A63,'Data shares'!$C$2:$CA$220,77,0)</f>
        <v>-1.9400000000000001E-2</v>
      </c>
      <c r="H63" s="86">
        <f>VLOOKUP($A63,'Data shares'!$C:$FA,90)</f>
        <v>2089600</v>
      </c>
      <c r="I63" s="86">
        <f>VLOOKUP($A63,'Data shares'!$C:$FA,92)</f>
        <v>-88400</v>
      </c>
      <c r="J63" s="87">
        <f>VLOOKUP($A63,'Data shares'!$C:$FA,93)</f>
        <v>-4.0599999999999997E-2</v>
      </c>
      <c r="K63" s="86">
        <f>VLOOKUP($A63,'Data shares'!$C:$FA,94)</f>
        <v>1553600</v>
      </c>
      <c r="L63" s="86">
        <f>VLOOKUP($A63,'Data shares'!$C:$FA,96)</f>
        <v>17300</v>
      </c>
      <c r="M63" s="87">
        <f>VLOOKUP($A63,'Data shares'!$C:$FA,97)</f>
        <v>1.1299999999999999E-2</v>
      </c>
      <c r="N63" s="86">
        <f>VLOOKUP($A63,'Data shares'!$C:$FA,78)</f>
        <v>2637700</v>
      </c>
      <c r="O63" s="87">
        <f>VLOOKUP($A63,'Data shares'!$C:$FA,81)</f>
        <v>-3.5299999999999998E-2</v>
      </c>
    </row>
    <row r="64" spans="1:15" x14ac:dyDescent="0.25">
      <c r="A64" s="100" t="str">
        <f>'Data Vlaue (Cr)'!C59</f>
        <v>DLF</v>
      </c>
      <c r="B64" s="82">
        <f>VLOOKUP(A64,'Data shares'!$C$2:$CV$220,98,0)</f>
        <v>73074375</v>
      </c>
      <c r="C64" s="82">
        <f>VLOOKUP(A64,'Data shares'!$C$2:$CX$220,100,0)</f>
        <v>-1596375</v>
      </c>
      <c r="D64" s="141">
        <f>VLOOKUP(A64,'Data shares'!$C$2:$CY$543,101,0)</f>
        <v>-2.1399999999999999E-2</v>
      </c>
      <c r="E64" s="86">
        <f>VLOOKUP($A64,'Data shares'!$C:$FA,74)</f>
        <v>51309225</v>
      </c>
      <c r="F64" s="86">
        <f>VLOOKUP($A64,'Data shares'!$C:$FA,76)</f>
        <v>-1253175</v>
      </c>
      <c r="G64" s="87">
        <f>VLOOKUP(A64,'Data shares'!$C$2:$CA$220,77,0)</f>
        <v>-2.3800000000000002E-2</v>
      </c>
      <c r="H64" s="86">
        <f>VLOOKUP($A64,'Data shares'!$C:$FA,90)</f>
        <v>10480800</v>
      </c>
      <c r="I64" s="86">
        <f>VLOOKUP($A64,'Data shares'!$C:$FA,92)</f>
        <v>-198825</v>
      </c>
      <c r="J64" s="87">
        <f>VLOOKUP($A64,'Data shares'!$C:$FA,93)</f>
        <v>-1.8599999999999998E-2</v>
      </c>
      <c r="K64" s="86">
        <f>VLOOKUP($A64,'Data shares'!$C:$FA,94)</f>
        <v>11284350</v>
      </c>
      <c r="L64" s="86">
        <f>VLOOKUP($A64,'Data shares'!$C:$FA,96)</f>
        <v>-144375</v>
      </c>
      <c r="M64" s="87">
        <f>VLOOKUP($A64,'Data shares'!$C:$FA,97)</f>
        <v>-1.26E-2</v>
      </c>
      <c r="N64" s="86">
        <f>VLOOKUP($A64,'Data shares'!$C:$FA,78)</f>
        <v>46059750</v>
      </c>
      <c r="O64" s="87">
        <f>VLOOKUP($A64,'Data shares'!$C:$FA,81)</f>
        <v>-5.8599999999999999E-2</v>
      </c>
    </row>
    <row r="65" spans="1:15" x14ac:dyDescent="0.25">
      <c r="A65" s="100" t="str">
        <f>'Data Vlaue (Cr)'!C60</f>
        <v>DMART</v>
      </c>
      <c r="B65" s="82">
        <f>VLOOKUP(A65,'Data shares'!$C$2:$CV$220,98,0)</f>
        <v>7862550</v>
      </c>
      <c r="C65" s="82">
        <f>VLOOKUP(A65,'Data shares'!$C$2:$CX$220,100,0)</f>
        <v>382050</v>
      </c>
      <c r="D65" s="141">
        <f>VLOOKUP(A65,'Data shares'!$C$2:$CY$543,101,0)</f>
        <v>5.11E-2</v>
      </c>
      <c r="E65" s="86">
        <f>VLOOKUP($A65,'Data shares'!$C:$FA,74)</f>
        <v>4034100</v>
      </c>
      <c r="F65" s="86">
        <f>VLOOKUP($A65,'Data shares'!$C:$FA,76)</f>
        <v>900</v>
      </c>
      <c r="G65" s="87">
        <f>VLOOKUP(A65,'Data shares'!$C$2:$CA$220,77,0)</f>
        <v>2.0000000000000001E-4</v>
      </c>
      <c r="H65" s="86">
        <f>VLOOKUP($A65,'Data shares'!$C:$FA,90)</f>
        <v>1949100</v>
      </c>
      <c r="I65" s="86">
        <f>VLOOKUP($A65,'Data shares'!$C:$FA,92)</f>
        <v>28650</v>
      </c>
      <c r="J65" s="87">
        <f>VLOOKUP($A65,'Data shares'!$C:$FA,93)</f>
        <v>1.49E-2</v>
      </c>
      <c r="K65" s="86">
        <f>VLOOKUP($A65,'Data shares'!$C:$FA,94)</f>
        <v>1879350</v>
      </c>
      <c r="L65" s="86">
        <f>VLOOKUP($A65,'Data shares'!$C:$FA,96)</f>
        <v>352500</v>
      </c>
      <c r="M65" s="87">
        <f>VLOOKUP($A65,'Data shares'!$C:$FA,97)</f>
        <v>0.23089999999999999</v>
      </c>
      <c r="N65" s="86">
        <f>VLOOKUP($A65,'Data shares'!$C:$FA,78)</f>
        <v>3679650</v>
      </c>
      <c r="O65" s="87">
        <f>VLOOKUP($A65,'Data shares'!$C:$FA,81)</f>
        <v>-7.7000000000000002E-3</v>
      </c>
    </row>
    <row r="66" spans="1:15" x14ac:dyDescent="0.25">
      <c r="A66" s="100" t="str">
        <f>'Data Vlaue (Cr)'!C61</f>
        <v>DRREDDY</v>
      </c>
      <c r="B66" s="82">
        <f>VLOOKUP(A66,'Data shares'!$C$2:$CV$220,98,0)</f>
        <v>26233125</v>
      </c>
      <c r="C66" s="82">
        <f>VLOOKUP(A66,'Data shares'!$C$2:$CX$220,100,0)</f>
        <v>414375</v>
      </c>
      <c r="D66" s="141">
        <f>VLOOKUP(A66,'Data shares'!$C$2:$CY$543,101,0)</f>
        <v>1.6E-2</v>
      </c>
      <c r="E66" s="86">
        <f>VLOOKUP($A66,'Data shares'!$C:$FA,74)</f>
        <v>13813750</v>
      </c>
      <c r="F66" s="86">
        <f>VLOOKUP($A66,'Data shares'!$C:$FA,76)</f>
        <v>277500</v>
      </c>
      <c r="G66" s="87">
        <f>VLOOKUP(A66,'Data shares'!$C$2:$CA$220,77,0)</f>
        <v>2.0500000000000001E-2</v>
      </c>
      <c r="H66" s="86">
        <f>VLOOKUP($A66,'Data shares'!$C:$FA,90)</f>
        <v>7251250</v>
      </c>
      <c r="I66" s="86">
        <f>VLOOKUP($A66,'Data shares'!$C:$FA,92)</f>
        <v>96875</v>
      </c>
      <c r="J66" s="87">
        <f>VLOOKUP($A66,'Data shares'!$C:$FA,93)</f>
        <v>1.35E-2</v>
      </c>
      <c r="K66" s="86">
        <f>VLOOKUP($A66,'Data shares'!$C:$FA,94)</f>
        <v>5168125</v>
      </c>
      <c r="L66" s="86">
        <f>VLOOKUP($A66,'Data shares'!$C:$FA,96)</f>
        <v>40000</v>
      </c>
      <c r="M66" s="87">
        <f>VLOOKUP($A66,'Data shares'!$C:$FA,97)</f>
        <v>7.7999999999999996E-3</v>
      </c>
      <c r="N66" s="86">
        <f>VLOOKUP($A66,'Data shares'!$C:$FA,78)</f>
        <v>12841250</v>
      </c>
      <c r="O66" s="87">
        <f>VLOOKUP($A66,'Data shares'!$C:$FA,81)</f>
        <v>7.7999999999999996E-3</v>
      </c>
    </row>
    <row r="67" spans="1:15" x14ac:dyDescent="0.25">
      <c r="A67" s="100" t="str">
        <f>'Data Vlaue (Cr)'!C62</f>
        <v>EICHERMOT</v>
      </c>
      <c r="B67" s="82">
        <f>VLOOKUP(A67,'Data shares'!$C$2:$CV$220,98,0)</f>
        <v>8195200</v>
      </c>
      <c r="C67" s="82">
        <f>VLOOKUP(A67,'Data shares'!$C$2:$CX$220,100,0)</f>
        <v>-40700</v>
      </c>
      <c r="D67" s="141">
        <f>VLOOKUP(A67,'Data shares'!$C$2:$CY$543,101,0)</f>
        <v>-4.8999999999999998E-3</v>
      </c>
      <c r="E67" s="86">
        <f>VLOOKUP($A67,'Data shares'!$C:$FA,74)</f>
        <v>4294200</v>
      </c>
      <c r="F67" s="86">
        <f>VLOOKUP($A67,'Data shares'!$C:$FA,76)</f>
        <v>-58200</v>
      </c>
      <c r="G67" s="87">
        <f>VLOOKUP(A67,'Data shares'!$C$2:$CA$220,77,0)</f>
        <v>-1.34E-2</v>
      </c>
      <c r="H67" s="86">
        <f>VLOOKUP($A67,'Data shares'!$C:$FA,90)</f>
        <v>2321600</v>
      </c>
      <c r="I67" s="86">
        <f>VLOOKUP($A67,'Data shares'!$C:$FA,92)</f>
        <v>-2300</v>
      </c>
      <c r="J67" s="87">
        <f>VLOOKUP($A67,'Data shares'!$C:$FA,93)</f>
        <v>-1E-3</v>
      </c>
      <c r="K67" s="86">
        <f>VLOOKUP($A67,'Data shares'!$C:$FA,94)</f>
        <v>1579400</v>
      </c>
      <c r="L67" s="86">
        <f>VLOOKUP($A67,'Data shares'!$C:$FA,96)</f>
        <v>19800</v>
      </c>
      <c r="M67" s="87">
        <f>VLOOKUP($A67,'Data shares'!$C:$FA,97)</f>
        <v>1.2699999999999999E-2</v>
      </c>
      <c r="N67" s="86">
        <f>VLOOKUP($A67,'Data shares'!$C:$FA,78)</f>
        <v>3626900</v>
      </c>
      <c r="O67" s="87">
        <f>VLOOKUP($A67,'Data shares'!$C:$FA,81)</f>
        <v>-1.3599999999999999E-2</v>
      </c>
    </row>
    <row r="68" spans="1:15" x14ac:dyDescent="0.25">
      <c r="A68" s="100" t="str">
        <f>'Data Vlaue (Cr)'!C63</f>
        <v>ETERNAL</v>
      </c>
      <c r="B68" s="82">
        <f>VLOOKUP(A68,'Data shares'!$C$2:$CV$220,98,0)</f>
        <v>310545500</v>
      </c>
      <c r="C68" s="82">
        <f>VLOOKUP(A68,'Data shares'!$C$2:$CX$220,100,0)</f>
        <v>-2745100</v>
      </c>
      <c r="D68" s="141">
        <f>VLOOKUP(A68,'Data shares'!$C$2:$CY$543,101,0)</f>
        <v>-8.8000000000000005E-3</v>
      </c>
      <c r="E68" s="86">
        <f>VLOOKUP($A68,'Data shares'!$C:$FA,74)</f>
        <v>195071850</v>
      </c>
      <c r="F68" s="86">
        <f>VLOOKUP($A68,'Data shares'!$C:$FA,76)</f>
        <v>-4915475</v>
      </c>
      <c r="G68" s="87">
        <f>VLOOKUP(A68,'Data shares'!$C$2:$CA$220,77,0)</f>
        <v>-2.46E-2</v>
      </c>
      <c r="H68" s="86">
        <f>VLOOKUP($A68,'Data shares'!$C:$FA,90)</f>
        <v>64820250</v>
      </c>
      <c r="I68" s="86">
        <f>VLOOKUP($A68,'Data shares'!$C:$FA,92)</f>
        <v>1442875</v>
      </c>
      <c r="J68" s="87">
        <f>VLOOKUP($A68,'Data shares'!$C:$FA,93)</f>
        <v>2.2800000000000001E-2</v>
      </c>
      <c r="K68" s="86">
        <f>VLOOKUP($A68,'Data shares'!$C:$FA,94)</f>
        <v>50653400</v>
      </c>
      <c r="L68" s="86">
        <f>VLOOKUP($A68,'Data shares'!$C:$FA,96)</f>
        <v>727500</v>
      </c>
      <c r="M68" s="87">
        <f>VLOOKUP($A68,'Data shares'!$C:$FA,97)</f>
        <v>1.46E-2</v>
      </c>
      <c r="N68" s="86">
        <f>VLOOKUP($A68,'Data shares'!$C:$FA,78)</f>
        <v>176940125</v>
      </c>
      <c r="O68" s="87">
        <f>VLOOKUP($A68,'Data shares'!$C:$FA,81)</f>
        <v>-3.2199999999999999E-2</v>
      </c>
    </row>
    <row r="69" spans="1:15" x14ac:dyDescent="0.25">
      <c r="A69" s="100" t="str">
        <f>'Data Vlaue (Cr)'!C64</f>
        <v>EXIDEIND</v>
      </c>
      <c r="B69" s="82">
        <f>VLOOKUP(A69,'Data shares'!$C$2:$CV$220,98,0)</f>
        <v>54329400</v>
      </c>
      <c r="C69" s="82">
        <f>VLOOKUP(A69,'Data shares'!$C$2:$CX$220,100,0)</f>
        <v>504000</v>
      </c>
      <c r="D69" s="141">
        <f>VLOOKUP(A69,'Data shares'!$C$2:$CY$543,101,0)</f>
        <v>9.4000000000000004E-3</v>
      </c>
      <c r="E69" s="86">
        <f>VLOOKUP($A69,'Data shares'!$C:$FA,74)</f>
        <v>28744200</v>
      </c>
      <c r="F69" s="86">
        <f>VLOOKUP($A69,'Data shares'!$C:$FA,76)</f>
        <v>-187200</v>
      </c>
      <c r="G69" s="87">
        <f>VLOOKUP(A69,'Data shares'!$C$2:$CA$220,77,0)</f>
        <v>-6.4999999999999997E-3</v>
      </c>
      <c r="H69" s="86">
        <f>VLOOKUP($A69,'Data shares'!$C:$FA,90)</f>
        <v>12963600</v>
      </c>
      <c r="I69" s="86">
        <f>VLOOKUP($A69,'Data shares'!$C:$FA,92)</f>
        <v>513000</v>
      </c>
      <c r="J69" s="87">
        <f>VLOOKUP($A69,'Data shares'!$C:$FA,93)</f>
        <v>4.1200000000000001E-2</v>
      </c>
      <c r="K69" s="86">
        <f>VLOOKUP($A69,'Data shares'!$C:$FA,94)</f>
        <v>12621600</v>
      </c>
      <c r="L69" s="86">
        <f>VLOOKUP($A69,'Data shares'!$C:$FA,96)</f>
        <v>178200</v>
      </c>
      <c r="M69" s="87">
        <f>VLOOKUP($A69,'Data shares'!$C:$FA,97)</f>
        <v>1.43E-2</v>
      </c>
      <c r="N69" s="86">
        <f>VLOOKUP($A69,'Data shares'!$C:$FA,78)</f>
        <v>26305200</v>
      </c>
      <c r="O69" s="87">
        <f>VLOOKUP($A69,'Data shares'!$C:$FA,81)</f>
        <v>-2.6100000000000002E-2</v>
      </c>
    </row>
    <row r="70" spans="1:15" x14ac:dyDescent="0.25">
      <c r="A70" s="100" t="str">
        <f>'Data Vlaue (Cr)'!C65</f>
        <v>FEDERALBNK</v>
      </c>
      <c r="B70" s="82">
        <f>VLOOKUP(A70,'Data shares'!$C$2:$CV$220,98,0)</f>
        <v>147745000</v>
      </c>
      <c r="C70" s="82">
        <f>VLOOKUP(A70,'Data shares'!$C$2:$CX$220,100,0)</f>
        <v>-2440000</v>
      </c>
      <c r="D70" s="141">
        <f>VLOOKUP(A70,'Data shares'!$C$2:$CY$543,101,0)</f>
        <v>-1.6199999999999999E-2</v>
      </c>
      <c r="E70" s="86">
        <f>VLOOKUP($A70,'Data shares'!$C:$FA,74)</f>
        <v>80455000</v>
      </c>
      <c r="F70" s="86">
        <f>VLOOKUP($A70,'Data shares'!$C:$FA,76)</f>
        <v>-1545000</v>
      </c>
      <c r="G70" s="87">
        <f>VLOOKUP(A70,'Data shares'!$C$2:$CA$220,77,0)</f>
        <v>-1.8800000000000001E-2</v>
      </c>
      <c r="H70" s="86">
        <f>VLOOKUP($A70,'Data shares'!$C:$FA,90)</f>
        <v>36580000</v>
      </c>
      <c r="I70" s="86">
        <f>VLOOKUP($A70,'Data shares'!$C:$FA,92)</f>
        <v>-3810000</v>
      </c>
      <c r="J70" s="87">
        <f>VLOOKUP($A70,'Data shares'!$C:$FA,93)</f>
        <v>-9.4299999999999995E-2</v>
      </c>
      <c r="K70" s="86">
        <f>VLOOKUP($A70,'Data shares'!$C:$FA,94)</f>
        <v>30710000</v>
      </c>
      <c r="L70" s="86">
        <f>VLOOKUP($A70,'Data shares'!$C:$FA,96)</f>
        <v>2915000</v>
      </c>
      <c r="M70" s="87">
        <f>VLOOKUP($A70,'Data shares'!$C:$FA,97)</f>
        <v>0.10489999999999999</v>
      </c>
      <c r="N70" s="86">
        <f>VLOOKUP($A70,'Data shares'!$C:$FA,78)</f>
        <v>73865000</v>
      </c>
      <c r="O70" s="87">
        <f>VLOOKUP($A70,'Data shares'!$C:$FA,81)</f>
        <v>-2.5999999999999999E-2</v>
      </c>
    </row>
    <row r="71" spans="1:15" x14ac:dyDescent="0.25">
      <c r="A71" s="100" t="str">
        <f>'Data Vlaue (Cr)'!C66</f>
        <v>FINNIFTY</v>
      </c>
      <c r="B71" s="82">
        <f>VLOOKUP(A71,'Data shares'!$C$2:$CV$220,98,0)</f>
        <v>692040</v>
      </c>
      <c r="C71" s="82">
        <f>VLOOKUP(A71,'Data shares'!$C$2:$CX$220,100,0)</f>
        <v>-13980</v>
      </c>
      <c r="D71" s="141">
        <f>VLOOKUP(A71,'Data shares'!$C$2:$CY$543,101,0)</f>
        <v>-1.9800000000000002E-2</v>
      </c>
      <c r="E71" s="86">
        <f>VLOOKUP($A71,'Data shares'!$C:$FA,74)</f>
        <v>28920</v>
      </c>
      <c r="F71" s="86">
        <f>VLOOKUP($A71,'Data shares'!$C:$FA,76)</f>
        <v>1980</v>
      </c>
      <c r="G71" s="87">
        <f>VLOOKUP(A71,'Data shares'!$C$2:$CA$220,77,0)</f>
        <v>7.3499999999999996E-2</v>
      </c>
      <c r="H71" s="86">
        <f>VLOOKUP($A71,'Data shares'!$C:$FA,90)</f>
        <v>395100</v>
      </c>
      <c r="I71" s="86">
        <f>VLOOKUP($A71,'Data shares'!$C:$FA,92)</f>
        <v>-4140</v>
      </c>
      <c r="J71" s="87">
        <f>VLOOKUP($A71,'Data shares'!$C:$FA,93)</f>
        <v>-1.04E-2</v>
      </c>
      <c r="K71" s="86">
        <f>VLOOKUP($A71,'Data shares'!$C:$FA,94)</f>
        <v>268020</v>
      </c>
      <c r="L71" s="86">
        <f>VLOOKUP($A71,'Data shares'!$C:$FA,96)</f>
        <v>-11820</v>
      </c>
      <c r="M71" s="87">
        <f>VLOOKUP($A71,'Data shares'!$C:$FA,97)</f>
        <v>-4.2200000000000001E-2</v>
      </c>
      <c r="N71" s="86">
        <f>VLOOKUP($A71,'Data shares'!$C:$FA,78)</f>
        <v>26460</v>
      </c>
      <c r="O71" s="87">
        <f>VLOOKUP($A71,'Data shares'!$C:$FA,81)</f>
        <v>6.5199999999999994E-2</v>
      </c>
    </row>
    <row r="72" spans="1:15" x14ac:dyDescent="0.25">
      <c r="A72" s="100" t="str">
        <f>'Data Vlaue (Cr)'!C67</f>
        <v>FORCEMOT</v>
      </c>
      <c r="B72" s="82">
        <f>VLOOKUP(A72,'Data shares'!$C$2:$CV$220,98,0)</f>
        <v>236500</v>
      </c>
      <c r="C72" s="82">
        <f>VLOOKUP(A72,'Data shares'!$C$2:$CX$220,100,0)</f>
        <v>16700</v>
      </c>
      <c r="D72" s="141">
        <f>VLOOKUP(A72,'Data shares'!$C$2:$CY$543,101,0)</f>
        <v>7.5999999999999998E-2</v>
      </c>
      <c r="E72" s="86">
        <f>VLOOKUP($A72,'Data shares'!$C:$FA,74)</f>
        <v>131550</v>
      </c>
      <c r="F72" s="86">
        <f>VLOOKUP($A72,'Data shares'!$C:$FA,76)</f>
        <v>11525</v>
      </c>
      <c r="G72" s="87">
        <f>VLOOKUP(A72,'Data shares'!$C$2:$CA$220,77,0)</f>
        <v>9.6000000000000002E-2</v>
      </c>
      <c r="H72" s="86">
        <f>VLOOKUP($A72,'Data shares'!$C:$FA,90)</f>
        <v>78550</v>
      </c>
      <c r="I72" s="86">
        <f>VLOOKUP($A72,'Data shares'!$C:$FA,92)</f>
        <v>5175</v>
      </c>
      <c r="J72" s="87">
        <f>VLOOKUP($A72,'Data shares'!$C:$FA,93)</f>
        <v>7.0499999999999993E-2</v>
      </c>
      <c r="K72" s="86">
        <f>VLOOKUP($A72,'Data shares'!$C:$FA,94)</f>
        <v>26400</v>
      </c>
      <c r="L72" s="86">
        <f>VLOOKUP($A72,'Data shares'!$C:$FA,96)</f>
        <v>0</v>
      </c>
      <c r="M72" s="87">
        <f>VLOOKUP($A72,'Data shares'!$C:$FA,97)</f>
        <v>0</v>
      </c>
      <c r="N72" s="86">
        <f>VLOOKUP($A72,'Data shares'!$C:$FA,78)</f>
        <v>98425</v>
      </c>
      <c r="O72" s="87">
        <f>VLOOKUP($A72,'Data shares'!$C:$FA,81)</f>
        <v>6.6600000000000006E-2</v>
      </c>
    </row>
    <row r="73" spans="1:15" x14ac:dyDescent="0.25">
      <c r="A73" s="100" t="str">
        <f>'Data Vlaue (Cr)'!C68</f>
        <v>FORTIS</v>
      </c>
      <c r="B73" s="82">
        <f>VLOOKUP(A73,'Data shares'!$C$2:$CV$220,98,0)</f>
        <v>15195425</v>
      </c>
      <c r="C73" s="82">
        <f>VLOOKUP(A73,'Data shares'!$C$2:$CX$220,100,0)</f>
        <v>88350</v>
      </c>
      <c r="D73" s="141">
        <f>VLOOKUP(A73,'Data shares'!$C$2:$CY$543,101,0)</f>
        <v>5.7999999999999996E-3</v>
      </c>
      <c r="E73" s="86">
        <f>VLOOKUP($A73,'Data shares'!$C:$FA,74)</f>
        <v>11120475</v>
      </c>
      <c r="F73" s="86">
        <f>VLOOKUP($A73,'Data shares'!$C:$FA,76)</f>
        <v>27125</v>
      </c>
      <c r="G73" s="87">
        <f>VLOOKUP(A73,'Data shares'!$C$2:$CA$220,77,0)</f>
        <v>2.3999999999999998E-3</v>
      </c>
      <c r="H73" s="86">
        <f>VLOOKUP($A73,'Data shares'!$C:$FA,90)</f>
        <v>2492400</v>
      </c>
      <c r="I73" s="86">
        <f>VLOOKUP($A73,'Data shares'!$C:$FA,92)</f>
        <v>127875</v>
      </c>
      <c r="J73" s="87">
        <f>VLOOKUP($A73,'Data shares'!$C:$FA,93)</f>
        <v>5.4100000000000002E-2</v>
      </c>
      <c r="K73" s="86">
        <f>VLOOKUP($A73,'Data shares'!$C:$FA,94)</f>
        <v>1582550</v>
      </c>
      <c r="L73" s="86">
        <f>VLOOKUP($A73,'Data shares'!$C:$FA,96)</f>
        <v>-66650</v>
      </c>
      <c r="M73" s="87">
        <f>VLOOKUP($A73,'Data shares'!$C:$FA,97)</f>
        <v>-4.0399999999999998E-2</v>
      </c>
      <c r="N73" s="86">
        <f>VLOOKUP($A73,'Data shares'!$C:$FA,78)</f>
        <v>10041675</v>
      </c>
      <c r="O73" s="87">
        <f>VLOOKUP($A73,'Data shares'!$C:$FA,81)</f>
        <v>-5.1000000000000004E-3</v>
      </c>
    </row>
    <row r="74" spans="1:15" x14ac:dyDescent="0.25">
      <c r="A74" s="100" t="str">
        <f>'Data Vlaue (Cr)'!C69</f>
        <v>GAIL</v>
      </c>
      <c r="B74" s="82">
        <f>VLOOKUP(A74,'Data shares'!$C$2:$CV$220,98,0)</f>
        <v>138940200</v>
      </c>
      <c r="C74" s="82">
        <f>VLOOKUP(A74,'Data shares'!$C$2:$CX$220,100,0)</f>
        <v>1414350</v>
      </c>
      <c r="D74" s="141">
        <f>VLOOKUP(A74,'Data shares'!$C$2:$CY$543,101,0)</f>
        <v>1.03E-2</v>
      </c>
      <c r="E74" s="86">
        <f>VLOOKUP($A74,'Data shares'!$C:$FA,74)</f>
        <v>78772050</v>
      </c>
      <c r="F74" s="86">
        <f>VLOOKUP($A74,'Data shares'!$C:$FA,76)</f>
        <v>157500</v>
      </c>
      <c r="G74" s="87">
        <f>VLOOKUP(A74,'Data shares'!$C$2:$CA$220,77,0)</f>
        <v>2E-3</v>
      </c>
      <c r="H74" s="86">
        <f>VLOOKUP($A74,'Data shares'!$C:$FA,90)</f>
        <v>27653850</v>
      </c>
      <c r="I74" s="86">
        <f>VLOOKUP($A74,'Data shares'!$C:$FA,92)</f>
        <v>995400</v>
      </c>
      <c r="J74" s="87">
        <f>VLOOKUP($A74,'Data shares'!$C:$FA,93)</f>
        <v>3.73E-2</v>
      </c>
      <c r="K74" s="86">
        <f>VLOOKUP($A74,'Data shares'!$C:$FA,94)</f>
        <v>32514300</v>
      </c>
      <c r="L74" s="86">
        <f>VLOOKUP($A74,'Data shares'!$C:$FA,96)</f>
        <v>261450</v>
      </c>
      <c r="M74" s="87">
        <f>VLOOKUP($A74,'Data shares'!$C:$FA,97)</f>
        <v>8.0999999999999996E-3</v>
      </c>
      <c r="N74" s="86">
        <f>VLOOKUP($A74,'Data shares'!$C:$FA,78)</f>
        <v>70830900</v>
      </c>
      <c r="O74" s="87">
        <f>VLOOKUP($A74,'Data shares'!$C:$FA,81)</f>
        <v>-9.7000000000000003E-3</v>
      </c>
    </row>
    <row r="75" spans="1:15" x14ac:dyDescent="0.25">
      <c r="A75" s="100" t="str">
        <f>'Data Vlaue (Cr)'!C70</f>
        <v>GLENMARK</v>
      </c>
      <c r="B75" s="82">
        <f>VLOOKUP(A75,'Data shares'!$C$2:$CV$220,98,0)</f>
        <v>13838250</v>
      </c>
      <c r="C75" s="82">
        <f>VLOOKUP(A75,'Data shares'!$C$2:$CX$220,100,0)</f>
        <v>640125</v>
      </c>
      <c r="D75" s="141">
        <f>VLOOKUP(A75,'Data shares'!$C$2:$CY$543,101,0)</f>
        <v>4.8500000000000001E-2</v>
      </c>
      <c r="E75" s="86">
        <f>VLOOKUP($A75,'Data shares'!$C:$FA,74)</f>
        <v>10236000</v>
      </c>
      <c r="F75" s="86">
        <f>VLOOKUP($A75,'Data shares'!$C:$FA,76)</f>
        <v>-27375</v>
      </c>
      <c r="G75" s="87">
        <f>VLOOKUP(A75,'Data shares'!$C$2:$CA$220,77,0)</f>
        <v>-2.7000000000000001E-3</v>
      </c>
      <c r="H75" s="86">
        <f>VLOOKUP($A75,'Data shares'!$C:$FA,90)</f>
        <v>2390625</v>
      </c>
      <c r="I75" s="86">
        <f>VLOOKUP($A75,'Data shares'!$C:$FA,92)</f>
        <v>575250</v>
      </c>
      <c r="J75" s="87">
        <f>VLOOKUP($A75,'Data shares'!$C:$FA,93)</f>
        <v>0.31690000000000002</v>
      </c>
      <c r="K75" s="86">
        <f>VLOOKUP($A75,'Data shares'!$C:$FA,94)</f>
        <v>1211625</v>
      </c>
      <c r="L75" s="86">
        <f>VLOOKUP($A75,'Data shares'!$C:$FA,96)</f>
        <v>92250</v>
      </c>
      <c r="M75" s="87">
        <f>VLOOKUP($A75,'Data shares'!$C:$FA,97)</f>
        <v>8.2400000000000001E-2</v>
      </c>
      <c r="N75" s="86">
        <f>VLOOKUP($A75,'Data shares'!$C:$FA,78)</f>
        <v>10109250</v>
      </c>
      <c r="O75" s="87">
        <f>VLOOKUP($A75,'Data shares'!$C:$FA,81)</f>
        <v>-5.7999999999999996E-3</v>
      </c>
    </row>
    <row r="76" spans="1:15" x14ac:dyDescent="0.25">
      <c r="A76" s="100" t="str">
        <f>'Data Vlaue (Cr)'!C71</f>
        <v>GMRAIRPORT</v>
      </c>
      <c r="B76" s="82">
        <f>VLOOKUP(A76,'Data shares'!$C$2:$CV$220,98,0)</f>
        <v>202700475</v>
      </c>
      <c r="C76" s="82">
        <f>VLOOKUP(A76,'Data shares'!$C$2:$CX$220,100,0)</f>
        <v>3557250</v>
      </c>
      <c r="D76" s="141">
        <f>VLOOKUP(A76,'Data shares'!$C$2:$CY$543,101,0)</f>
        <v>1.7899999999999999E-2</v>
      </c>
      <c r="E76" s="86">
        <f>VLOOKUP($A76,'Data shares'!$C:$FA,74)</f>
        <v>134526825</v>
      </c>
      <c r="F76" s="86">
        <f>VLOOKUP($A76,'Data shares'!$C:$FA,76)</f>
        <v>2399400</v>
      </c>
      <c r="G76" s="87">
        <f>VLOOKUP(A76,'Data shares'!$C$2:$CA$220,77,0)</f>
        <v>1.8200000000000001E-2</v>
      </c>
      <c r="H76" s="86">
        <f>VLOOKUP($A76,'Data shares'!$C:$FA,90)</f>
        <v>39011175</v>
      </c>
      <c r="I76" s="86">
        <f>VLOOKUP($A76,'Data shares'!$C:$FA,92)</f>
        <v>613800</v>
      </c>
      <c r="J76" s="87">
        <f>VLOOKUP($A76,'Data shares'!$C:$FA,93)</f>
        <v>1.6E-2</v>
      </c>
      <c r="K76" s="86">
        <f>VLOOKUP($A76,'Data shares'!$C:$FA,94)</f>
        <v>29162475</v>
      </c>
      <c r="L76" s="86">
        <f>VLOOKUP($A76,'Data shares'!$C:$FA,96)</f>
        <v>544050</v>
      </c>
      <c r="M76" s="87">
        <f>VLOOKUP($A76,'Data shares'!$C:$FA,97)</f>
        <v>1.9E-2</v>
      </c>
      <c r="N76" s="86">
        <f>VLOOKUP($A76,'Data shares'!$C:$FA,78)</f>
        <v>123192450</v>
      </c>
      <c r="O76" s="87">
        <f>VLOOKUP($A76,'Data shares'!$C:$FA,81)</f>
        <v>-2.3599999999999999E-2</v>
      </c>
    </row>
    <row r="77" spans="1:15" x14ac:dyDescent="0.25">
      <c r="A77" s="100" t="str">
        <f>'Data Vlaue (Cr)'!C72</f>
        <v>GODFRYPHLP</v>
      </c>
      <c r="B77" s="82">
        <f>VLOOKUP(A77,'Data shares'!$C$2:$CV$220,98,0)</f>
        <v>2614150</v>
      </c>
      <c r="C77" s="82">
        <f>VLOOKUP(A77,'Data shares'!$C$2:$CX$220,100,0)</f>
        <v>1198725</v>
      </c>
      <c r="D77" s="141">
        <f>VLOOKUP(A77,'Data shares'!$C$2:$CY$543,101,0)</f>
        <v>0.84689999999999999</v>
      </c>
      <c r="E77" s="86">
        <f>VLOOKUP($A77,'Data shares'!$C:$FA,74)</f>
        <v>1298275</v>
      </c>
      <c r="F77" s="86">
        <f>VLOOKUP($A77,'Data shares'!$C:$FA,76)</f>
        <v>450175</v>
      </c>
      <c r="G77" s="87">
        <f>VLOOKUP(A77,'Data shares'!$C$2:$CA$220,77,0)</f>
        <v>0.53080000000000005</v>
      </c>
      <c r="H77" s="86">
        <f>VLOOKUP($A77,'Data shares'!$C:$FA,90)</f>
        <v>920975</v>
      </c>
      <c r="I77" s="86">
        <f>VLOOKUP($A77,'Data shares'!$C:$FA,92)</f>
        <v>519200</v>
      </c>
      <c r="J77" s="87">
        <f>VLOOKUP($A77,'Data shares'!$C:$FA,93)</f>
        <v>1.2923</v>
      </c>
      <c r="K77" s="86">
        <f>VLOOKUP($A77,'Data shares'!$C:$FA,94)</f>
        <v>394900</v>
      </c>
      <c r="L77" s="86">
        <f>VLOOKUP($A77,'Data shares'!$C:$FA,96)</f>
        <v>229350</v>
      </c>
      <c r="M77" s="87">
        <f>VLOOKUP($A77,'Data shares'!$C:$FA,97)</f>
        <v>1.3854</v>
      </c>
      <c r="N77" s="86">
        <f>VLOOKUP($A77,'Data shares'!$C:$FA,78)</f>
        <v>1071950</v>
      </c>
      <c r="O77" s="87">
        <f>VLOOKUP($A77,'Data shares'!$C:$FA,81)</f>
        <v>0.42159999999999997</v>
      </c>
    </row>
    <row r="78" spans="1:15" x14ac:dyDescent="0.25">
      <c r="A78" s="100" t="str">
        <f>'Data Vlaue (Cr)'!C73</f>
        <v>GODREJCP</v>
      </c>
      <c r="B78" s="82">
        <f>VLOOKUP(A78,'Data shares'!$C$2:$CV$220,98,0)</f>
        <v>15231500</v>
      </c>
      <c r="C78" s="82">
        <f>VLOOKUP(A78,'Data shares'!$C$2:$CX$220,100,0)</f>
        <v>475500</v>
      </c>
      <c r="D78" s="141">
        <f>VLOOKUP(A78,'Data shares'!$C$2:$CY$543,101,0)</f>
        <v>3.2199999999999999E-2</v>
      </c>
      <c r="E78" s="86">
        <f>VLOOKUP($A78,'Data shares'!$C:$FA,74)</f>
        <v>12260500</v>
      </c>
      <c r="F78" s="86">
        <f>VLOOKUP($A78,'Data shares'!$C:$FA,76)</f>
        <v>277500</v>
      </c>
      <c r="G78" s="87">
        <f>VLOOKUP(A78,'Data shares'!$C$2:$CA$220,77,0)</f>
        <v>2.3199999999999998E-2</v>
      </c>
      <c r="H78" s="86">
        <f>VLOOKUP($A78,'Data shares'!$C:$FA,90)</f>
        <v>1684500</v>
      </c>
      <c r="I78" s="86">
        <f>VLOOKUP($A78,'Data shares'!$C:$FA,92)</f>
        <v>142000</v>
      </c>
      <c r="J78" s="87">
        <f>VLOOKUP($A78,'Data shares'!$C:$FA,93)</f>
        <v>9.2100000000000001E-2</v>
      </c>
      <c r="K78" s="86">
        <f>VLOOKUP($A78,'Data shares'!$C:$FA,94)</f>
        <v>1286500</v>
      </c>
      <c r="L78" s="86">
        <f>VLOOKUP($A78,'Data shares'!$C:$FA,96)</f>
        <v>56000</v>
      </c>
      <c r="M78" s="87">
        <f>VLOOKUP($A78,'Data shares'!$C:$FA,97)</f>
        <v>4.5499999999999999E-2</v>
      </c>
      <c r="N78" s="86">
        <f>VLOOKUP($A78,'Data shares'!$C:$FA,78)</f>
        <v>11456000</v>
      </c>
      <c r="O78" s="87">
        <f>VLOOKUP($A78,'Data shares'!$C:$FA,81)</f>
        <v>-3.4500000000000003E-2</v>
      </c>
    </row>
    <row r="79" spans="1:15" x14ac:dyDescent="0.25">
      <c r="A79" s="100" t="str">
        <f>'Data Vlaue (Cr)'!C74</f>
        <v>GODREJPROP</v>
      </c>
      <c r="B79" s="82">
        <f>VLOOKUP(A79,'Data shares'!$C$2:$CV$220,98,0)</f>
        <v>13680425</v>
      </c>
      <c r="C79" s="82">
        <f>VLOOKUP(A79,'Data shares'!$C$2:$CX$220,100,0)</f>
        <v>96800</v>
      </c>
      <c r="D79" s="141">
        <f>VLOOKUP(A79,'Data shares'!$C$2:$CY$543,101,0)</f>
        <v>7.1000000000000004E-3</v>
      </c>
      <c r="E79" s="86">
        <f>VLOOKUP($A79,'Data shares'!$C:$FA,74)</f>
        <v>8075925</v>
      </c>
      <c r="F79" s="86">
        <f>VLOOKUP($A79,'Data shares'!$C:$FA,76)</f>
        <v>-26400</v>
      </c>
      <c r="G79" s="87">
        <f>VLOOKUP(A79,'Data shares'!$C$2:$CA$220,77,0)</f>
        <v>-3.3E-3</v>
      </c>
      <c r="H79" s="86">
        <f>VLOOKUP($A79,'Data shares'!$C:$FA,90)</f>
        <v>2893000</v>
      </c>
      <c r="I79" s="86">
        <f>VLOOKUP($A79,'Data shares'!$C:$FA,92)</f>
        <v>86350</v>
      </c>
      <c r="J79" s="87">
        <f>VLOOKUP($A79,'Data shares'!$C:$FA,93)</f>
        <v>3.0800000000000001E-2</v>
      </c>
      <c r="K79" s="86">
        <f>VLOOKUP($A79,'Data shares'!$C:$FA,94)</f>
        <v>2711500</v>
      </c>
      <c r="L79" s="86">
        <f>VLOOKUP($A79,'Data shares'!$C:$FA,96)</f>
        <v>36850</v>
      </c>
      <c r="M79" s="87">
        <f>VLOOKUP($A79,'Data shares'!$C:$FA,97)</f>
        <v>1.38E-2</v>
      </c>
      <c r="N79" s="86">
        <f>VLOOKUP($A79,'Data shares'!$C:$FA,78)</f>
        <v>7717600</v>
      </c>
      <c r="O79" s="87">
        <f>VLOOKUP($A79,'Data shares'!$C:$FA,81)</f>
        <v>-7.3000000000000001E-3</v>
      </c>
    </row>
    <row r="80" spans="1:15" x14ac:dyDescent="0.25">
      <c r="A80" s="100" t="str">
        <f>'Data Vlaue (Cr)'!C75</f>
        <v>GRASIM</v>
      </c>
      <c r="B80" s="82">
        <f>VLOOKUP(A80,'Data shares'!$C$2:$CV$220,98,0)</f>
        <v>17083750</v>
      </c>
      <c r="C80" s="82">
        <f>VLOOKUP(A80,'Data shares'!$C$2:$CX$220,100,0)</f>
        <v>-19000</v>
      </c>
      <c r="D80" s="141">
        <f>VLOOKUP(A80,'Data shares'!$C$2:$CY$543,101,0)</f>
        <v>-1.1000000000000001E-3</v>
      </c>
      <c r="E80" s="86">
        <f>VLOOKUP($A80,'Data shares'!$C:$FA,74)</f>
        <v>14148500</v>
      </c>
      <c r="F80" s="86">
        <f>VLOOKUP($A80,'Data shares'!$C:$FA,76)</f>
        <v>74500</v>
      </c>
      <c r="G80" s="87">
        <f>VLOOKUP(A80,'Data shares'!$C$2:$CA$220,77,0)</f>
        <v>5.3E-3</v>
      </c>
      <c r="H80" s="86">
        <f>VLOOKUP($A80,'Data shares'!$C:$FA,90)</f>
        <v>1701000</v>
      </c>
      <c r="I80" s="86">
        <f>VLOOKUP($A80,'Data shares'!$C:$FA,92)</f>
        <v>-47000</v>
      </c>
      <c r="J80" s="87">
        <f>VLOOKUP($A80,'Data shares'!$C:$FA,93)</f>
        <v>-2.69E-2</v>
      </c>
      <c r="K80" s="86">
        <f>VLOOKUP($A80,'Data shares'!$C:$FA,94)</f>
        <v>1234250</v>
      </c>
      <c r="L80" s="86">
        <f>VLOOKUP($A80,'Data shares'!$C:$FA,96)</f>
        <v>-46500</v>
      </c>
      <c r="M80" s="87">
        <f>VLOOKUP($A80,'Data shares'!$C:$FA,97)</f>
        <v>-3.6299999999999999E-2</v>
      </c>
      <c r="N80" s="86">
        <f>VLOOKUP($A80,'Data shares'!$C:$FA,78)</f>
        <v>12221750</v>
      </c>
      <c r="O80" s="87">
        <f>VLOOKUP($A80,'Data shares'!$C:$FA,81)</f>
        <v>3.3999999999999998E-3</v>
      </c>
    </row>
    <row r="81" spans="1:15" x14ac:dyDescent="0.25">
      <c r="A81" s="100" t="str">
        <f>'Data Vlaue (Cr)'!C76</f>
        <v>HAL</v>
      </c>
      <c r="B81" s="82">
        <f>VLOOKUP(A81,'Data shares'!$C$2:$CV$220,98,0)</f>
        <v>14383950</v>
      </c>
      <c r="C81" s="82">
        <f>VLOOKUP(A81,'Data shares'!$C$2:$CX$220,100,0)</f>
        <v>-130650</v>
      </c>
      <c r="D81" s="141">
        <f>VLOOKUP(A81,'Data shares'!$C$2:$CY$543,101,0)</f>
        <v>-8.9999999999999993E-3</v>
      </c>
      <c r="E81" s="86">
        <f>VLOOKUP($A81,'Data shares'!$C:$FA,74)</f>
        <v>7551450</v>
      </c>
      <c r="F81" s="86">
        <f>VLOOKUP($A81,'Data shares'!$C:$FA,76)</f>
        <v>-58500</v>
      </c>
      <c r="G81" s="87">
        <f>VLOOKUP(A81,'Data shares'!$C$2:$CA$220,77,0)</f>
        <v>-7.7000000000000002E-3</v>
      </c>
      <c r="H81" s="86">
        <f>VLOOKUP($A81,'Data shares'!$C:$FA,90)</f>
        <v>3505350</v>
      </c>
      <c r="I81" s="86">
        <f>VLOOKUP($A81,'Data shares'!$C:$FA,92)</f>
        <v>-24000</v>
      </c>
      <c r="J81" s="87">
        <f>VLOOKUP($A81,'Data shares'!$C:$FA,93)</f>
        <v>-6.7999999999999996E-3</v>
      </c>
      <c r="K81" s="86">
        <f>VLOOKUP($A81,'Data shares'!$C:$FA,94)</f>
        <v>3327150</v>
      </c>
      <c r="L81" s="86">
        <f>VLOOKUP($A81,'Data shares'!$C:$FA,96)</f>
        <v>-48150</v>
      </c>
      <c r="M81" s="87">
        <f>VLOOKUP($A81,'Data shares'!$C:$FA,97)</f>
        <v>-1.43E-2</v>
      </c>
      <c r="N81" s="86">
        <f>VLOOKUP($A81,'Data shares'!$C:$FA,78)</f>
        <v>6692700</v>
      </c>
      <c r="O81" s="87">
        <f>VLOOKUP($A81,'Data shares'!$C:$FA,81)</f>
        <v>-1.89E-2</v>
      </c>
    </row>
    <row r="82" spans="1:15" x14ac:dyDescent="0.25">
      <c r="A82" s="100" t="str">
        <f>'Data Vlaue (Cr)'!C77</f>
        <v>HAVELLS</v>
      </c>
      <c r="B82" s="82">
        <f>VLOOKUP(A82,'Data shares'!$C$2:$CV$220,98,0)</f>
        <v>14446500</v>
      </c>
      <c r="C82" s="82">
        <f>VLOOKUP(A82,'Data shares'!$C$2:$CX$220,100,0)</f>
        <v>389500</v>
      </c>
      <c r="D82" s="141">
        <f>VLOOKUP(A82,'Data shares'!$C$2:$CY$543,101,0)</f>
        <v>2.7699999999999999E-2</v>
      </c>
      <c r="E82" s="86">
        <f>VLOOKUP($A82,'Data shares'!$C:$FA,74)</f>
        <v>8921500</v>
      </c>
      <c r="F82" s="86">
        <f>VLOOKUP($A82,'Data shares'!$C:$FA,76)</f>
        <v>96000</v>
      </c>
      <c r="G82" s="87">
        <f>VLOOKUP(A82,'Data shares'!$C$2:$CA$220,77,0)</f>
        <v>1.09E-2</v>
      </c>
      <c r="H82" s="86">
        <f>VLOOKUP($A82,'Data shares'!$C:$FA,90)</f>
        <v>3176000</v>
      </c>
      <c r="I82" s="86">
        <f>VLOOKUP($A82,'Data shares'!$C:$FA,92)</f>
        <v>169000</v>
      </c>
      <c r="J82" s="87">
        <f>VLOOKUP($A82,'Data shares'!$C:$FA,93)</f>
        <v>5.62E-2</v>
      </c>
      <c r="K82" s="86">
        <f>VLOOKUP($A82,'Data shares'!$C:$FA,94)</f>
        <v>2349000</v>
      </c>
      <c r="L82" s="86">
        <f>VLOOKUP($A82,'Data shares'!$C:$FA,96)</f>
        <v>124500</v>
      </c>
      <c r="M82" s="87">
        <f>VLOOKUP($A82,'Data shares'!$C:$FA,97)</f>
        <v>5.6000000000000001E-2</v>
      </c>
      <c r="N82" s="86">
        <f>VLOOKUP($A82,'Data shares'!$C:$FA,78)</f>
        <v>8360000</v>
      </c>
      <c r="O82" s="87">
        <f>VLOOKUP($A82,'Data shares'!$C:$FA,81)</f>
        <v>7.4999999999999997E-3</v>
      </c>
    </row>
    <row r="83" spans="1:15" x14ac:dyDescent="0.25">
      <c r="A83" s="100" t="str">
        <f>'Data Vlaue (Cr)'!C78</f>
        <v>HCLTECH</v>
      </c>
      <c r="B83" s="82">
        <f>VLOOKUP(A83,'Data shares'!$C$2:$CV$220,98,0)</f>
        <v>55914950</v>
      </c>
      <c r="C83" s="82">
        <f>VLOOKUP(A83,'Data shares'!$C$2:$CX$220,100,0)</f>
        <v>2015650</v>
      </c>
      <c r="D83" s="141">
        <f>VLOOKUP(A83,'Data shares'!$C$2:$CY$543,101,0)</f>
        <v>3.7400000000000003E-2</v>
      </c>
      <c r="E83" s="86">
        <f>VLOOKUP($A83,'Data shares'!$C:$FA,74)</f>
        <v>42867300</v>
      </c>
      <c r="F83" s="86">
        <f>VLOOKUP($A83,'Data shares'!$C:$FA,76)</f>
        <v>1358350</v>
      </c>
      <c r="G83" s="87">
        <f>VLOOKUP(A83,'Data shares'!$C$2:$CA$220,77,0)</f>
        <v>3.27E-2</v>
      </c>
      <c r="H83" s="86">
        <f>VLOOKUP($A83,'Data shares'!$C:$FA,90)</f>
        <v>7123550</v>
      </c>
      <c r="I83" s="86">
        <f>VLOOKUP($A83,'Data shares'!$C:$FA,92)</f>
        <v>448350</v>
      </c>
      <c r="J83" s="87">
        <f>VLOOKUP($A83,'Data shares'!$C:$FA,93)</f>
        <v>6.7199999999999996E-2</v>
      </c>
      <c r="K83" s="86">
        <f>VLOOKUP($A83,'Data shares'!$C:$FA,94)</f>
        <v>5924100</v>
      </c>
      <c r="L83" s="86">
        <f>VLOOKUP($A83,'Data shares'!$C:$FA,96)</f>
        <v>208950</v>
      </c>
      <c r="M83" s="87">
        <f>VLOOKUP($A83,'Data shares'!$C:$FA,97)</f>
        <v>3.6600000000000001E-2</v>
      </c>
      <c r="N83" s="86">
        <f>VLOOKUP($A83,'Data shares'!$C:$FA,78)</f>
        <v>36706600</v>
      </c>
      <c r="O83" s="87">
        <f>VLOOKUP($A83,'Data shares'!$C:$FA,81)</f>
        <v>1.55E-2</v>
      </c>
    </row>
    <row r="84" spans="1:15" x14ac:dyDescent="0.25">
      <c r="A84" s="100" t="str">
        <f>'Data Vlaue (Cr)'!C79</f>
        <v>HDFCAMC</v>
      </c>
      <c r="B84" s="82">
        <f>VLOOKUP(A84,'Data shares'!$C$2:$CV$220,98,0)</f>
        <v>10717500</v>
      </c>
      <c r="C84" s="82">
        <f>VLOOKUP(A84,'Data shares'!$C$2:$CX$220,100,0)</f>
        <v>868500</v>
      </c>
      <c r="D84" s="141">
        <f>VLOOKUP(A84,'Data shares'!$C$2:$CY$543,101,0)</f>
        <v>8.8200000000000001E-2</v>
      </c>
      <c r="E84" s="86">
        <f>VLOOKUP($A84,'Data shares'!$C:$FA,74)</f>
        <v>5727600</v>
      </c>
      <c r="F84" s="86">
        <f>VLOOKUP($A84,'Data shares'!$C:$FA,76)</f>
        <v>55800</v>
      </c>
      <c r="G84" s="87">
        <f>VLOOKUP(A84,'Data shares'!$C$2:$CA$220,77,0)</f>
        <v>9.7999999999999997E-3</v>
      </c>
      <c r="H84" s="86">
        <f>VLOOKUP($A84,'Data shares'!$C:$FA,90)</f>
        <v>2534400</v>
      </c>
      <c r="I84" s="86">
        <f>VLOOKUP($A84,'Data shares'!$C:$FA,92)</f>
        <v>72600</v>
      </c>
      <c r="J84" s="87">
        <f>VLOOKUP($A84,'Data shares'!$C:$FA,93)</f>
        <v>2.9499999999999998E-2</v>
      </c>
      <c r="K84" s="86">
        <f>VLOOKUP($A84,'Data shares'!$C:$FA,94)</f>
        <v>2455500</v>
      </c>
      <c r="L84" s="86">
        <f>VLOOKUP($A84,'Data shares'!$C:$FA,96)</f>
        <v>740100</v>
      </c>
      <c r="M84" s="87">
        <f>VLOOKUP($A84,'Data shares'!$C:$FA,97)</f>
        <v>0.43140000000000001</v>
      </c>
      <c r="N84" s="86">
        <f>VLOOKUP($A84,'Data shares'!$C:$FA,78)</f>
        <v>5465100</v>
      </c>
      <c r="O84" s="87">
        <f>VLOOKUP($A84,'Data shares'!$C:$FA,81)</f>
        <v>3.0000000000000001E-3</v>
      </c>
    </row>
    <row r="85" spans="1:15" x14ac:dyDescent="0.25">
      <c r="A85" s="100" t="str">
        <f>'Data Vlaue (Cr)'!C80</f>
        <v>HDFCBANK</v>
      </c>
      <c r="B85" s="82">
        <f>VLOOKUP(A85,'Data shares'!$C$2:$CV$220,98,0)</f>
        <v>484162800</v>
      </c>
      <c r="C85" s="82">
        <f>VLOOKUP(A85,'Data shares'!$C$2:$CX$220,100,0)</f>
        <v>26556200</v>
      </c>
      <c r="D85" s="141">
        <f>VLOOKUP(A85,'Data shares'!$C$2:$CY$543,101,0)</f>
        <v>5.8000000000000003E-2</v>
      </c>
      <c r="E85" s="86">
        <f>VLOOKUP($A85,'Data shares'!$C:$FA,74)</f>
        <v>330540100</v>
      </c>
      <c r="F85" s="86">
        <f>VLOOKUP($A85,'Data shares'!$C:$FA,76)</f>
        <v>3106400</v>
      </c>
      <c r="G85" s="87">
        <f>VLOOKUP(A85,'Data shares'!$C$2:$CA$220,77,0)</f>
        <v>9.4999999999999998E-3</v>
      </c>
      <c r="H85" s="86">
        <f>VLOOKUP($A85,'Data shares'!$C:$FA,90)</f>
        <v>97987450</v>
      </c>
      <c r="I85" s="86">
        <f>VLOOKUP($A85,'Data shares'!$C:$FA,92)</f>
        <v>14682250</v>
      </c>
      <c r="J85" s="87">
        <f>VLOOKUP($A85,'Data shares'!$C:$FA,93)</f>
        <v>0.1762</v>
      </c>
      <c r="K85" s="86">
        <f>VLOOKUP($A85,'Data shares'!$C:$FA,94)</f>
        <v>55635250</v>
      </c>
      <c r="L85" s="86">
        <f>VLOOKUP($A85,'Data shares'!$C:$FA,96)</f>
        <v>8767550</v>
      </c>
      <c r="M85" s="87">
        <f>VLOOKUP($A85,'Data shares'!$C:$FA,97)</f>
        <v>0.18709999999999999</v>
      </c>
      <c r="N85" s="86">
        <f>VLOOKUP($A85,'Data shares'!$C:$FA,78)</f>
        <v>288009150</v>
      </c>
      <c r="O85" s="87">
        <f>VLOOKUP($A85,'Data shares'!$C:$FA,81)</f>
        <v>-3.5999999999999999E-3</v>
      </c>
    </row>
    <row r="86" spans="1:15" x14ac:dyDescent="0.25">
      <c r="A86" s="100" t="str">
        <f>'Data Vlaue (Cr)'!C81</f>
        <v>HDFCLIFE</v>
      </c>
      <c r="B86" s="82">
        <f>VLOOKUP(A86,'Data shares'!$C$2:$CV$220,98,0)</f>
        <v>76832800</v>
      </c>
      <c r="C86" s="82">
        <f>VLOOKUP(A86,'Data shares'!$C$2:$CX$220,100,0)</f>
        <v>7678000</v>
      </c>
      <c r="D86" s="141">
        <f>VLOOKUP(A86,'Data shares'!$C$2:$CY$543,101,0)</f>
        <v>0.111</v>
      </c>
      <c r="E86" s="86">
        <f>VLOOKUP($A86,'Data shares'!$C:$FA,74)</f>
        <v>43734900</v>
      </c>
      <c r="F86" s="86">
        <f>VLOOKUP($A86,'Data shares'!$C:$FA,76)</f>
        <v>2197800</v>
      </c>
      <c r="G86" s="87">
        <f>VLOOKUP(A86,'Data shares'!$C$2:$CA$220,77,0)</f>
        <v>5.2900000000000003E-2</v>
      </c>
      <c r="H86" s="86">
        <f>VLOOKUP($A86,'Data shares'!$C:$FA,90)</f>
        <v>19886900</v>
      </c>
      <c r="I86" s="86">
        <f>VLOOKUP($A86,'Data shares'!$C:$FA,92)</f>
        <v>4206400</v>
      </c>
      <c r="J86" s="87">
        <f>VLOOKUP($A86,'Data shares'!$C:$FA,93)</f>
        <v>0.26829999999999998</v>
      </c>
      <c r="K86" s="86">
        <f>VLOOKUP($A86,'Data shares'!$C:$FA,94)</f>
        <v>13211000</v>
      </c>
      <c r="L86" s="86">
        <f>VLOOKUP($A86,'Data shares'!$C:$FA,96)</f>
        <v>1273800</v>
      </c>
      <c r="M86" s="87">
        <f>VLOOKUP($A86,'Data shares'!$C:$FA,97)</f>
        <v>0.1067</v>
      </c>
      <c r="N86" s="86">
        <f>VLOOKUP($A86,'Data shares'!$C:$FA,78)</f>
        <v>41059700</v>
      </c>
      <c r="O86" s="87">
        <f>VLOOKUP($A86,'Data shares'!$C:$FA,81)</f>
        <v>3.7400000000000003E-2</v>
      </c>
    </row>
    <row r="87" spans="1:15" x14ac:dyDescent="0.25">
      <c r="A87" s="100" t="str">
        <f>'Data Vlaue (Cr)'!C82</f>
        <v>HEROMOTOCO</v>
      </c>
      <c r="B87" s="82">
        <f>VLOOKUP(A87,'Data shares'!$C$2:$CV$220,98,0)</f>
        <v>8291100</v>
      </c>
      <c r="C87" s="82">
        <f>VLOOKUP(A87,'Data shares'!$C$2:$CX$220,100,0)</f>
        <v>-396000</v>
      </c>
      <c r="D87" s="141">
        <f>VLOOKUP(A87,'Data shares'!$C$2:$CY$543,101,0)</f>
        <v>-4.5600000000000002E-2</v>
      </c>
      <c r="E87" s="86">
        <f>VLOOKUP($A87,'Data shares'!$C:$FA,74)</f>
        <v>4376550</v>
      </c>
      <c r="F87" s="86">
        <f>VLOOKUP($A87,'Data shares'!$C:$FA,76)</f>
        <v>-33750</v>
      </c>
      <c r="G87" s="87">
        <f>VLOOKUP(A87,'Data shares'!$C$2:$CA$220,77,0)</f>
        <v>-7.7000000000000002E-3</v>
      </c>
      <c r="H87" s="86">
        <f>VLOOKUP($A87,'Data shares'!$C:$FA,90)</f>
        <v>2450250</v>
      </c>
      <c r="I87" s="86">
        <f>VLOOKUP($A87,'Data shares'!$C:$FA,92)</f>
        <v>-399600</v>
      </c>
      <c r="J87" s="87">
        <f>VLOOKUP($A87,'Data shares'!$C:$FA,93)</f>
        <v>-0.14019999999999999</v>
      </c>
      <c r="K87" s="86">
        <f>VLOOKUP($A87,'Data shares'!$C:$FA,94)</f>
        <v>1464300</v>
      </c>
      <c r="L87" s="86">
        <f>VLOOKUP($A87,'Data shares'!$C:$FA,96)</f>
        <v>37350</v>
      </c>
      <c r="M87" s="87">
        <f>VLOOKUP($A87,'Data shares'!$C:$FA,97)</f>
        <v>2.6200000000000001E-2</v>
      </c>
      <c r="N87" s="86">
        <f>VLOOKUP($A87,'Data shares'!$C:$FA,78)</f>
        <v>4068300</v>
      </c>
      <c r="O87" s="87">
        <f>VLOOKUP($A87,'Data shares'!$C:$FA,81)</f>
        <v>-3.1800000000000002E-2</v>
      </c>
    </row>
    <row r="88" spans="1:15" x14ac:dyDescent="0.25">
      <c r="A88" s="100" t="str">
        <f>'Data Vlaue (Cr)'!C83</f>
        <v>HINDALCO</v>
      </c>
      <c r="B88" s="82">
        <f>VLOOKUP(A88,'Data shares'!$C$2:$CV$220,98,0)</f>
        <v>63815500</v>
      </c>
      <c r="C88" s="82">
        <f>VLOOKUP(A88,'Data shares'!$C$2:$CX$220,100,0)</f>
        <v>-1493800</v>
      </c>
      <c r="D88" s="141">
        <f>VLOOKUP(A88,'Data shares'!$C$2:$CY$543,101,0)</f>
        <v>-2.29E-2</v>
      </c>
      <c r="E88" s="86">
        <f>VLOOKUP($A88,'Data shares'!$C:$FA,74)</f>
        <v>36741600</v>
      </c>
      <c r="F88" s="86">
        <f>VLOOKUP($A88,'Data shares'!$C:$FA,76)</f>
        <v>296800</v>
      </c>
      <c r="G88" s="87">
        <f>VLOOKUP(A88,'Data shares'!$C$2:$CA$220,77,0)</f>
        <v>8.0999999999999996E-3</v>
      </c>
      <c r="H88" s="86">
        <f>VLOOKUP($A88,'Data shares'!$C:$FA,90)</f>
        <v>15120000</v>
      </c>
      <c r="I88" s="86">
        <f>VLOOKUP($A88,'Data shares'!$C:$FA,92)</f>
        <v>-368200</v>
      </c>
      <c r="J88" s="87">
        <f>VLOOKUP($A88,'Data shares'!$C:$FA,93)</f>
        <v>-2.3800000000000002E-2</v>
      </c>
      <c r="K88" s="86">
        <f>VLOOKUP($A88,'Data shares'!$C:$FA,94)</f>
        <v>11953900</v>
      </c>
      <c r="L88" s="86">
        <f>VLOOKUP($A88,'Data shares'!$C:$FA,96)</f>
        <v>-1422400</v>
      </c>
      <c r="M88" s="87">
        <f>VLOOKUP($A88,'Data shares'!$C:$FA,97)</f>
        <v>-0.10630000000000001</v>
      </c>
      <c r="N88" s="86">
        <f>VLOOKUP($A88,'Data shares'!$C:$FA,78)</f>
        <v>32025000</v>
      </c>
      <c r="O88" s="87">
        <f>VLOOKUP($A88,'Data shares'!$C:$FA,81)</f>
        <v>4.4999999999999997E-3</v>
      </c>
    </row>
    <row r="89" spans="1:15" x14ac:dyDescent="0.25">
      <c r="A89" s="100" t="str">
        <f>'Data Vlaue (Cr)'!C84</f>
        <v>HINDPETRO</v>
      </c>
      <c r="B89" s="82">
        <f>VLOOKUP(A89,'Data shares'!$C$2:$CV$220,98,0)</f>
        <v>77899725</v>
      </c>
      <c r="C89" s="82">
        <f>VLOOKUP(A89,'Data shares'!$C$2:$CX$220,100,0)</f>
        <v>89100</v>
      </c>
      <c r="D89" s="141">
        <f>VLOOKUP(A89,'Data shares'!$C$2:$CY$543,101,0)</f>
        <v>1.1000000000000001E-3</v>
      </c>
      <c r="E89" s="86">
        <f>VLOOKUP($A89,'Data shares'!$C:$FA,74)</f>
        <v>41362650</v>
      </c>
      <c r="F89" s="86">
        <f>VLOOKUP($A89,'Data shares'!$C:$FA,76)</f>
        <v>-615600</v>
      </c>
      <c r="G89" s="87">
        <f>VLOOKUP(A89,'Data shares'!$C$2:$CA$220,77,0)</f>
        <v>-1.47E-2</v>
      </c>
      <c r="H89" s="86">
        <f>VLOOKUP($A89,'Data shares'!$C:$FA,90)</f>
        <v>19812600</v>
      </c>
      <c r="I89" s="86">
        <f>VLOOKUP($A89,'Data shares'!$C:$FA,92)</f>
        <v>1109700</v>
      </c>
      <c r="J89" s="87">
        <f>VLOOKUP($A89,'Data shares'!$C:$FA,93)</f>
        <v>5.9299999999999999E-2</v>
      </c>
      <c r="K89" s="86">
        <f>VLOOKUP($A89,'Data shares'!$C:$FA,94)</f>
        <v>16724475</v>
      </c>
      <c r="L89" s="86">
        <f>VLOOKUP($A89,'Data shares'!$C:$FA,96)</f>
        <v>-405000</v>
      </c>
      <c r="M89" s="87">
        <f>VLOOKUP($A89,'Data shares'!$C:$FA,97)</f>
        <v>-2.3599999999999999E-2</v>
      </c>
      <c r="N89" s="86">
        <f>VLOOKUP($A89,'Data shares'!$C:$FA,78)</f>
        <v>39120975</v>
      </c>
      <c r="O89" s="87">
        <f>VLOOKUP($A89,'Data shares'!$C:$FA,81)</f>
        <v>-2.18E-2</v>
      </c>
    </row>
    <row r="90" spans="1:15" x14ac:dyDescent="0.25">
      <c r="A90" s="100" t="str">
        <f>'Data Vlaue (Cr)'!C85</f>
        <v>HINDUNILVR</v>
      </c>
      <c r="B90" s="82">
        <f>VLOOKUP(A90,'Data shares'!$C$2:$CV$220,98,0)</f>
        <v>29977800</v>
      </c>
      <c r="C90" s="82">
        <f>VLOOKUP(A90,'Data shares'!$C$2:$CX$220,100,0)</f>
        <v>2835000</v>
      </c>
      <c r="D90" s="141">
        <f>VLOOKUP(A90,'Data shares'!$C$2:$CY$543,101,0)</f>
        <v>0.10440000000000001</v>
      </c>
      <c r="E90" s="86">
        <f>VLOOKUP($A90,'Data shares'!$C:$FA,74)</f>
        <v>17974800</v>
      </c>
      <c r="F90" s="86">
        <f>VLOOKUP($A90,'Data shares'!$C:$FA,76)</f>
        <v>-291000</v>
      </c>
      <c r="G90" s="87">
        <f>VLOOKUP(A90,'Data shares'!$C$2:$CA$220,77,0)</f>
        <v>-1.5900000000000001E-2</v>
      </c>
      <c r="H90" s="86">
        <f>VLOOKUP($A90,'Data shares'!$C:$FA,90)</f>
        <v>7044000</v>
      </c>
      <c r="I90" s="86">
        <f>VLOOKUP($A90,'Data shares'!$C:$FA,92)</f>
        <v>1958400</v>
      </c>
      <c r="J90" s="87">
        <f>VLOOKUP($A90,'Data shares'!$C:$FA,93)</f>
        <v>0.3851</v>
      </c>
      <c r="K90" s="86">
        <f>VLOOKUP($A90,'Data shares'!$C:$FA,94)</f>
        <v>4959000</v>
      </c>
      <c r="L90" s="86">
        <f>VLOOKUP($A90,'Data shares'!$C:$FA,96)</f>
        <v>1167600</v>
      </c>
      <c r="M90" s="87">
        <f>VLOOKUP($A90,'Data shares'!$C:$FA,97)</f>
        <v>0.308</v>
      </c>
      <c r="N90" s="86">
        <f>VLOOKUP($A90,'Data shares'!$C:$FA,78)</f>
        <v>16951500</v>
      </c>
      <c r="O90" s="87">
        <f>VLOOKUP($A90,'Data shares'!$C:$FA,81)</f>
        <v>-1.9300000000000001E-2</v>
      </c>
    </row>
    <row r="91" spans="1:15" x14ac:dyDescent="0.25">
      <c r="A91" s="100" t="str">
        <f>'Data Vlaue (Cr)'!C86</f>
        <v>HINDZINC</v>
      </c>
      <c r="B91" s="82">
        <f>VLOOKUP(A91,'Data shares'!$C$2:$CV$220,98,0)</f>
        <v>74200700</v>
      </c>
      <c r="C91" s="82">
        <f>VLOOKUP(A91,'Data shares'!$C$2:$CX$220,100,0)</f>
        <v>1690500</v>
      </c>
      <c r="D91" s="141">
        <f>VLOOKUP(A91,'Data shares'!$C$2:$CY$543,101,0)</f>
        <v>2.3300000000000001E-2</v>
      </c>
      <c r="E91" s="86">
        <f>VLOOKUP($A91,'Data shares'!$C:$FA,74)</f>
        <v>36605450</v>
      </c>
      <c r="F91" s="86">
        <f>VLOOKUP($A91,'Data shares'!$C:$FA,76)</f>
        <v>134750</v>
      </c>
      <c r="G91" s="87">
        <f>VLOOKUP(A91,'Data shares'!$C$2:$CA$220,77,0)</f>
        <v>3.7000000000000002E-3</v>
      </c>
      <c r="H91" s="86">
        <f>VLOOKUP($A91,'Data shares'!$C:$FA,90)</f>
        <v>20903400</v>
      </c>
      <c r="I91" s="86">
        <f>VLOOKUP($A91,'Data shares'!$C:$FA,92)</f>
        <v>1215200</v>
      </c>
      <c r="J91" s="87">
        <f>VLOOKUP($A91,'Data shares'!$C:$FA,93)</f>
        <v>6.1699999999999998E-2</v>
      </c>
      <c r="K91" s="86">
        <f>VLOOKUP($A91,'Data shares'!$C:$FA,94)</f>
        <v>16691850</v>
      </c>
      <c r="L91" s="86">
        <f>VLOOKUP($A91,'Data shares'!$C:$FA,96)</f>
        <v>340550</v>
      </c>
      <c r="M91" s="87">
        <f>VLOOKUP($A91,'Data shares'!$C:$FA,97)</f>
        <v>2.0799999999999999E-2</v>
      </c>
      <c r="N91" s="86">
        <f>VLOOKUP($A91,'Data shares'!$C:$FA,78)</f>
        <v>32559275</v>
      </c>
      <c r="O91" s="87">
        <f>VLOOKUP($A91,'Data shares'!$C:$FA,81)</f>
        <v>-1.11E-2</v>
      </c>
    </row>
    <row r="92" spans="1:15" x14ac:dyDescent="0.25">
      <c r="A92" s="100" t="str">
        <f>'Data Vlaue (Cr)'!C87</f>
        <v>HUDCO</v>
      </c>
      <c r="B92" s="82">
        <f>VLOOKUP(A92,'Data shares'!$C$2:$CV$220,98,0)</f>
        <v>48745650</v>
      </c>
      <c r="C92" s="82">
        <f>VLOOKUP(A92,'Data shares'!$C$2:$CX$220,100,0)</f>
        <v>-899100</v>
      </c>
      <c r="D92" s="141">
        <f>VLOOKUP(A92,'Data shares'!$C$2:$CY$543,101,0)</f>
        <v>-1.8100000000000002E-2</v>
      </c>
      <c r="E92" s="86">
        <f>VLOOKUP($A92,'Data shares'!$C:$FA,74)</f>
        <v>27705600</v>
      </c>
      <c r="F92" s="86">
        <f>VLOOKUP($A92,'Data shares'!$C:$FA,76)</f>
        <v>-249750</v>
      </c>
      <c r="G92" s="87">
        <f>VLOOKUP(A92,'Data shares'!$C$2:$CA$220,77,0)</f>
        <v>-8.8999999999999999E-3</v>
      </c>
      <c r="H92" s="86">
        <f>VLOOKUP($A92,'Data shares'!$C:$FA,90)</f>
        <v>11161050</v>
      </c>
      <c r="I92" s="86">
        <f>VLOOKUP($A92,'Data shares'!$C:$FA,92)</f>
        <v>-901875</v>
      </c>
      <c r="J92" s="87">
        <f>VLOOKUP($A92,'Data shares'!$C:$FA,93)</f>
        <v>-7.4800000000000005E-2</v>
      </c>
      <c r="K92" s="86">
        <f>VLOOKUP($A92,'Data shares'!$C:$FA,94)</f>
        <v>9879000</v>
      </c>
      <c r="L92" s="86">
        <f>VLOOKUP($A92,'Data shares'!$C:$FA,96)</f>
        <v>252525</v>
      </c>
      <c r="M92" s="87">
        <f>VLOOKUP($A92,'Data shares'!$C:$FA,97)</f>
        <v>2.6200000000000001E-2</v>
      </c>
      <c r="N92" s="86">
        <f>VLOOKUP($A92,'Data shares'!$C:$FA,78)</f>
        <v>27705600</v>
      </c>
      <c r="O92" s="87">
        <f>VLOOKUP($A92,'Data shares'!$C:$FA,81)</f>
        <v>-8.8999999999999999E-3</v>
      </c>
    </row>
    <row r="93" spans="1:15" x14ac:dyDescent="0.25">
      <c r="A93" s="100" t="str">
        <f>'Data Vlaue (Cr)'!C88</f>
        <v>HYUNDAI</v>
      </c>
      <c r="B93" s="82">
        <f>VLOOKUP(A93,'Data shares'!$C$2:$CV$220,98,0)</f>
        <v>9905500</v>
      </c>
      <c r="C93" s="82">
        <f>VLOOKUP(A93,'Data shares'!$C$2:$CX$220,100,0)</f>
        <v>138875</v>
      </c>
      <c r="D93" s="141">
        <f>VLOOKUP(A93,'Data shares'!$C$2:$CY$543,101,0)</f>
        <v>1.4200000000000001E-2</v>
      </c>
      <c r="E93" s="86">
        <f>VLOOKUP($A93,'Data shares'!$C:$FA,74)</f>
        <v>8169150</v>
      </c>
      <c r="F93" s="86">
        <f>VLOOKUP($A93,'Data shares'!$C:$FA,76)</f>
        <v>447700</v>
      </c>
      <c r="G93" s="87">
        <f>VLOOKUP(A93,'Data shares'!$C$2:$CA$220,77,0)</f>
        <v>5.8000000000000003E-2</v>
      </c>
      <c r="H93" s="86">
        <f>VLOOKUP($A93,'Data shares'!$C:$FA,90)</f>
        <v>1046925</v>
      </c>
      <c r="I93" s="86">
        <f>VLOOKUP($A93,'Data shares'!$C:$FA,92)</f>
        <v>-308550</v>
      </c>
      <c r="J93" s="87">
        <f>VLOOKUP($A93,'Data shares'!$C:$FA,93)</f>
        <v>-0.2276</v>
      </c>
      <c r="K93" s="86">
        <f>VLOOKUP($A93,'Data shares'!$C:$FA,94)</f>
        <v>689425</v>
      </c>
      <c r="L93" s="86">
        <f>VLOOKUP($A93,'Data shares'!$C:$FA,96)</f>
        <v>-275</v>
      </c>
      <c r="M93" s="87">
        <f>VLOOKUP($A93,'Data shares'!$C:$FA,97)</f>
        <v>-4.0000000000000002E-4</v>
      </c>
      <c r="N93" s="86">
        <f>VLOOKUP($A93,'Data shares'!$C:$FA,78)</f>
        <v>6307400</v>
      </c>
      <c r="O93" s="87">
        <f>VLOOKUP($A93,'Data shares'!$C:$FA,81)</f>
        <v>2.0799999999999999E-2</v>
      </c>
    </row>
    <row r="94" spans="1:15" x14ac:dyDescent="0.25">
      <c r="A94" s="100" t="str">
        <f>'Data Vlaue (Cr)'!C89</f>
        <v>ICICIBANK</v>
      </c>
      <c r="B94" s="82">
        <f>VLOOKUP(A94,'Data shares'!$C$2:$CV$220,98,0)</f>
        <v>171844400</v>
      </c>
      <c r="C94" s="82">
        <f>VLOOKUP(A94,'Data shares'!$C$2:$CX$220,100,0)</f>
        <v>12532100</v>
      </c>
      <c r="D94" s="141">
        <f>VLOOKUP(A94,'Data shares'!$C$2:$CY$543,101,0)</f>
        <v>7.8700000000000006E-2</v>
      </c>
      <c r="E94" s="86">
        <f>VLOOKUP($A94,'Data shares'!$C:$FA,74)</f>
        <v>115859800</v>
      </c>
      <c r="F94" s="86">
        <f>VLOOKUP($A94,'Data shares'!$C:$FA,76)</f>
        <v>3472000</v>
      </c>
      <c r="G94" s="87">
        <f>VLOOKUP(A94,'Data shares'!$C$2:$CA$220,77,0)</f>
        <v>3.09E-2</v>
      </c>
      <c r="H94" s="86">
        <f>VLOOKUP($A94,'Data shares'!$C:$FA,90)</f>
        <v>30629200</v>
      </c>
      <c r="I94" s="86">
        <f>VLOOKUP($A94,'Data shares'!$C:$FA,92)</f>
        <v>4713100</v>
      </c>
      <c r="J94" s="87">
        <f>VLOOKUP($A94,'Data shares'!$C:$FA,93)</f>
        <v>0.18190000000000001</v>
      </c>
      <c r="K94" s="86">
        <f>VLOOKUP($A94,'Data shares'!$C:$FA,94)</f>
        <v>25355400</v>
      </c>
      <c r="L94" s="86">
        <f>VLOOKUP($A94,'Data shares'!$C:$FA,96)</f>
        <v>4347000</v>
      </c>
      <c r="M94" s="87">
        <f>VLOOKUP($A94,'Data shares'!$C:$FA,97)</f>
        <v>0.2069</v>
      </c>
      <c r="N94" s="86">
        <f>VLOOKUP($A94,'Data shares'!$C:$FA,78)</f>
        <v>85801100</v>
      </c>
      <c r="O94" s="87">
        <f>VLOOKUP($A94,'Data shares'!$C:$FA,81)</f>
        <v>2.0899999999999998E-2</v>
      </c>
    </row>
    <row r="95" spans="1:15" x14ac:dyDescent="0.25">
      <c r="A95" s="100" t="str">
        <f>'Data Vlaue (Cr)'!C90</f>
        <v>ICICIGI</v>
      </c>
      <c r="B95" s="82">
        <f>VLOOKUP(A95,'Data shares'!$C$2:$CV$220,98,0)</f>
        <v>8403200</v>
      </c>
      <c r="C95" s="82">
        <f>VLOOKUP(A95,'Data shares'!$C$2:$CX$220,100,0)</f>
        <v>-446550</v>
      </c>
      <c r="D95" s="141">
        <f>VLOOKUP(A95,'Data shares'!$C$2:$CY$543,101,0)</f>
        <v>-5.0500000000000003E-2</v>
      </c>
      <c r="E95" s="86">
        <f>VLOOKUP($A95,'Data shares'!$C:$FA,74)</f>
        <v>5574075</v>
      </c>
      <c r="F95" s="86">
        <f>VLOOKUP($A95,'Data shares'!$C:$FA,76)</f>
        <v>-13650</v>
      </c>
      <c r="G95" s="87">
        <f>VLOOKUP(A95,'Data shares'!$C$2:$CA$220,77,0)</f>
        <v>-2.3999999999999998E-3</v>
      </c>
      <c r="H95" s="86">
        <f>VLOOKUP($A95,'Data shares'!$C:$FA,90)</f>
        <v>1501175</v>
      </c>
      <c r="I95" s="86">
        <f>VLOOKUP($A95,'Data shares'!$C:$FA,92)</f>
        <v>-201500</v>
      </c>
      <c r="J95" s="87">
        <f>VLOOKUP($A95,'Data shares'!$C:$FA,93)</f>
        <v>-0.1183</v>
      </c>
      <c r="K95" s="86">
        <f>VLOOKUP($A95,'Data shares'!$C:$FA,94)</f>
        <v>1327950</v>
      </c>
      <c r="L95" s="86">
        <f>VLOOKUP($A95,'Data shares'!$C:$FA,96)</f>
        <v>-231400</v>
      </c>
      <c r="M95" s="87">
        <f>VLOOKUP($A95,'Data shares'!$C:$FA,97)</f>
        <v>-0.1484</v>
      </c>
      <c r="N95" s="86">
        <f>VLOOKUP($A95,'Data shares'!$C:$FA,78)</f>
        <v>5493800</v>
      </c>
      <c r="O95" s="87">
        <f>VLOOKUP($A95,'Data shares'!$C:$FA,81)</f>
        <v>-3.0000000000000001E-3</v>
      </c>
    </row>
    <row r="96" spans="1:15" x14ac:dyDescent="0.25">
      <c r="A96" s="100" t="str">
        <f>'Data Vlaue (Cr)'!C91</f>
        <v>ICICIPRULI</v>
      </c>
      <c r="B96" s="82">
        <f>VLOOKUP(A96,'Data shares'!$C$2:$CV$220,98,0)</f>
        <v>32592375</v>
      </c>
      <c r="C96" s="82">
        <f>VLOOKUP(A96,'Data shares'!$C$2:$CX$220,100,0)</f>
        <v>1123875</v>
      </c>
      <c r="D96" s="141">
        <f>VLOOKUP(A96,'Data shares'!$C$2:$CY$543,101,0)</f>
        <v>3.5700000000000003E-2</v>
      </c>
      <c r="E96" s="86">
        <f>VLOOKUP($A96,'Data shares'!$C:$FA,74)</f>
        <v>20245475</v>
      </c>
      <c r="F96" s="86">
        <f>VLOOKUP($A96,'Data shares'!$C:$FA,76)</f>
        <v>749250</v>
      </c>
      <c r="G96" s="87">
        <f>VLOOKUP(A96,'Data shares'!$C$2:$CA$220,77,0)</f>
        <v>3.8399999999999997E-2</v>
      </c>
      <c r="H96" s="86">
        <f>VLOOKUP($A96,'Data shares'!$C:$FA,90)</f>
        <v>7217775</v>
      </c>
      <c r="I96" s="86">
        <f>VLOOKUP($A96,'Data shares'!$C:$FA,92)</f>
        <v>925</v>
      </c>
      <c r="J96" s="87">
        <f>VLOOKUP($A96,'Data shares'!$C:$FA,93)</f>
        <v>1E-4</v>
      </c>
      <c r="K96" s="86">
        <f>VLOOKUP($A96,'Data shares'!$C:$FA,94)</f>
        <v>5129125</v>
      </c>
      <c r="L96" s="86">
        <f>VLOOKUP($A96,'Data shares'!$C:$FA,96)</f>
        <v>373700</v>
      </c>
      <c r="M96" s="87">
        <f>VLOOKUP($A96,'Data shares'!$C:$FA,97)</f>
        <v>7.8600000000000003E-2</v>
      </c>
      <c r="N96" s="86">
        <f>VLOOKUP($A96,'Data shares'!$C:$FA,78)</f>
        <v>19761700</v>
      </c>
      <c r="O96" s="87">
        <f>VLOOKUP($A96,'Data shares'!$C:$FA,81)</f>
        <v>3.5299999999999998E-2</v>
      </c>
    </row>
    <row r="97" spans="1:15" x14ac:dyDescent="0.25">
      <c r="A97" s="100" t="str">
        <f>'Data Vlaue (Cr)'!C92</f>
        <v>IDEA</v>
      </c>
      <c r="B97" s="82">
        <f>VLOOKUP(A97,'Data shares'!$C$2:$CV$220,98,0)</f>
        <v>8756044875</v>
      </c>
      <c r="C97" s="82">
        <f>VLOOKUP(A97,'Data shares'!$C$2:$CX$220,100,0)</f>
        <v>1072125</v>
      </c>
      <c r="D97" s="141">
        <f>VLOOKUP(A97,'Data shares'!$C$2:$CY$543,101,0)</f>
        <v>1E-4</v>
      </c>
      <c r="E97" s="86">
        <f>VLOOKUP($A97,'Data shares'!$C:$FA,74)</f>
        <v>6575557050</v>
      </c>
      <c r="F97" s="86">
        <f>VLOOKUP($A97,'Data shares'!$C:$FA,76)</f>
        <v>-10006500</v>
      </c>
      <c r="G97" s="87">
        <f>VLOOKUP(A97,'Data shares'!$C$2:$CA$220,77,0)</f>
        <v>-1.5E-3</v>
      </c>
      <c r="H97" s="86">
        <f>VLOOKUP($A97,'Data shares'!$C:$FA,90)</f>
        <v>1430071800</v>
      </c>
      <c r="I97" s="86">
        <f>VLOOKUP($A97,'Data shares'!$C:$FA,92)</f>
        <v>16081875</v>
      </c>
      <c r="J97" s="87">
        <f>VLOOKUP($A97,'Data shares'!$C:$FA,93)</f>
        <v>1.14E-2</v>
      </c>
      <c r="K97" s="86">
        <f>VLOOKUP($A97,'Data shares'!$C:$FA,94)</f>
        <v>750416025</v>
      </c>
      <c r="L97" s="86">
        <f>VLOOKUP($A97,'Data shares'!$C:$FA,96)</f>
        <v>-5003250</v>
      </c>
      <c r="M97" s="87">
        <f>VLOOKUP($A97,'Data shares'!$C:$FA,97)</f>
        <v>-6.6E-3</v>
      </c>
      <c r="N97" s="86">
        <f>VLOOKUP($A97,'Data shares'!$C:$FA,78)</f>
        <v>5935498425</v>
      </c>
      <c r="O97" s="87">
        <f>VLOOKUP($A97,'Data shares'!$C:$FA,81)</f>
        <v>-3.1199999999999999E-2</v>
      </c>
    </row>
    <row r="98" spans="1:15" x14ac:dyDescent="0.25">
      <c r="A98" s="100" t="str">
        <f>'Data Vlaue (Cr)'!C93</f>
        <v>IDFCFIRSTB</v>
      </c>
      <c r="B98" s="82">
        <f>VLOOKUP(A98,'Data shares'!$C$2:$CV$220,98,0)</f>
        <v>651002975</v>
      </c>
      <c r="C98" s="82">
        <f>VLOOKUP(A98,'Data shares'!$C$2:$CX$220,100,0)</f>
        <v>-213325</v>
      </c>
      <c r="D98" s="141">
        <f>VLOOKUP(A98,'Data shares'!$C$2:$CY$543,101,0)</f>
        <v>-2.9999999999999997E-4</v>
      </c>
      <c r="E98" s="86">
        <f>VLOOKUP($A98,'Data shares'!$C:$FA,74)</f>
        <v>407478575</v>
      </c>
      <c r="F98" s="86">
        <f>VLOOKUP($A98,'Data shares'!$C:$FA,76)</f>
        <v>-213325</v>
      </c>
      <c r="G98" s="87">
        <f>VLOOKUP(A98,'Data shares'!$C$2:$CA$220,77,0)</f>
        <v>-5.0000000000000001E-4</v>
      </c>
      <c r="H98" s="86">
        <f>VLOOKUP($A98,'Data shares'!$C:$FA,90)</f>
        <v>126075075</v>
      </c>
      <c r="I98" s="86">
        <f>VLOOKUP($A98,'Data shares'!$C:$FA,92)</f>
        <v>120575</v>
      </c>
      <c r="J98" s="87">
        <f>VLOOKUP($A98,'Data shares'!$C:$FA,93)</f>
        <v>1E-3</v>
      </c>
      <c r="K98" s="86">
        <f>VLOOKUP($A98,'Data shares'!$C:$FA,94)</f>
        <v>117449325</v>
      </c>
      <c r="L98" s="86">
        <f>VLOOKUP($A98,'Data shares'!$C:$FA,96)</f>
        <v>-120575</v>
      </c>
      <c r="M98" s="87">
        <f>VLOOKUP($A98,'Data shares'!$C:$FA,97)</f>
        <v>-1E-3</v>
      </c>
      <c r="N98" s="86">
        <f>VLOOKUP($A98,'Data shares'!$C:$FA,78)</f>
        <v>335894125</v>
      </c>
      <c r="O98" s="87">
        <f>VLOOKUP($A98,'Data shares'!$C:$FA,81)</f>
        <v>-5.1700000000000003E-2</v>
      </c>
    </row>
    <row r="99" spans="1:15" x14ac:dyDescent="0.25">
      <c r="A99" s="100" t="str">
        <f>'Data Vlaue (Cr)'!C94</f>
        <v>IEX</v>
      </c>
      <c r="B99" s="82">
        <f>VLOOKUP(A99,'Data shares'!$C$2:$CV$220,98,0)</f>
        <v>138453750</v>
      </c>
      <c r="C99" s="82">
        <f>VLOOKUP(A99,'Data shares'!$C$2:$CX$220,100,0)</f>
        <v>-3963750</v>
      </c>
      <c r="D99" s="141">
        <f>VLOOKUP(A99,'Data shares'!$C$2:$CY$543,101,0)</f>
        <v>-2.7799999999999998E-2</v>
      </c>
      <c r="E99" s="86">
        <f>VLOOKUP($A99,'Data shares'!$C:$FA,74)</f>
        <v>70672500</v>
      </c>
      <c r="F99" s="86">
        <f>VLOOKUP($A99,'Data shares'!$C:$FA,76)</f>
        <v>3750</v>
      </c>
      <c r="G99" s="87">
        <f>VLOOKUP(A99,'Data shares'!$C$2:$CA$220,77,0)</f>
        <v>1E-4</v>
      </c>
      <c r="H99" s="86">
        <f>VLOOKUP($A99,'Data shares'!$C:$FA,90)</f>
        <v>35103750</v>
      </c>
      <c r="I99" s="86">
        <f>VLOOKUP($A99,'Data shares'!$C:$FA,92)</f>
        <v>-4140000</v>
      </c>
      <c r="J99" s="87">
        <f>VLOOKUP($A99,'Data shares'!$C:$FA,93)</f>
        <v>-0.1055</v>
      </c>
      <c r="K99" s="86">
        <f>VLOOKUP($A99,'Data shares'!$C:$FA,94)</f>
        <v>32677500</v>
      </c>
      <c r="L99" s="86">
        <f>VLOOKUP($A99,'Data shares'!$C:$FA,96)</f>
        <v>172500</v>
      </c>
      <c r="M99" s="87">
        <f>VLOOKUP($A99,'Data shares'!$C:$FA,97)</f>
        <v>5.3E-3</v>
      </c>
      <c r="N99" s="86">
        <f>VLOOKUP($A99,'Data shares'!$C:$FA,78)</f>
        <v>61901250</v>
      </c>
      <c r="O99" s="87">
        <f>VLOOKUP($A99,'Data shares'!$C:$FA,81)</f>
        <v>-1.0699999999999999E-2</v>
      </c>
    </row>
    <row r="100" spans="1:15" x14ac:dyDescent="0.25">
      <c r="A100" s="100" t="str">
        <f>'Data Vlaue (Cr)'!C95</f>
        <v>INDHOTEL</v>
      </c>
      <c r="B100" s="82">
        <f>VLOOKUP(A100,'Data shares'!$C$2:$CV$220,98,0)</f>
        <v>34118000</v>
      </c>
      <c r="C100" s="82">
        <f>VLOOKUP(A100,'Data shares'!$C$2:$CX$220,100,0)</f>
        <v>17000</v>
      </c>
      <c r="D100" s="141">
        <f>VLOOKUP(A100,'Data shares'!$C$2:$CY$543,101,0)</f>
        <v>5.0000000000000001E-4</v>
      </c>
      <c r="E100" s="86">
        <f>VLOOKUP($A100,'Data shares'!$C:$FA,74)</f>
        <v>22153000</v>
      </c>
      <c r="F100" s="86">
        <f>VLOOKUP($A100,'Data shares'!$C:$FA,76)</f>
        <v>224000</v>
      </c>
      <c r="G100" s="87">
        <f>VLOOKUP(A100,'Data shares'!$C$2:$CA$220,77,0)</f>
        <v>1.0200000000000001E-2</v>
      </c>
      <c r="H100" s="86">
        <f>VLOOKUP($A100,'Data shares'!$C:$FA,90)</f>
        <v>6080000</v>
      </c>
      <c r="I100" s="86">
        <f>VLOOKUP($A100,'Data shares'!$C:$FA,92)</f>
        <v>67000</v>
      </c>
      <c r="J100" s="87">
        <f>VLOOKUP($A100,'Data shares'!$C:$FA,93)</f>
        <v>1.11E-2</v>
      </c>
      <c r="K100" s="86">
        <f>VLOOKUP($A100,'Data shares'!$C:$FA,94)</f>
        <v>5885000</v>
      </c>
      <c r="L100" s="86">
        <f>VLOOKUP($A100,'Data shares'!$C:$FA,96)</f>
        <v>-274000</v>
      </c>
      <c r="M100" s="87">
        <f>VLOOKUP($A100,'Data shares'!$C:$FA,97)</f>
        <v>-4.4499999999999998E-2</v>
      </c>
      <c r="N100" s="86">
        <f>VLOOKUP($A100,'Data shares'!$C:$FA,78)</f>
        <v>19927000</v>
      </c>
      <c r="O100" s="87">
        <f>VLOOKUP($A100,'Data shares'!$C:$FA,81)</f>
        <v>-5.5E-2</v>
      </c>
    </row>
    <row r="101" spans="1:15" x14ac:dyDescent="0.25">
      <c r="A101" s="100" t="str">
        <f>'Data Vlaue (Cr)'!C96</f>
        <v>INDIANB</v>
      </c>
      <c r="B101" s="82">
        <f>VLOOKUP(A101,'Data shares'!$C$2:$CV$220,98,0)</f>
        <v>19614000</v>
      </c>
      <c r="C101" s="82">
        <f>VLOOKUP(A101,'Data shares'!$C$2:$CX$220,100,0)</f>
        <v>-91000</v>
      </c>
      <c r="D101" s="141">
        <f>VLOOKUP(A101,'Data shares'!$C$2:$CY$543,101,0)</f>
        <v>-4.5999999999999999E-3</v>
      </c>
      <c r="E101" s="86">
        <f>VLOOKUP($A101,'Data shares'!$C:$FA,74)</f>
        <v>9863000</v>
      </c>
      <c r="F101" s="86">
        <f>VLOOKUP($A101,'Data shares'!$C:$FA,76)</f>
        <v>-109000</v>
      </c>
      <c r="G101" s="87">
        <f>VLOOKUP(A101,'Data shares'!$C$2:$CA$220,77,0)</f>
        <v>-1.09E-2</v>
      </c>
      <c r="H101" s="86">
        <f>VLOOKUP($A101,'Data shares'!$C:$FA,90)</f>
        <v>6358000</v>
      </c>
      <c r="I101" s="86">
        <f>VLOOKUP($A101,'Data shares'!$C:$FA,92)</f>
        <v>-53000</v>
      </c>
      <c r="J101" s="87">
        <f>VLOOKUP($A101,'Data shares'!$C:$FA,93)</f>
        <v>-8.3000000000000001E-3</v>
      </c>
      <c r="K101" s="86">
        <f>VLOOKUP($A101,'Data shares'!$C:$FA,94)</f>
        <v>3393000</v>
      </c>
      <c r="L101" s="86">
        <f>VLOOKUP($A101,'Data shares'!$C:$FA,96)</f>
        <v>71000</v>
      </c>
      <c r="M101" s="87">
        <f>VLOOKUP($A101,'Data shares'!$C:$FA,97)</f>
        <v>2.1399999999999999E-2</v>
      </c>
      <c r="N101" s="86">
        <f>VLOOKUP($A101,'Data shares'!$C:$FA,78)</f>
        <v>9370000</v>
      </c>
      <c r="O101" s="87">
        <f>VLOOKUP($A101,'Data shares'!$C:$FA,81)</f>
        <v>-1.54E-2</v>
      </c>
    </row>
    <row r="102" spans="1:15" x14ac:dyDescent="0.25">
      <c r="A102" s="100" t="str">
        <f>'Data Vlaue (Cr)'!C97</f>
        <v>INDIAVIX</v>
      </c>
      <c r="B102" s="82">
        <f>VLOOKUP(A102,'Data shares'!$C$2:$CV$220,98,0)</f>
        <v>0</v>
      </c>
      <c r="C102" s="82">
        <f>VLOOKUP(A102,'Data shares'!$C$2:$CX$220,100,0)</f>
        <v>0</v>
      </c>
      <c r="D102" s="141">
        <f>VLOOKUP(A102,'Data shares'!$C$2:$CY$543,101,0)</f>
        <v>0</v>
      </c>
      <c r="E102" s="86">
        <f>VLOOKUP($A102,'Data shares'!$C:$FA,74)</f>
        <v>0</v>
      </c>
      <c r="F102" s="86">
        <f>VLOOKUP($A102,'Data shares'!$C:$FA,76)</f>
        <v>0</v>
      </c>
      <c r="G102" s="87">
        <f>VLOOKUP(A102,'Data shares'!$C$2:$CA$220,77,0)</f>
        <v>0</v>
      </c>
      <c r="H102" s="86">
        <f>VLOOKUP($A102,'Data shares'!$C:$FA,90)</f>
        <v>0</v>
      </c>
      <c r="I102" s="86">
        <f>VLOOKUP($A102,'Data shares'!$C:$FA,92)</f>
        <v>0</v>
      </c>
      <c r="J102" s="87">
        <f>VLOOKUP($A102,'Data shares'!$C:$FA,93)</f>
        <v>0</v>
      </c>
      <c r="K102" s="86">
        <f>VLOOKUP($A102,'Data shares'!$C:$FA,94)</f>
        <v>0</v>
      </c>
      <c r="L102" s="86">
        <f>VLOOKUP($A102,'Data shares'!$C:$FA,96)</f>
        <v>0</v>
      </c>
      <c r="M102" s="87">
        <f>VLOOKUP($A102,'Data shares'!$C:$FA,97)</f>
        <v>0</v>
      </c>
      <c r="N102" s="86">
        <f>VLOOKUP($A102,'Data shares'!$C:$FA,78)</f>
        <v>0</v>
      </c>
      <c r="O102" s="87">
        <f>VLOOKUP($A102,'Data shares'!$C:$FA,81)</f>
        <v>0</v>
      </c>
    </row>
    <row r="103" spans="1:15" x14ac:dyDescent="0.25">
      <c r="A103" s="100" t="str">
        <f>'Data Vlaue (Cr)'!C98</f>
        <v>INDIGO</v>
      </c>
      <c r="B103" s="82">
        <f>VLOOKUP(A103,'Data shares'!$C$2:$CV$220,98,0)</f>
        <v>17672400</v>
      </c>
      <c r="C103" s="82">
        <f>VLOOKUP(A103,'Data shares'!$C$2:$CX$220,100,0)</f>
        <v>99300</v>
      </c>
      <c r="D103" s="141">
        <f>VLOOKUP(A103,'Data shares'!$C$2:$CY$543,101,0)</f>
        <v>5.7000000000000002E-3</v>
      </c>
      <c r="E103" s="86">
        <f>VLOOKUP($A103,'Data shares'!$C:$FA,74)</f>
        <v>7012500</v>
      </c>
      <c r="F103" s="86">
        <f>VLOOKUP($A103,'Data shares'!$C:$FA,76)</f>
        <v>-17250</v>
      </c>
      <c r="G103" s="87">
        <f>VLOOKUP(A103,'Data shares'!$C$2:$CA$220,77,0)</f>
        <v>-2.5000000000000001E-3</v>
      </c>
      <c r="H103" s="86">
        <f>VLOOKUP($A103,'Data shares'!$C:$FA,90)</f>
        <v>6302100</v>
      </c>
      <c r="I103" s="86">
        <f>VLOOKUP($A103,'Data shares'!$C:$FA,92)</f>
        <v>92700</v>
      </c>
      <c r="J103" s="87">
        <f>VLOOKUP($A103,'Data shares'!$C:$FA,93)</f>
        <v>1.49E-2</v>
      </c>
      <c r="K103" s="86">
        <f>VLOOKUP($A103,'Data shares'!$C:$FA,94)</f>
        <v>4357800</v>
      </c>
      <c r="L103" s="86">
        <f>VLOOKUP($A103,'Data shares'!$C:$FA,96)</f>
        <v>23850</v>
      </c>
      <c r="M103" s="87">
        <f>VLOOKUP($A103,'Data shares'!$C:$FA,97)</f>
        <v>5.4999999999999997E-3</v>
      </c>
      <c r="N103" s="86">
        <f>VLOOKUP($A103,'Data shares'!$C:$FA,78)</f>
        <v>6667800</v>
      </c>
      <c r="O103" s="87">
        <f>VLOOKUP($A103,'Data shares'!$C:$FA,81)</f>
        <v>-6.1000000000000004E-3</v>
      </c>
    </row>
    <row r="104" spans="1:15" x14ac:dyDescent="0.25">
      <c r="A104" s="100" t="str">
        <f>'Data Vlaue (Cr)'!C99</f>
        <v>INDUSINDBK</v>
      </c>
      <c r="B104" s="82">
        <f>VLOOKUP(A104,'Data shares'!$C$2:$CV$220,98,0)</f>
        <v>52703700</v>
      </c>
      <c r="C104" s="82">
        <f>VLOOKUP(A104,'Data shares'!$C$2:$CX$220,100,0)</f>
        <v>759500</v>
      </c>
      <c r="D104" s="141">
        <f>VLOOKUP(A104,'Data shares'!$C$2:$CY$543,101,0)</f>
        <v>1.46E-2</v>
      </c>
      <c r="E104" s="86">
        <f>VLOOKUP($A104,'Data shares'!$C:$FA,74)</f>
        <v>38583300</v>
      </c>
      <c r="F104" s="86">
        <f>VLOOKUP($A104,'Data shares'!$C:$FA,76)</f>
        <v>235200</v>
      </c>
      <c r="G104" s="87">
        <f>VLOOKUP(A104,'Data shares'!$C$2:$CA$220,77,0)</f>
        <v>6.1000000000000004E-3</v>
      </c>
      <c r="H104" s="86">
        <f>VLOOKUP($A104,'Data shares'!$C:$FA,90)</f>
        <v>7996100</v>
      </c>
      <c r="I104" s="86">
        <f>VLOOKUP($A104,'Data shares'!$C:$FA,92)</f>
        <v>599900</v>
      </c>
      <c r="J104" s="87">
        <f>VLOOKUP($A104,'Data shares'!$C:$FA,93)</f>
        <v>8.1100000000000005E-2</v>
      </c>
      <c r="K104" s="86">
        <f>VLOOKUP($A104,'Data shares'!$C:$FA,94)</f>
        <v>6124300</v>
      </c>
      <c r="L104" s="86">
        <f>VLOOKUP($A104,'Data shares'!$C:$FA,96)</f>
        <v>-75600</v>
      </c>
      <c r="M104" s="87">
        <f>VLOOKUP($A104,'Data shares'!$C:$FA,97)</f>
        <v>-1.2200000000000001E-2</v>
      </c>
      <c r="N104" s="86">
        <f>VLOOKUP($A104,'Data shares'!$C:$FA,78)</f>
        <v>35397600</v>
      </c>
      <c r="O104" s="87">
        <f>VLOOKUP($A104,'Data shares'!$C:$FA,81)</f>
        <v>-3.3E-3</v>
      </c>
    </row>
    <row r="105" spans="1:15" x14ac:dyDescent="0.25">
      <c r="A105" s="100" t="str">
        <f>'Data Vlaue (Cr)'!C100</f>
        <v>INDUSTOWER</v>
      </c>
      <c r="B105" s="82">
        <f>VLOOKUP(A105,'Data shares'!$C$2:$CV$220,98,0)</f>
        <v>113077200</v>
      </c>
      <c r="C105" s="82">
        <f>VLOOKUP(A105,'Data shares'!$C$2:$CX$220,100,0)</f>
        <v>5217300</v>
      </c>
      <c r="D105" s="141">
        <f>VLOOKUP(A105,'Data shares'!$C$2:$CY$543,101,0)</f>
        <v>4.8399999999999999E-2</v>
      </c>
      <c r="E105" s="86">
        <f>VLOOKUP($A105,'Data shares'!$C:$FA,74)</f>
        <v>73004800</v>
      </c>
      <c r="F105" s="86">
        <f>VLOOKUP($A105,'Data shares'!$C:$FA,76)</f>
        <v>2230400</v>
      </c>
      <c r="G105" s="87">
        <f>VLOOKUP(A105,'Data shares'!$C$2:$CA$220,77,0)</f>
        <v>3.15E-2</v>
      </c>
      <c r="H105" s="86">
        <f>VLOOKUP($A105,'Data shares'!$C:$FA,90)</f>
        <v>25369100</v>
      </c>
      <c r="I105" s="86">
        <f>VLOOKUP($A105,'Data shares'!$C:$FA,92)</f>
        <v>1514700</v>
      </c>
      <c r="J105" s="87">
        <f>VLOOKUP($A105,'Data shares'!$C:$FA,93)</f>
        <v>6.3500000000000001E-2</v>
      </c>
      <c r="K105" s="86">
        <f>VLOOKUP($A105,'Data shares'!$C:$FA,94)</f>
        <v>14703300</v>
      </c>
      <c r="L105" s="86">
        <f>VLOOKUP($A105,'Data shares'!$C:$FA,96)</f>
        <v>1472200</v>
      </c>
      <c r="M105" s="87">
        <f>VLOOKUP($A105,'Data shares'!$C:$FA,97)</f>
        <v>0.1113</v>
      </c>
      <c r="N105" s="86">
        <f>VLOOKUP($A105,'Data shares'!$C:$FA,78)</f>
        <v>66490400</v>
      </c>
      <c r="O105" s="87">
        <f>VLOOKUP($A105,'Data shares'!$C:$FA,81)</f>
        <v>-1.9599999999999999E-2</v>
      </c>
    </row>
    <row r="106" spans="1:15" x14ac:dyDescent="0.25">
      <c r="A106" s="100" t="str">
        <f>'Data Vlaue (Cr)'!C101</f>
        <v>INFY</v>
      </c>
      <c r="B106" s="82">
        <f>VLOOKUP(A106,'Data shares'!$C$2:$CV$220,98,0)</f>
        <v>128380400</v>
      </c>
      <c r="C106" s="82">
        <f>VLOOKUP(A106,'Data shares'!$C$2:$CX$220,100,0)</f>
        <v>-490400</v>
      </c>
      <c r="D106" s="141">
        <f>VLOOKUP(A106,'Data shares'!$C$2:$CY$543,101,0)</f>
        <v>-3.8E-3</v>
      </c>
      <c r="E106" s="86">
        <f>VLOOKUP($A106,'Data shares'!$C:$FA,74)</f>
        <v>79619200</v>
      </c>
      <c r="F106" s="86">
        <f>VLOOKUP($A106,'Data shares'!$C:$FA,76)</f>
        <v>-1336800</v>
      </c>
      <c r="G106" s="87">
        <f>VLOOKUP(A106,'Data shares'!$C$2:$CA$220,77,0)</f>
        <v>-1.6500000000000001E-2</v>
      </c>
      <c r="H106" s="86">
        <f>VLOOKUP($A106,'Data shares'!$C:$FA,90)</f>
        <v>28466400</v>
      </c>
      <c r="I106" s="86">
        <f>VLOOKUP($A106,'Data shares'!$C:$FA,92)</f>
        <v>829200</v>
      </c>
      <c r="J106" s="87">
        <f>VLOOKUP($A106,'Data shares'!$C:$FA,93)</f>
        <v>0.03</v>
      </c>
      <c r="K106" s="86">
        <f>VLOOKUP($A106,'Data shares'!$C:$FA,94)</f>
        <v>20294800</v>
      </c>
      <c r="L106" s="86">
        <f>VLOOKUP($A106,'Data shares'!$C:$FA,96)</f>
        <v>17200</v>
      </c>
      <c r="M106" s="87">
        <f>VLOOKUP($A106,'Data shares'!$C:$FA,97)</f>
        <v>8.0000000000000004E-4</v>
      </c>
      <c r="N106" s="86">
        <f>VLOOKUP($A106,'Data shares'!$C:$FA,78)</f>
        <v>75030800</v>
      </c>
      <c r="O106" s="87">
        <f>VLOOKUP($A106,'Data shares'!$C:$FA,81)</f>
        <v>-2.1899999999999999E-2</v>
      </c>
    </row>
    <row r="107" spans="1:15" x14ac:dyDescent="0.25">
      <c r="A107" s="100" t="str">
        <f>'Data Vlaue (Cr)'!C102</f>
        <v>INOXWIND</v>
      </c>
      <c r="B107" s="82">
        <f>VLOOKUP(A107,'Data shares'!$C$2:$CV$220,98,0)</f>
        <v>151061625</v>
      </c>
      <c r="C107" s="82">
        <f>VLOOKUP(A107,'Data shares'!$C$2:$CX$220,100,0)</f>
        <v>2931500</v>
      </c>
      <c r="D107" s="141">
        <f>VLOOKUP(A107,'Data shares'!$C$2:$CY$543,101,0)</f>
        <v>1.9800000000000002E-2</v>
      </c>
      <c r="E107" s="86">
        <f>VLOOKUP($A107,'Data shares'!$C:$FA,74)</f>
        <v>100010625</v>
      </c>
      <c r="F107" s="86">
        <f>VLOOKUP($A107,'Data shares'!$C:$FA,76)</f>
        <v>-4004000</v>
      </c>
      <c r="G107" s="87">
        <f>VLOOKUP(A107,'Data shares'!$C$2:$CA$220,77,0)</f>
        <v>-3.85E-2</v>
      </c>
      <c r="H107" s="86">
        <f>VLOOKUP($A107,'Data shares'!$C:$FA,90)</f>
        <v>27977950</v>
      </c>
      <c r="I107" s="86">
        <f>VLOOKUP($A107,'Data shares'!$C:$FA,92)</f>
        <v>5644925</v>
      </c>
      <c r="J107" s="87">
        <f>VLOOKUP($A107,'Data shares'!$C:$FA,93)</f>
        <v>0.25280000000000002</v>
      </c>
      <c r="K107" s="86">
        <f>VLOOKUP($A107,'Data shares'!$C:$FA,94)</f>
        <v>23073050</v>
      </c>
      <c r="L107" s="86">
        <f>VLOOKUP($A107,'Data shares'!$C:$FA,96)</f>
        <v>1290575</v>
      </c>
      <c r="M107" s="87">
        <f>VLOOKUP($A107,'Data shares'!$C:$FA,97)</f>
        <v>5.9200000000000003E-2</v>
      </c>
      <c r="N107" s="86">
        <f>VLOOKUP($A107,'Data shares'!$C:$FA,78)</f>
        <v>90175800</v>
      </c>
      <c r="O107" s="87">
        <f>VLOOKUP($A107,'Data shares'!$C:$FA,81)</f>
        <v>-5.9900000000000002E-2</v>
      </c>
    </row>
    <row r="108" spans="1:15" x14ac:dyDescent="0.25">
      <c r="A108" s="100" t="str">
        <f>'Data Vlaue (Cr)'!C103</f>
        <v>IOC</v>
      </c>
      <c r="B108" s="82">
        <f>VLOOKUP(A108,'Data shares'!$C$2:$CV$220,98,0)</f>
        <v>214461000</v>
      </c>
      <c r="C108" s="82">
        <f>VLOOKUP(A108,'Data shares'!$C$2:$CX$220,100,0)</f>
        <v>-911625</v>
      </c>
      <c r="D108" s="141">
        <f>VLOOKUP(A108,'Data shares'!$C$2:$CY$543,101,0)</f>
        <v>-4.1999999999999997E-3</v>
      </c>
      <c r="E108" s="86">
        <f>VLOOKUP($A108,'Data shares'!$C:$FA,74)</f>
        <v>102482250</v>
      </c>
      <c r="F108" s="86">
        <f>VLOOKUP($A108,'Data shares'!$C:$FA,76)</f>
        <v>-1823250</v>
      </c>
      <c r="G108" s="87">
        <f>VLOOKUP(A108,'Data shares'!$C$2:$CA$220,77,0)</f>
        <v>-1.7500000000000002E-2</v>
      </c>
      <c r="H108" s="86">
        <f>VLOOKUP($A108,'Data shares'!$C:$FA,90)</f>
        <v>64652250</v>
      </c>
      <c r="I108" s="86">
        <f>VLOOKUP($A108,'Data shares'!$C:$FA,92)</f>
        <v>-63375</v>
      </c>
      <c r="J108" s="87">
        <f>VLOOKUP($A108,'Data shares'!$C:$FA,93)</f>
        <v>-1E-3</v>
      </c>
      <c r="K108" s="86">
        <f>VLOOKUP($A108,'Data shares'!$C:$FA,94)</f>
        <v>47326500</v>
      </c>
      <c r="L108" s="86">
        <f>VLOOKUP($A108,'Data shares'!$C:$FA,96)</f>
        <v>975000</v>
      </c>
      <c r="M108" s="87">
        <f>VLOOKUP($A108,'Data shares'!$C:$FA,97)</f>
        <v>2.1000000000000001E-2</v>
      </c>
      <c r="N108" s="86">
        <f>VLOOKUP($A108,'Data shares'!$C:$FA,78)</f>
        <v>91459875</v>
      </c>
      <c r="O108" s="87">
        <f>VLOOKUP($A108,'Data shares'!$C:$FA,81)</f>
        <v>-2.8799999999999999E-2</v>
      </c>
    </row>
    <row r="109" spans="1:15" x14ac:dyDescent="0.25">
      <c r="A109" s="100" t="str">
        <f>'Data Vlaue (Cr)'!C104</f>
        <v>IREDA</v>
      </c>
      <c r="B109" s="82">
        <f>VLOOKUP(A109,'Data shares'!$C$2:$CV$220,98,0)</f>
        <v>102640950</v>
      </c>
      <c r="C109" s="82">
        <f>VLOOKUP(A109,'Data shares'!$C$2:$CX$220,100,0)</f>
        <v>4947300</v>
      </c>
      <c r="D109" s="141">
        <f>VLOOKUP(A109,'Data shares'!$C$2:$CY$543,101,0)</f>
        <v>5.0599999999999999E-2</v>
      </c>
      <c r="E109" s="86">
        <f>VLOOKUP($A109,'Data shares'!$C:$FA,74)</f>
        <v>57973800</v>
      </c>
      <c r="F109" s="86">
        <f>VLOOKUP($A109,'Data shares'!$C:$FA,76)</f>
        <v>2570250</v>
      </c>
      <c r="G109" s="87">
        <f>VLOOKUP(A109,'Data shares'!$C$2:$CA$220,77,0)</f>
        <v>4.6399999999999997E-2</v>
      </c>
      <c r="H109" s="86">
        <f>VLOOKUP($A109,'Data shares'!$C:$FA,90)</f>
        <v>24960750</v>
      </c>
      <c r="I109" s="86">
        <f>VLOOKUP($A109,'Data shares'!$C:$FA,92)</f>
        <v>1562850</v>
      </c>
      <c r="J109" s="87">
        <f>VLOOKUP($A109,'Data shares'!$C:$FA,93)</f>
        <v>6.6799999999999998E-2</v>
      </c>
      <c r="K109" s="86">
        <f>VLOOKUP($A109,'Data shares'!$C:$FA,94)</f>
        <v>19706400</v>
      </c>
      <c r="L109" s="86">
        <f>VLOOKUP($A109,'Data shares'!$C:$FA,96)</f>
        <v>814200</v>
      </c>
      <c r="M109" s="87">
        <f>VLOOKUP($A109,'Data shares'!$C:$FA,97)</f>
        <v>4.3099999999999999E-2</v>
      </c>
      <c r="N109" s="86">
        <f>VLOOKUP($A109,'Data shares'!$C:$FA,78)</f>
        <v>42438450</v>
      </c>
      <c r="O109" s="87">
        <f>VLOOKUP($A109,'Data shares'!$C:$FA,81)</f>
        <v>1.55E-2</v>
      </c>
    </row>
    <row r="110" spans="1:15" x14ac:dyDescent="0.25">
      <c r="A110" s="100" t="str">
        <f>'Data Vlaue (Cr)'!C105</f>
        <v>IRFC</v>
      </c>
      <c r="B110" s="82">
        <f>VLOOKUP(A110,'Data shares'!$C$2:$CV$220,98,0)</f>
        <v>131881750</v>
      </c>
      <c r="C110" s="82">
        <f>VLOOKUP(A110,'Data shares'!$C$2:$CX$220,100,0)</f>
        <v>4118250</v>
      </c>
      <c r="D110" s="141">
        <f>VLOOKUP(A110,'Data shares'!$C$2:$CY$543,101,0)</f>
        <v>3.2199999999999999E-2</v>
      </c>
      <c r="E110" s="86">
        <f>VLOOKUP($A110,'Data shares'!$C:$FA,74)</f>
        <v>59262000</v>
      </c>
      <c r="F110" s="86">
        <f>VLOOKUP($A110,'Data shares'!$C:$FA,76)</f>
        <v>1092250</v>
      </c>
      <c r="G110" s="87">
        <f>VLOOKUP(A110,'Data shares'!$C$2:$CA$220,77,0)</f>
        <v>1.8800000000000001E-2</v>
      </c>
      <c r="H110" s="86">
        <f>VLOOKUP($A110,'Data shares'!$C:$FA,90)</f>
        <v>42334250</v>
      </c>
      <c r="I110" s="86">
        <f>VLOOKUP($A110,'Data shares'!$C:$FA,92)</f>
        <v>2626500</v>
      </c>
      <c r="J110" s="87">
        <f>VLOOKUP($A110,'Data shares'!$C:$FA,93)</f>
        <v>6.6100000000000006E-2</v>
      </c>
      <c r="K110" s="86">
        <f>VLOOKUP($A110,'Data shares'!$C:$FA,94)</f>
        <v>30285500</v>
      </c>
      <c r="L110" s="86">
        <f>VLOOKUP($A110,'Data shares'!$C:$FA,96)</f>
        <v>399500</v>
      </c>
      <c r="M110" s="87">
        <f>VLOOKUP($A110,'Data shares'!$C:$FA,97)</f>
        <v>1.34E-2</v>
      </c>
      <c r="N110" s="86">
        <f>VLOOKUP($A110,'Data shares'!$C:$FA,78)</f>
        <v>45283750</v>
      </c>
      <c r="O110" s="87">
        <f>VLOOKUP($A110,'Data shares'!$C:$FA,81)</f>
        <v>-1.2999999999999999E-3</v>
      </c>
    </row>
    <row r="111" spans="1:15" x14ac:dyDescent="0.25">
      <c r="A111" s="100" t="str">
        <f>'Data Vlaue (Cr)'!C106</f>
        <v>ITC</v>
      </c>
      <c r="B111" s="82">
        <f>VLOOKUP(A111,'Data shares'!$C$2:$CV$220,98,0)</f>
        <v>336720000</v>
      </c>
      <c r="C111" s="82">
        <f>VLOOKUP(A111,'Data shares'!$C$2:$CX$220,100,0)</f>
        <v>23337600</v>
      </c>
      <c r="D111" s="141">
        <f>VLOOKUP(A111,'Data shares'!$C$2:$CY$543,101,0)</f>
        <v>7.4499999999999997E-2</v>
      </c>
      <c r="E111" s="86">
        <f>VLOOKUP($A111,'Data shares'!$C:$FA,74)</f>
        <v>165144000</v>
      </c>
      <c r="F111" s="86">
        <f>VLOOKUP($A111,'Data shares'!$C:$FA,76)</f>
        <v>1928000</v>
      </c>
      <c r="G111" s="87">
        <f>VLOOKUP(A111,'Data shares'!$C$2:$CA$220,77,0)</f>
        <v>1.18E-2</v>
      </c>
      <c r="H111" s="86">
        <f>VLOOKUP($A111,'Data shares'!$C:$FA,90)</f>
        <v>114555200</v>
      </c>
      <c r="I111" s="86">
        <f>VLOOKUP($A111,'Data shares'!$C:$FA,92)</f>
        <v>16153600</v>
      </c>
      <c r="J111" s="87">
        <f>VLOOKUP($A111,'Data shares'!$C:$FA,93)</f>
        <v>0.16420000000000001</v>
      </c>
      <c r="K111" s="86">
        <f>VLOOKUP($A111,'Data shares'!$C:$FA,94)</f>
        <v>57020800</v>
      </c>
      <c r="L111" s="86">
        <f>VLOOKUP($A111,'Data shares'!$C:$FA,96)</f>
        <v>5256000</v>
      </c>
      <c r="M111" s="87">
        <f>VLOOKUP($A111,'Data shares'!$C:$FA,97)</f>
        <v>0.10150000000000001</v>
      </c>
      <c r="N111" s="86">
        <f>VLOOKUP($A111,'Data shares'!$C:$FA,78)</f>
        <v>143740800</v>
      </c>
      <c r="O111" s="87">
        <f>VLOOKUP($A111,'Data shares'!$C:$FA,81)</f>
        <v>-1.5599999999999999E-2</v>
      </c>
    </row>
    <row r="112" spans="1:15" x14ac:dyDescent="0.25">
      <c r="A112" s="100" t="str">
        <f>'Data Vlaue (Cr)'!C107</f>
        <v>JINDALSTEL</v>
      </c>
      <c r="B112" s="82">
        <f>VLOOKUP(A112,'Data shares'!$C$2:$CV$220,98,0)</f>
        <v>20543125</v>
      </c>
      <c r="C112" s="82">
        <f>VLOOKUP(A112,'Data shares'!$C$2:$CX$220,100,0)</f>
        <v>922500</v>
      </c>
      <c r="D112" s="141">
        <f>VLOOKUP(A112,'Data shares'!$C$2:$CY$543,101,0)</f>
        <v>4.7E-2</v>
      </c>
      <c r="E112" s="86">
        <f>VLOOKUP($A112,'Data shares'!$C:$FA,74)</f>
        <v>12635000</v>
      </c>
      <c r="F112" s="86">
        <f>VLOOKUP($A112,'Data shares'!$C:$FA,76)</f>
        <v>-235625</v>
      </c>
      <c r="G112" s="87">
        <f>VLOOKUP(A112,'Data shares'!$C$2:$CA$220,77,0)</f>
        <v>-1.83E-2</v>
      </c>
      <c r="H112" s="86">
        <f>VLOOKUP($A112,'Data shares'!$C:$FA,90)</f>
        <v>3788125</v>
      </c>
      <c r="I112" s="86">
        <f>VLOOKUP($A112,'Data shares'!$C:$FA,92)</f>
        <v>381875</v>
      </c>
      <c r="J112" s="87">
        <f>VLOOKUP($A112,'Data shares'!$C:$FA,93)</f>
        <v>0.11210000000000001</v>
      </c>
      <c r="K112" s="86">
        <f>VLOOKUP($A112,'Data shares'!$C:$FA,94)</f>
        <v>4120000</v>
      </c>
      <c r="L112" s="86">
        <f>VLOOKUP($A112,'Data shares'!$C:$FA,96)</f>
        <v>776250</v>
      </c>
      <c r="M112" s="87">
        <f>VLOOKUP($A112,'Data shares'!$C:$FA,97)</f>
        <v>0.2321</v>
      </c>
      <c r="N112" s="86">
        <f>VLOOKUP($A112,'Data shares'!$C:$FA,78)</f>
        <v>11075625</v>
      </c>
      <c r="O112" s="87">
        <f>VLOOKUP($A112,'Data shares'!$C:$FA,81)</f>
        <v>-2.58E-2</v>
      </c>
    </row>
    <row r="113" spans="1:15" x14ac:dyDescent="0.25">
      <c r="A113" s="100" t="str">
        <f>'Data Vlaue (Cr)'!C108</f>
        <v>JIOFIN</v>
      </c>
      <c r="B113" s="82">
        <f>VLOOKUP(A113,'Data shares'!$C$2:$CV$220,98,0)</f>
        <v>285449800</v>
      </c>
      <c r="C113" s="82">
        <f>VLOOKUP(A113,'Data shares'!$C$2:$CX$220,100,0)</f>
        <v>43618350</v>
      </c>
      <c r="D113" s="141">
        <f>VLOOKUP(A113,'Data shares'!$C$2:$CY$543,101,0)</f>
        <v>0.1804</v>
      </c>
      <c r="E113" s="86">
        <f>VLOOKUP($A113,'Data shares'!$C:$FA,74)</f>
        <v>169855650</v>
      </c>
      <c r="F113" s="86">
        <f>VLOOKUP($A113,'Data shares'!$C:$FA,76)</f>
        <v>16076350</v>
      </c>
      <c r="G113" s="87">
        <f>VLOOKUP(A113,'Data shares'!$C$2:$CA$220,77,0)</f>
        <v>0.1045</v>
      </c>
      <c r="H113" s="86">
        <f>VLOOKUP($A113,'Data shares'!$C:$FA,90)</f>
        <v>69118200</v>
      </c>
      <c r="I113" s="86">
        <f>VLOOKUP($A113,'Data shares'!$C:$FA,92)</f>
        <v>18210150</v>
      </c>
      <c r="J113" s="87">
        <f>VLOOKUP($A113,'Data shares'!$C:$FA,93)</f>
        <v>0.35770000000000002</v>
      </c>
      <c r="K113" s="86">
        <f>VLOOKUP($A113,'Data shares'!$C:$FA,94)</f>
        <v>46475950</v>
      </c>
      <c r="L113" s="86">
        <f>VLOOKUP($A113,'Data shares'!$C:$FA,96)</f>
        <v>9331850</v>
      </c>
      <c r="M113" s="87">
        <f>VLOOKUP($A113,'Data shares'!$C:$FA,97)</f>
        <v>0.25119999999999998</v>
      </c>
      <c r="N113" s="86">
        <f>VLOOKUP($A113,'Data shares'!$C:$FA,78)</f>
        <v>132995900</v>
      </c>
      <c r="O113" s="87">
        <f>VLOOKUP($A113,'Data shares'!$C:$FA,81)</f>
        <v>5.8400000000000001E-2</v>
      </c>
    </row>
    <row r="114" spans="1:15" x14ac:dyDescent="0.25">
      <c r="A114" s="100" t="str">
        <f>'Data Vlaue (Cr)'!C109</f>
        <v>JSWENERGY</v>
      </c>
      <c r="B114" s="82">
        <f>VLOOKUP(A114,'Data shares'!$C$2:$CV$220,98,0)</f>
        <v>38543000</v>
      </c>
      <c r="C114" s="82">
        <f>VLOOKUP(A114,'Data shares'!$C$2:$CX$220,100,0)</f>
        <v>-409000</v>
      </c>
      <c r="D114" s="141">
        <f>VLOOKUP(A114,'Data shares'!$C$2:$CY$543,101,0)</f>
        <v>-1.0500000000000001E-2</v>
      </c>
      <c r="E114" s="86">
        <f>VLOOKUP($A114,'Data shares'!$C:$FA,74)</f>
        <v>26884000</v>
      </c>
      <c r="F114" s="86">
        <f>VLOOKUP($A114,'Data shares'!$C:$FA,76)</f>
        <v>-429000</v>
      </c>
      <c r="G114" s="87">
        <f>VLOOKUP(A114,'Data shares'!$C$2:$CA$220,77,0)</f>
        <v>-1.5699999999999999E-2</v>
      </c>
      <c r="H114" s="86">
        <f>VLOOKUP($A114,'Data shares'!$C:$FA,90)</f>
        <v>6911000</v>
      </c>
      <c r="I114" s="86">
        <f>VLOOKUP($A114,'Data shares'!$C:$FA,92)</f>
        <v>404000</v>
      </c>
      <c r="J114" s="87">
        <f>VLOOKUP($A114,'Data shares'!$C:$FA,93)</f>
        <v>6.2100000000000002E-2</v>
      </c>
      <c r="K114" s="86">
        <f>VLOOKUP($A114,'Data shares'!$C:$FA,94)</f>
        <v>4748000</v>
      </c>
      <c r="L114" s="86">
        <f>VLOOKUP($A114,'Data shares'!$C:$FA,96)</f>
        <v>-384000</v>
      </c>
      <c r="M114" s="87">
        <f>VLOOKUP($A114,'Data shares'!$C:$FA,97)</f>
        <v>-7.4800000000000005E-2</v>
      </c>
      <c r="N114" s="86">
        <f>VLOOKUP($A114,'Data shares'!$C:$FA,78)</f>
        <v>26080000</v>
      </c>
      <c r="O114" s="87">
        <f>VLOOKUP($A114,'Data shares'!$C:$FA,81)</f>
        <v>-2.23E-2</v>
      </c>
    </row>
    <row r="115" spans="1:15" x14ac:dyDescent="0.25">
      <c r="A115" s="100" t="str">
        <f>'Data Vlaue (Cr)'!C110</f>
        <v>JSWSTEEL</v>
      </c>
      <c r="B115" s="82">
        <f>VLOOKUP(A115,'Data shares'!$C$2:$CV$220,98,0)</f>
        <v>61297425</v>
      </c>
      <c r="C115" s="82">
        <f>VLOOKUP(A115,'Data shares'!$C$2:$CX$220,100,0)</f>
        <v>-1032750</v>
      </c>
      <c r="D115" s="141">
        <f>VLOOKUP(A115,'Data shares'!$C$2:$CY$543,101,0)</f>
        <v>-1.66E-2</v>
      </c>
      <c r="E115" s="86">
        <f>VLOOKUP($A115,'Data shares'!$C:$FA,74)</f>
        <v>49965525</v>
      </c>
      <c r="F115" s="86">
        <f>VLOOKUP($A115,'Data shares'!$C:$FA,76)</f>
        <v>-184275</v>
      </c>
      <c r="G115" s="87">
        <f>VLOOKUP(A115,'Data shares'!$C$2:$CA$220,77,0)</f>
        <v>-3.7000000000000002E-3</v>
      </c>
      <c r="H115" s="86">
        <f>VLOOKUP($A115,'Data shares'!$C:$FA,90)</f>
        <v>5775300</v>
      </c>
      <c r="I115" s="86">
        <f>VLOOKUP($A115,'Data shares'!$C:$FA,92)</f>
        <v>-924075</v>
      </c>
      <c r="J115" s="87">
        <f>VLOOKUP($A115,'Data shares'!$C:$FA,93)</f>
        <v>-0.13789999999999999</v>
      </c>
      <c r="K115" s="86">
        <f>VLOOKUP($A115,'Data shares'!$C:$FA,94)</f>
        <v>5556600</v>
      </c>
      <c r="L115" s="86">
        <f>VLOOKUP($A115,'Data shares'!$C:$FA,96)</f>
        <v>75600</v>
      </c>
      <c r="M115" s="87">
        <f>VLOOKUP($A115,'Data shares'!$C:$FA,97)</f>
        <v>1.38E-2</v>
      </c>
      <c r="N115" s="86">
        <f>VLOOKUP($A115,'Data shares'!$C:$FA,78)</f>
        <v>43573950</v>
      </c>
      <c r="O115" s="87">
        <f>VLOOKUP($A115,'Data shares'!$C:$FA,81)</f>
        <v>-3.39E-2</v>
      </c>
    </row>
    <row r="116" spans="1:15" x14ac:dyDescent="0.25">
      <c r="A116" s="100" t="str">
        <f>'Data Vlaue (Cr)'!C111</f>
        <v>JUBLFOOD</v>
      </c>
      <c r="B116" s="82">
        <f>VLOOKUP(A116,'Data shares'!$C$2:$CV$220,98,0)</f>
        <v>76172500</v>
      </c>
      <c r="C116" s="82">
        <f>VLOOKUP(A116,'Data shares'!$C$2:$CX$220,100,0)</f>
        <v>3140000</v>
      </c>
      <c r="D116" s="141">
        <f>VLOOKUP(A116,'Data shares'!$C$2:$CY$543,101,0)</f>
        <v>4.2999999999999997E-2</v>
      </c>
      <c r="E116" s="86">
        <f>VLOOKUP($A116,'Data shares'!$C:$FA,74)</f>
        <v>51273750</v>
      </c>
      <c r="F116" s="86">
        <f>VLOOKUP($A116,'Data shares'!$C:$FA,76)</f>
        <v>1123750</v>
      </c>
      <c r="G116" s="87">
        <f>VLOOKUP(A116,'Data shares'!$C$2:$CA$220,77,0)</f>
        <v>2.24E-2</v>
      </c>
      <c r="H116" s="86">
        <f>VLOOKUP($A116,'Data shares'!$C:$FA,90)</f>
        <v>15147500</v>
      </c>
      <c r="I116" s="86">
        <f>VLOOKUP($A116,'Data shares'!$C:$FA,92)</f>
        <v>1328750</v>
      </c>
      <c r="J116" s="87">
        <f>VLOOKUP($A116,'Data shares'!$C:$FA,93)</f>
        <v>9.6199999999999994E-2</v>
      </c>
      <c r="K116" s="86">
        <f>VLOOKUP($A116,'Data shares'!$C:$FA,94)</f>
        <v>9751250</v>
      </c>
      <c r="L116" s="86">
        <f>VLOOKUP($A116,'Data shares'!$C:$FA,96)</f>
        <v>687500</v>
      </c>
      <c r="M116" s="87">
        <f>VLOOKUP($A116,'Data shares'!$C:$FA,97)</f>
        <v>7.5899999999999995E-2</v>
      </c>
      <c r="N116" s="86">
        <f>VLOOKUP($A116,'Data shares'!$C:$FA,78)</f>
        <v>36798750</v>
      </c>
      <c r="O116" s="87">
        <f>VLOOKUP($A116,'Data shares'!$C:$FA,81)</f>
        <v>3.8999999999999998E-3</v>
      </c>
    </row>
    <row r="117" spans="1:15" x14ac:dyDescent="0.25">
      <c r="A117" s="100" t="str">
        <f>'Data Vlaue (Cr)'!C112</f>
        <v>KALYANKJIL</v>
      </c>
      <c r="B117" s="82">
        <f>VLOOKUP(A117,'Data shares'!$C$2:$CV$220,98,0)</f>
        <v>47703825</v>
      </c>
      <c r="C117" s="82">
        <f>VLOOKUP(A117,'Data shares'!$C$2:$CX$220,100,0)</f>
        <v>10311800</v>
      </c>
      <c r="D117" s="141">
        <f>VLOOKUP(A117,'Data shares'!$C$2:$CY$543,101,0)</f>
        <v>0.27579999999999999</v>
      </c>
      <c r="E117" s="86">
        <f>VLOOKUP($A117,'Data shares'!$C:$FA,74)</f>
        <v>26277700</v>
      </c>
      <c r="F117" s="86">
        <f>VLOOKUP($A117,'Data shares'!$C:$FA,76)</f>
        <v>1626200</v>
      </c>
      <c r="G117" s="87">
        <f>VLOOKUP(A117,'Data shares'!$C$2:$CA$220,77,0)</f>
        <v>6.6000000000000003E-2</v>
      </c>
      <c r="H117" s="86">
        <f>VLOOKUP($A117,'Data shares'!$C:$FA,90)</f>
        <v>13987200</v>
      </c>
      <c r="I117" s="86">
        <f>VLOOKUP($A117,'Data shares'!$C:$FA,92)</f>
        <v>6904300</v>
      </c>
      <c r="J117" s="87">
        <f>VLOOKUP($A117,'Data shares'!$C:$FA,93)</f>
        <v>0.9748</v>
      </c>
      <c r="K117" s="86">
        <f>VLOOKUP($A117,'Data shares'!$C:$FA,94)</f>
        <v>7438925</v>
      </c>
      <c r="L117" s="86">
        <f>VLOOKUP($A117,'Data shares'!$C:$FA,96)</f>
        <v>1781300</v>
      </c>
      <c r="M117" s="87">
        <f>VLOOKUP($A117,'Data shares'!$C:$FA,97)</f>
        <v>0.31480000000000002</v>
      </c>
      <c r="N117" s="86">
        <f>VLOOKUP($A117,'Data shares'!$C:$FA,78)</f>
        <v>24541050</v>
      </c>
      <c r="O117" s="87">
        <f>VLOOKUP($A117,'Data shares'!$C:$FA,81)</f>
        <v>3.7999999999999999E-2</v>
      </c>
    </row>
    <row r="118" spans="1:15" x14ac:dyDescent="0.25">
      <c r="A118" s="100" t="str">
        <f>'Data Vlaue (Cr)'!C113</f>
        <v>KAYNES</v>
      </c>
      <c r="B118" s="82">
        <f>VLOOKUP(A118,'Data shares'!$C$2:$CV$220,98,0)</f>
        <v>6141100</v>
      </c>
      <c r="C118" s="82">
        <f>VLOOKUP(A118,'Data shares'!$C$2:$CX$220,100,0)</f>
        <v>105000</v>
      </c>
      <c r="D118" s="141">
        <f>VLOOKUP(A118,'Data shares'!$C$2:$CY$543,101,0)</f>
        <v>1.7399999999999999E-2</v>
      </c>
      <c r="E118" s="86">
        <f>VLOOKUP($A118,'Data shares'!$C:$FA,74)</f>
        <v>3419800</v>
      </c>
      <c r="F118" s="86">
        <f>VLOOKUP($A118,'Data shares'!$C:$FA,76)</f>
        <v>45200</v>
      </c>
      <c r="G118" s="87">
        <f>VLOOKUP(A118,'Data shares'!$C$2:$CA$220,77,0)</f>
        <v>1.34E-2</v>
      </c>
      <c r="H118" s="86">
        <f>VLOOKUP($A118,'Data shares'!$C:$FA,90)</f>
        <v>1513300</v>
      </c>
      <c r="I118" s="86">
        <f>VLOOKUP($A118,'Data shares'!$C:$FA,92)</f>
        <v>68400</v>
      </c>
      <c r="J118" s="87">
        <f>VLOOKUP($A118,'Data shares'!$C:$FA,93)</f>
        <v>4.7300000000000002E-2</v>
      </c>
      <c r="K118" s="86">
        <f>VLOOKUP($A118,'Data shares'!$C:$FA,94)</f>
        <v>1208000</v>
      </c>
      <c r="L118" s="86">
        <f>VLOOKUP($A118,'Data shares'!$C:$FA,96)</f>
        <v>-8600</v>
      </c>
      <c r="M118" s="87">
        <f>VLOOKUP($A118,'Data shares'!$C:$FA,97)</f>
        <v>-7.1000000000000004E-3</v>
      </c>
      <c r="N118" s="86">
        <f>VLOOKUP($A118,'Data shares'!$C:$FA,78)</f>
        <v>2875800</v>
      </c>
      <c r="O118" s="87">
        <f>VLOOKUP($A118,'Data shares'!$C:$FA,81)</f>
        <v>-1.5E-3</v>
      </c>
    </row>
    <row r="119" spans="1:15" x14ac:dyDescent="0.25">
      <c r="A119" s="100" t="str">
        <f>'Data Vlaue (Cr)'!C114</f>
        <v>KEI</v>
      </c>
      <c r="B119" s="82">
        <f>VLOOKUP(A119,'Data shares'!$C$2:$CV$220,98,0)</f>
        <v>3508925</v>
      </c>
      <c r="C119" s="82">
        <f>VLOOKUP(A119,'Data shares'!$C$2:$CX$220,100,0)</f>
        <v>103775</v>
      </c>
      <c r="D119" s="141">
        <f>VLOOKUP(A119,'Data shares'!$C$2:$CY$543,101,0)</f>
        <v>3.0499999999999999E-2</v>
      </c>
      <c r="E119" s="86">
        <f>VLOOKUP($A119,'Data shares'!$C:$FA,74)</f>
        <v>2330475</v>
      </c>
      <c r="F119" s="86">
        <f>VLOOKUP($A119,'Data shares'!$C:$FA,76)</f>
        <v>19425</v>
      </c>
      <c r="G119" s="87">
        <f>VLOOKUP(A119,'Data shares'!$C$2:$CA$220,77,0)</f>
        <v>8.3999999999999995E-3</v>
      </c>
      <c r="H119" s="86">
        <f>VLOOKUP($A119,'Data shares'!$C:$FA,90)</f>
        <v>694575</v>
      </c>
      <c r="I119" s="86">
        <f>VLOOKUP($A119,'Data shares'!$C:$FA,92)</f>
        <v>59150</v>
      </c>
      <c r="J119" s="87">
        <f>VLOOKUP($A119,'Data shares'!$C:$FA,93)</f>
        <v>9.3100000000000002E-2</v>
      </c>
      <c r="K119" s="86">
        <f>VLOOKUP($A119,'Data shares'!$C:$FA,94)</f>
        <v>483875</v>
      </c>
      <c r="L119" s="86">
        <f>VLOOKUP($A119,'Data shares'!$C:$FA,96)</f>
        <v>25200</v>
      </c>
      <c r="M119" s="87">
        <f>VLOOKUP($A119,'Data shares'!$C:$FA,97)</f>
        <v>5.4899999999999997E-2</v>
      </c>
      <c r="N119" s="86">
        <f>VLOOKUP($A119,'Data shares'!$C:$FA,78)</f>
        <v>1837325</v>
      </c>
      <c r="O119" s="87">
        <f>VLOOKUP($A119,'Data shares'!$C:$FA,81)</f>
        <v>-2.5700000000000001E-2</v>
      </c>
    </row>
    <row r="120" spans="1:15" x14ac:dyDescent="0.25">
      <c r="A120" s="100" t="str">
        <f>'Data Vlaue (Cr)'!C115</f>
        <v>KFINTECH</v>
      </c>
      <c r="B120" s="82">
        <f>VLOOKUP(A120,'Data shares'!$C$2:$CV$220,98,0)</f>
        <v>7392500</v>
      </c>
      <c r="C120" s="82">
        <f>VLOOKUP(A120,'Data shares'!$C$2:$CX$220,100,0)</f>
        <v>1091500</v>
      </c>
      <c r="D120" s="141">
        <f>VLOOKUP(A120,'Data shares'!$C$2:$CY$543,101,0)</f>
        <v>0.17319999999999999</v>
      </c>
      <c r="E120" s="86">
        <f>VLOOKUP($A120,'Data shares'!$C:$FA,74)</f>
        <v>3644500</v>
      </c>
      <c r="F120" s="86">
        <f>VLOOKUP($A120,'Data shares'!$C:$FA,76)</f>
        <v>204500</v>
      </c>
      <c r="G120" s="87">
        <f>VLOOKUP(A120,'Data shares'!$C$2:$CA$220,77,0)</f>
        <v>5.9400000000000001E-2</v>
      </c>
      <c r="H120" s="86">
        <f>VLOOKUP($A120,'Data shares'!$C:$FA,90)</f>
        <v>2499000</v>
      </c>
      <c r="I120" s="86">
        <f>VLOOKUP($A120,'Data shares'!$C:$FA,92)</f>
        <v>608000</v>
      </c>
      <c r="J120" s="87">
        <f>VLOOKUP($A120,'Data shares'!$C:$FA,93)</f>
        <v>0.32150000000000001</v>
      </c>
      <c r="K120" s="86">
        <f>VLOOKUP($A120,'Data shares'!$C:$FA,94)</f>
        <v>1249000</v>
      </c>
      <c r="L120" s="86">
        <f>VLOOKUP($A120,'Data shares'!$C:$FA,96)</f>
        <v>279000</v>
      </c>
      <c r="M120" s="87">
        <f>VLOOKUP($A120,'Data shares'!$C:$FA,97)</f>
        <v>0.28760000000000002</v>
      </c>
      <c r="N120" s="86">
        <f>VLOOKUP($A120,'Data shares'!$C:$FA,78)</f>
        <v>2943500</v>
      </c>
      <c r="O120" s="87">
        <f>VLOOKUP($A120,'Data shares'!$C:$FA,81)</f>
        <v>3.5200000000000002E-2</v>
      </c>
    </row>
    <row r="121" spans="1:15" x14ac:dyDescent="0.25">
      <c r="A121" s="100" t="str">
        <f>'Data Vlaue (Cr)'!C116</f>
        <v>KOTAKBANK</v>
      </c>
      <c r="B121" s="82">
        <f>VLOOKUP(A121,'Data shares'!$C$2:$CV$220,98,0)</f>
        <v>276060000</v>
      </c>
      <c r="C121" s="82">
        <f>VLOOKUP(A121,'Data shares'!$C$2:$CX$220,100,0)</f>
        <v>-4104000</v>
      </c>
      <c r="D121" s="141">
        <f>VLOOKUP(A121,'Data shares'!$C$2:$CY$543,101,0)</f>
        <v>-1.46E-2</v>
      </c>
      <c r="E121" s="86">
        <f>VLOOKUP($A121,'Data shares'!$C:$FA,74)</f>
        <v>217516000</v>
      </c>
      <c r="F121" s="86">
        <f>VLOOKUP($A121,'Data shares'!$C:$FA,76)</f>
        <v>-3898000</v>
      </c>
      <c r="G121" s="87">
        <f>VLOOKUP(A121,'Data shares'!$C$2:$CA$220,77,0)</f>
        <v>-1.7600000000000001E-2</v>
      </c>
      <c r="H121" s="86">
        <f>VLOOKUP($A121,'Data shares'!$C:$FA,90)</f>
        <v>30824000</v>
      </c>
      <c r="I121" s="86">
        <f>VLOOKUP($A121,'Data shares'!$C:$FA,92)</f>
        <v>-1126000</v>
      </c>
      <c r="J121" s="87">
        <f>VLOOKUP($A121,'Data shares'!$C:$FA,93)</f>
        <v>-3.5200000000000002E-2</v>
      </c>
      <c r="K121" s="86">
        <f>VLOOKUP($A121,'Data shares'!$C:$FA,94)</f>
        <v>27720000</v>
      </c>
      <c r="L121" s="86">
        <f>VLOOKUP($A121,'Data shares'!$C:$FA,96)</f>
        <v>920000</v>
      </c>
      <c r="M121" s="87">
        <f>VLOOKUP($A121,'Data shares'!$C:$FA,97)</f>
        <v>3.4299999999999997E-2</v>
      </c>
      <c r="N121" s="86">
        <f>VLOOKUP($A121,'Data shares'!$C:$FA,78)</f>
        <v>171224000</v>
      </c>
      <c r="O121" s="87">
        <f>VLOOKUP($A121,'Data shares'!$C:$FA,81)</f>
        <v>-5.0099999999999999E-2</v>
      </c>
    </row>
    <row r="122" spans="1:15" x14ac:dyDescent="0.25">
      <c r="A122" s="100" t="str">
        <f>'Data Vlaue (Cr)'!C117</f>
        <v>KPITTECH</v>
      </c>
      <c r="B122" s="82">
        <f>VLOOKUP(A122,'Data shares'!$C$2:$CV$220,98,0)</f>
        <v>12873250</v>
      </c>
      <c r="C122" s="82">
        <f>VLOOKUP(A122,'Data shares'!$C$2:$CX$220,100,0)</f>
        <v>385900</v>
      </c>
      <c r="D122" s="141">
        <f>VLOOKUP(A122,'Data shares'!$C$2:$CY$543,101,0)</f>
        <v>3.09E-2</v>
      </c>
      <c r="E122" s="86">
        <f>VLOOKUP($A122,'Data shares'!$C:$FA,74)</f>
        <v>6921550</v>
      </c>
      <c r="F122" s="86">
        <f>VLOOKUP($A122,'Data shares'!$C:$FA,76)</f>
        <v>2550</v>
      </c>
      <c r="G122" s="87">
        <f>VLOOKUP(A122,'Data shares'!$C$2:$CA$220,77,0)</f>
        <v>4.0000000000000002E-4</v>
      </c>
      <c r="H122" s="86">
        <f>VLOOKUP($A122,'Data shares'!$C:$FA,90)</f>
        <v>3639700</v>
      </c>
      <c r="I122" s="86">
        <f>VLOOKUP($A122,'Data shares'!$C:$FA,92)</f>
        <v>248625</v>
      </c>
      <c r="J122" s="87">
        <f>VLOOKUP($A122,'Data shares'!$C:$FA,93)</f>
        <v>7.3300000000000004E-2</v>
      </c>
      <c r="K122" s="86">
        <f>VLOOKUP($A122,'Data shares'!$C:$FA,94)</f>
        <v>2312000</v>
      </c>
      <c r="L122" s="86">
        <f>VLOOKUP($A122,'Data shares'!$C:$FA,96)</f>
        <v>134725</v>
      </c>
      <c r="M122" s="87">
        <f>VLOOKUP($A122,'Data shares'!$C:$FA,97)</f>
        <v>6.1899999999999997E-2</v>
      </c>
      <c r="N122" s="86">
        <f>VLOOKUP($A122,'Data shares'!$C:$FA,78)</f>
        <v>6441300</v>
      </c>
      <c r="O122" s="87">
        <f>VLOOKUP($A122,'Data shares'!$C:$FA,81)</f>
        <v>-6.0000000000000001E-3</v>
      </c>
    </row>
    <row r="123" spans="1:15" x14ac:dyDescent="0.25">
      <c r="A123" s="100" t="str">
        <f>'Data Vlaue (Cr)'!C118</f>
        <v>LAURUSLABS</v>
      </c>
      <c r="B123" s="82">
        <f>VLOOKUP(A123,'Data shares'!$C$2:$CV$220,98,0)</f>
        <v>27976050</v>
      </c>
      <c r="C123" s="82">
        <f>VLOOKUP(A123,'Data shares'!$C$2:$CX$220,100,0)</f>
        <v>181900</v>
      </c>
      <c r="D123" s="141">
        <f>VLOOKUP(A123,'Data shares'!$C$2:$CY$543,101,0)</f>
        <v>6.4999999999999997E-3</v>
      </c>
      <c r="E123" s="86">
        <f>VLOOKUP($A123,'Data shares'!$C:$FA,74)</f>
        <v>17786250</v>
      </c>
      <c r="F123" s="86">
        <f>VLOOKUP($A123,'Data shares'!$C:$FA,76)</f>
        <v>-101150</v>
      </c>
      <c r="G123" s="87">
        <f>VLOOKUP(A123,'Data shares'!$C$2:$CA$220,77,0)</f>
        <v>-5.7000000000000002E-3</v>
      </c>
      <c r="H123" s="86">
        <f>VLOOKUP($A123,'Data shares'!$C:$FA,90)</f>
        <v>5406000</v>
      </c>
      <c r="I123" s="86">
        <f>VLOOKUP($A123,'Data shares'!$C:$FA,92)</f>
        <v>148750</v>
      </c>
      <c r="J123" s="87">
        <f>VLOOKUP($A123,'Data shares'!$C:$FA,93)</f>
        <v>2.8299999999999999E-2</v>
      </c>
      <c r="K123" s="86">
        <f>VLOOKUP($A123,'Data shares'!$C:$FA,94)</f>
        <v>4783800</v>
      </c>
      <c r="L123" s="86">
        <f>VLOOKUP($A123,'Data shares'!$C:$FA,96)</f>
        <v>134300</v>
      </c>
      <c r="M123" s="87">
        <f>VLOOKUP($A123,'Data shares'!$C:$FA,97)</f>
        <v>2.8899999999999999E-2</v>
      </c>
      <c r="N123" s="86">
        <f>VLOOKUP($A123,'Data shares'!$C:$FA,78)</f>
        <v>16822350</v>
      </c>
      <c r="O123" s="87">
        <f>VLOOKUP($A123,'Data shares'!$C:$FA,81)</f>
        <v>-1.0500000000000001E-2</v>
      </c>
    </row>
    <row r="124" spans="1:15" x14ac:dyDescent="0.25">
      <c r="A124" s="100" t="str">
        <f>'Data Vlaue (Cr)'!C119</f>
        <v>LICHSGFIN</v>
      </c>
      <c r="B124" s="82">
        <f>VLOOKUP(A124,'Data shares'!$C$2:$CV$220,98,0)</f>
        <v>43733000</v>
      </c>
      <c r="C124" s="82">
        <f>VLOOKUP(A124,'Data shares'!$C$2:$CX$220,100,0)</f>
        <v>-132000</v>
      </c>
      <c r="D124" s="141">
        <f>VLOOKUP(A124,'Data shares'!$C$2:$CY$543,101,0)</f>
        <v>-3.0000000000000001E-3</v>
      </c>
      <c r="E124" s="86">
        <f>VLOOKUP($A124,'Data shares'!$C:$FA,74)</f>
        <v>32167000</v>
      </c>
      <c r="F124" s="86">
        <f>VLOOKUP($A124,'Data shares'!$C:$FA,76)</f>
        <v>-369000</v>
      </c>
      <c r="G124" s="87">
        <f>VLOOKUP(A124,'Data shares'!$C$2:$CA$220,77,0)</f>
        <v>-1.1299999999999999E-2</v>
      </c>
      <c r="H124" s="86">
        <f>VLOOKUP($A124,'Data shares'!$C:$FA,90)</f>
        <v>5866000</v>
      </c>
      <c r="I124" s="86">
        <f>VLOOKUP($A124,'Data shares'!$C:$FA,92)</f>
        <v>40000</v>
      </c>
      <c r="J124" s="87">
        <f>VLOOKUP($A124,'Data shares'!$C:$FA,93)</f>
        <v>6.8999999999999999E-3</v>
      </c>
      <c r="K124" s="86">
        <f>VLOOKUP($A124,'Data shares'!$C:$FA,94)</f>
        <v>5700000</v>
      </c>
      <c r="L124" s="86">
        <f>VLOOKUP($A124,'Data shares'!$C:$FA,96)</f>
        <v>197000</v>
      </c>
      <c r="M124" s="87">
        <f>VLOOKUP($A124,'Data shares'!$C:$FA,97)</f>
        <v>3.5799999999999998E-2</v>
      </c>
      <c r="N124" s="86">
        <f>VLOOKUP($A124,'Data shares'!$C:$FA,78)</f>
        <v>31108000</v>
      </c>
      <c r="O124" s="87">
        <f>VLOOKUP($A124,'Data shares'!$C:$FA,81)</f>
        <v>-1.6299999999999999E-2</v>
      </c>
    </row>
    <row r="125" spans="1:15" x14ac:dyDescent="0.25">
      <c r="A125" s="100" t="str">
        <f>'Data Vlaue (Cr)'!C120</f>
        <v>LICI</v>
      </c>
      <c r="B125" s="82">
        <f>VLOOKUP(A125,'Data shares'!$C$2:$CV$220,98,0)</f>
        <v>22010800</v>
      </c>
      <c r="C125" s="82">
        <f>VLOOKUP(A125,'Data shares'!$C$2:$CX$220,100,0)</f>
        <v>1547700</v>
      </c>
      <c r="D125" s="141">
        <f>VLOOKUP(A125,'Data shares'!$C$2:$CY$543,101,0)</f>
        <v>7.5600000000000001E-2</v>
      </c>
      <c r="E125" s="86">
        <f>VLOOKUP($A125,'Data shares'!$C:$FA,74)</f>
        <v>10380300</v>
      </c>
      <c r="F125" s="86">
        <f>VLOOKUP($A125,'Data shares'!$C:$FA,76)</f>
        <v>146300</v>
      </c>
      <c r="G125" s="87">
        <f>VLOOKUP(A125,'Data shares'!$C$2:$CA$220,77,0)</f>
        <v>1.43E-2</v>
      </c>
      <c r="H125" s="86">
        <f>VLOOKUP($A125,'Data shares'!$C:$FA,90)</f>
        <v>7314300</v>
      </c>
      <c r="I125" s="86">
        <f>VLOOKUP($A125,'Data shares'!$C:$FA,92)</f>
        <v>1055600</v>
      </c>
      <c r="J125" s="87">
        <f>VLOOKUP($A125,'Data shares'!$C:$FA,93)</f>
        <v>0.16869999999999999</v>
      </c>
      <c r="K125" s="86">
        <f>VLOOKUP($A125,'Data shares'!$C:$FA,94)</f>
        <v>4316200</v>
      </c>
      <c r="L125" s="86">
        <f>VLOOKUP($A125,'Data shares'!$C:$FA,96)</f>
        <v>345800</v>
      </c>
      <c r="M125" s="87">
        <f>VLOOKUP($A125,'Data shares'!$C:$FA,97)</f>
        <v>8.7099999999999997E-2</v>
      </c>
      <c r="N125" s="86">
        <f>VLOOKUP($A125,'Data shares'!$C:$FA,78)</f>
        <v>8417500</v>
      </c>
      <c r="O125" s="87">
        <f>VLOOKUP($A125,'Data shares'!$C:$FA,81)</f>
        <v>-1.54E-2</v>
      </c>
    </row>
    <row r="126" spans="1:15" x14ac:dyDescent="0.25">
      <c r="A126" s="100" t="str">
        <f>'Data Vlaue (Cr)'!C121</f>
        <v>LODHA</v>
      </c>
      <c r="B126" s="82">
        <f>VLOOKUP(A126,'Data shares'!$C$2:$CV$220,98,0)</f>
        <v>30568500</v>
      </c>
      <c r="C126" s="82">
        <f>VLOOKUP(A126,'Data shares'!$C$2:$CX$220,100,0)</f>
        <v>-990000</v>
      </c>
      <c r="D126" s="141">
        <f>VLOOKUP(A126,'Data shares'!$C$2:$CY$543,101,0)</f>
        <v>-3.1399999999999997E-2</v>
      </c>
      <c r="E126" s="86">
        <f>VLOOKUP($A126,'Data shares'!$C:$FA,74)</f>
        <v>19268100</v>
      </c>
      <c r="F126" s="86">
        <f>VLOOKUP($A126,'Data shares'!$C:$FA,76)</f>
        <v>-697950</v>
      </c>
      <c r="G126" s="87">
        <f>VLOOKUP(A126,'Data shares'!$C$2:$CA$220,77,0)</f>
        <v>-3.5000000000000003E-2</v>
      </c>
      <c r="H126" s="86">
        <f>VLOOKUP($A126,'Data shares'!$C:$FA,90)</f>
        <v>6134850</v>
      </c>
      <c r="I126" s="86">
        <f>VLOOKUP($A126,'Data shares'!$C:$FA,92)</f>
        <v>127350</v>
      </c>
      <c r="J126" s="87">
        <f>VLOOKUP($A126,'Data shares'!$C:$FA,93)</f>
        <v>2.12E-2</v>
      </c>
      <c r="K126" s="86">
        <f>VLOOKUP($A126,'Data shares'!$C:$FA,94)</f>
        <v>5165550</v>
      </c>
      <c r="L126" s="86">
        <f>VLOOKUP($A126,'Data shares'!$C:$FA,96)</f>
        <v>-419400</v>
      </c>
      <c r="M126" s="87">
        <f>VLOOKUP($A126,'Data shares'!$C:$FA,97)</f>
        <v>-7.51E-2</v>
      </c>
      <c r="N126" s="86">
        <f>VLOOKUP($A126,'Data shares'!$C:$FA,78)</f>
        <v>17279100</v>
      </c>
      <c r="O126" s="87">
        <f>VLOOKUP($A126,'Data shares'!$C:$FA,81)</f>
        <v>-4.3499999999999997E-2</v>
      </c>
    </row>
    <row r="127" spans="1:15" x14ac:dyDescent="0.25">
      <c r="A127" s="100" t="str">
        <f>'Data Vlaue (Cr)'!C122</f>
        <v>LT</v>
      </c>
      <c r="B127" s="82">
        <f>VLOOKUP(A127,'Data shares'!$C$2:$CV$220,98,0)</f>
        <v>32313225</v>
      </c>
      <c r="C127" s="82">
        <f>VLOOKUP(A127,'Data shares'!$C$2:$CX$220,100,0)</f>
        <v>169575</v>
      </c>
      <c r="D127" s="141">
        <f>VLOOKUP(A127,'Data shares'!$C$2:$CY$543,101,0)</f>
        <v>5.3E-3</v>
      </c>
      <c r="E127" s="86">
        <f>VLOOKUP($A127,'Data shares'!$C:$FA,74)</f>
        <v>14843850</v>
      </c>
      <c r="F127" s="86">
        <f>VLOOKUP($A127,'Data shares'!$C:$FA,76)</f>
        <v>-100450</v>
      </c>
      <c r="G127" s="87">
        <f>VLOOKUP(A127,'Data shares'!$C$2:$CA$220,77,0)</f>
        <v>-6.7000000000000002E-3</v>
      </c>
      <c r="H127" s="86">
        <f>VLOOKUP($A127,'Data shares'!$C:$FA,90)</f>
        <v>9248225</v>
      </c>
      <c r="I127" s="86">
        <f>VLOOKUP($A127,'Data shares'!$C:$FA,92)</f>
        <v>54425</v>
      </c>
      <c r="J127" s="87">
        <f>VLOOKUP($A127,'Data shares'!$C:$FA,93)</f>
        <v>5.8999999999999999E-3</v>
      </c>
      <c r="K127" s="86">
        <f>VLOOKUP($A127,'Data shares'!$C:$FA,94)</f>
        <v>8221150</v>
      </c>
      <c r="L127" s="86">
        <f>VLOOKUP($A127,'Data shares'!$C:$FA,96)</f>
        <v>215600</v>
      </c>
      <c r="M127" s="87">
        <f>VLOOKUP($A127,'Data shares'!$C:$FA,97)</f>
        <v>2.69E-2</v>
      </c>
      <c r="N127" s="86">
        <f>VLOOKUP($A127,'Data shares'!$C:$FA,78)</f>
        <v>12165825</v>
      </c>
      <c r="O127" s="87">
        <f>VLOOKUP($A127,'Data shares'!$C:$FA,81)</f>
        <v>-2.6200000000000001E-2</v>
      </c>
    </row>
    <row r="128" spans="1:15" x14ac:dyDescent="0.25">
      <c r="A128" s="100" t="str">
        <f>'Data Vlaue (Cr)'!C123</f>
        <v>LTF</v>
      </c>
      <c r="B128" s="82">
        <f>VLOOKUP(A128,'Data shares'!$C$2:$CV$220,98,0)</f>
        <v>88211250</v>
      </c>
      <c r="C128" s="82">
        <f>VLOOKUP(A128,'Data shares'!$C$2:$CX$220,100,0)</f>
        <v>-1372500</v>
      </c>
      <c r="D128" s="141">
        <f>VLOOKUP(A128,'Data shares'!$C$2:$CY$543,101,0)</f>
        <v>-1.5299999999999999E-2</v>
      </c>
      <c r="E128" s="86">
        <f>VLOOKUP($A128,'Data shares'!$C:$FA,74)</f>
        <v>52863750</v>
      </c>
      <c r="F128" s="86">
        <f>VLOOKUP($A128,'Data shares'!$C:$FA,76)</f>
        <v>-1640250</v>
      </c>
      <c r="G128" s="87">
        <f>VLOOKUP(A128,'Data shares'!$C$2:$CA$220,77,0)</f>
        <v>-3.0099999999999998E-2</v>
      </c>
      <c r="H128" s="86">
        <f>VLOOKUP($A128,'Data shares'!$C:$FA,90)</f>
        <v>18911250</v>
      </c>
      <c r="I128" s="86">
        <f>VLOOKUP($A128,'Data shares'!$C:$FA,92)</f>
        <v>-769500</v>
      </c>
      <c r="J128" s="87">
        <f>VLOOKUP($A128,'Data shares'!$C:$FA,93)</f>
        <v>-3.9100000000000003E-2</v>
      </c>
      <c r="K128" s="86">
        <f>VLOOKUP($A128,'Data shares'!$C:$FA,94)</f>
        <v>16436250</v>
      </c>
      <c r="L128" s="86">
        <f>VLOOKUP($A128,'Data shares'!$C:$FA,96)</f>
        <v>1037250</v>
      </c>
      <c r="M128" s="87">
        <f>VLOOKUP($A128,'Data shares'!$C:$FA,97)</f>
        <v>6.7400000000000002E-2</v>
      </c>
      <c r="N128" s="86">
        <f>VLOOKUP($A128,'Data shares'!$C:$FA,78)</f>
        <v>49007250</v>
      </c>
      <c r="O128" s="87">
        <f>VLOOKUP($A128,'Data shares'!$C:$FA,81)</f>
        <v>-4.4499999999999998E-2</v>
      </c>
    </row>
    <row r="129" spans="1:15" x14ac:dyDescent="0.25">
      <c r="A129" s="100" t="str">
        <f>'Data Vlaue (Cr)'!C124</f>
        <v>LTM</v>
      </c>
      <c r="B129" s="82">
        <f>VLOOKUP(A129,'Data shares'!$C$2:$CV$220,98,0)</f>
        <v>6967500</v>
      </c>
      <c r="C129" s="82">
        <f>VLOOKUP(A129,'Data shares'!$C$2:$CX$220,100,0)</f>
        <v>23400</v>
      </c>
      <c r="D129" s="141">
        <f>VLOOKUP(A129,'Data shares'!$C$2:$CY$543,101,0)</f>
        <v>3.3999999999999998E-3</v>
      </c>
      <c r="E129" s="86">
        <f>VLOOKUP($A129,'Data shares'!$C:$FA,74)</f>
        <v>5007150</v>
      </c>
      <c r="F129" s="86">
        <f>VLOOKUP($A129,'Data shares'!$C:$FA,76)</f>
        <v>74250</v>
      </c>
      <c r="G129" s="87">
        <f>VLOOKUP(A129,'Data shares'!$C$2:$CA$220,77,0)</f>
        <v>1.5100000000000001E-2</v>
      </c>
      <c r="H129" s="86">
        <f>VLOOKUP($A129,'Data shares'!$C:$FA,90)</f>
        <v>1049550</v>
      </c>
      <c r="I129" s="86">
        <f>VLOOKUP($A129,'Data shares'!$C:$FA,92)</f>
        <v>-89400</v>
      </c>
      <c r="J129" s="87">
        <f>VLOOKUP($A129,'Data shares'!$C:$FA,93)</f>
        <v>-7.85E-2</v>
      </c>
      <c r="K129" s="86">
        <f>VLOOKUP($A129,'Data shares'!$C:$FA,94)</f>
        <v>910800</v>
      </c>
      <c r="L129" s="86">
        <f>VLOOKUP($A129,'Data shares'!$C:$FA,96)</f>
        <v>38550</v>
      </c>
      <c r="M129" s="87">
        <f>VLOOKUP($A129,'Data shares'!$C:$FA,97)</f>
        <v>4.4200000000000003E-2</v>
      </c>
      <c r="N129" s="86">
        <f>VLOOKUP($A129,'Data shares'!$C:$FA,78)</f>
        <v>4105650</v>
      </c>
      <c r="O129" s="87">
        <f>VLOOKUP($A129,'Data shares'!$C:$FA,81)</f>
        <v>-5.0000000000000001E-4</v>
      </c>
    </row>
    <row r="130" spans="1:15" x14ac:dyDescent="0.25">
      <c r="A130" s="100" t="str">
        <f>'Data Vlaue (Cr)'!C125</f>
        <v>LUPIN</v>
      </c>
      <c r="B130" s="82">
        <f>VLOOKUP(A130,'Data shares'!$C$2:$CV$220,98,0)</f>
        <v>10874900</v>
      </c>
      <c r="C130" s="82">
        <f>VLOOKUP(A130,'Data shares'!$C$2:$CX$220,100,0)</f>
        <v>208675</v>
      </c>
      <c r="D130" s="141">
        <f>VLOOKUP(A130,'Data shares'!$C$2:$CY$543,101,0)</f>
        <v>1.9599999999999999E-2</v>
      </c>
      <c r="E130" s="86">
        <f>VLOOKUP($A130,'Data shares'!$C:$FA,74)</f>
        <v>6805950</v>
      </c>
      <c r="F130" s="86">
        <f>VLOOKUP($A130,'Data shares'!$C:$FA,76)</f>
        <v>154700</v>
      </c>
      <c r="G130" s="87">
        <f>VLOOKUP(A130,'Data shares'!$C$2:$CA$220,77,0)</f>
        <v>2.3300000000000001E-2</v>
      </c>
      <c r="H130" s="86">
        <f>VLOOKUP($A130,'Data shares'!$C:$FA,90)</f>
        <v>2481150</v>
      </c>
      <c r="I130" s="86">
        <f>VLOOKUP($A130,'Data shares'!$C:$FA,92)</f>
        <v>86275</v>
      </c>
      <c r="J130" s="87">
        <f>VLOOKUP($A130,'Data shares'!$C:$FA,93)</f>
        <v>3.5999999999999997E-2</v>
      </c>
      <c r="K130" s="86">
        <f>VLOOKUP($A130,'Data shares'!$C:$FA,94)</f>
        <v>1587800</v>
      </c>
      <c r="L130" s="86">
        <f>VLOOKUP($A130,'Data shares'!$C:$FA,96)</f>
        <v>-32300</v>
      </c>
      <c r="M130" s="87">
        <f>VLOOKUP($A130,'Data shares'!$C:$FA,97)</f>
        <v>-1.9900000000000001E-2</v>
      </c>
      <c r="N130" s="86">
        <f>VLOOKUP($A130,'Data shares'!$C:$FA,78)</f>
        <v>6519075</v>
      </c>
      <c r="O130" s="87">
        <f>VLOOKUP($A130,'Data shares'!$C:$FA,81)</f>
        <v>1.9300000000000001E-2</v>
      </c>
    </row>
    <row r="131" spans="1:15" x14ac:dyDescent="0.25">
      <c r="A131" s="100" t="str">
        <f>'Data Vlaue (Cr)'!C126</f>
        <v>M&amp;M</v>
      </c>
      <c r="B131" s="82">
        <f>VLOOKUP(A131,'Data shares'!$C$2:$CV$220,98,0)</f>
        <v>28887000</v>
      </c>
      <c r="C131" s="82">
        <f>VLOOKUP(A131,'Data shares'!$C$2:$CX$220,100,0)</f>
        <v>899000</v>
      </c>
      <c r="D131" s="141">
        <f>VLOOKUP(A131,'Data shares'!$C$2:$CY$543,101,0)</f>
        <v>3.2099999999999997E-2</v>
      </c>
      <c r="E131" s="86">
        <f>VLOOKUP($A131,'Data shares'!$C:$FA,74)</f>
        <v>19783200</v>
      </c>
      <c r="F131" s="86">
        <f>VLOOKUP($A131,'Data shares'!$C:$FA,76)</f>
        <v>484200</v>
      </c>
      <c r="G131" s="87">
        <f>VLOOKUP(A131,'Data shares'!$C$2:$CA$220,77,0)</f>
        <v>2.5100000000000001E-2</v>
      </c>
      <c r="H131" s="86">
        <f>VLOOKUP($A131,'Data shares'!$C:$FA,90)</f>
        <v>5522800</v>
      </c>
      <c r="I131" s="86">
        <f>VLOOKUP($A131,'Data shares'!$C:$FA,92)</f>
        <v>385000</v>
      </c>
      <c r="J131" s="87">
        <f>VLOOKUP($A131,'Data shares'!$C:$FA,93)</f>
        <v>7.4899999999999994E-2</v>
      </c>
      <c r="K131" s="86">
        <f>VLOOKUP($A131,'Data shares'!$C:$FA,94)</f>
        <v>3581000</v>
      </c>
      <c r="L131" s="86">
        <f>VLOOKUP($A131,'Data shares'!$C:$FA,96)</f>
        <v>29800</v>
      </c>
      <c r="M131" s="87">
        <f>VLOOKUP($A131,'Data shares'!$C:$FA,97)</f>
        <v>8.3999999999999995E-3</v>
      </c>
      <c r="N131" s="86">
        <f>VLOOKUP($A131,'Data shares'!$C:$FA,78)</f>
        <v>15588600</v>
      </c>
      <c r="O131" s="87">
        <f>VLOOKUP($A131,'Data shares'!$C:$FA,81)</f>
        <v>2.3999999999999998E-3</v>
      </c>
    </row>
    <row r="132" spans="1:15" x14ac:dyDescent="0.25">
      <c r="A132" s="100" t="str">
        <f>'Data Vlaue (Cr)'!C127</f>
        <v>MANAPPURAM</v>
      </c>
      <c r="B132" s="82">
        <f>VLOOKUP(A132,'Data shares'!$C$2:$CV$220,98,0)</f>
        <v>82248000</v>
      </c>
      <c r="C132" s="82">
        <f>VLOOKUP(A132,'Data shares'!$C$2:$CX$220,100,0)</f>
        <v>1827000</v>
      </c>
      <c r="D132" s="141">
        <f>VLOOKUP(A132,'Data shares'!$C$2:$CY$543,101,0)</f>
        <v>2.2700000000000001E-2</v>
      </c>
      <c r="E132" s="86">
        <f>VLOOKUP($A132,'Data shares'!$C:$FA,74)</f>
        <v>53535000</v>
      </c>
      <c r="F132" s="86">
        <f>VLOOKUP($A132,'Data shares'!$C:$FA,76)</f>
        <v>-222000</v>
      </c>
      <c r="G132" s="87">
        <f>VLOOKUP(A132,'Data shares'!$C$2:$CA$220,77,0)</f>
        <v>-4.1000000000000003E-3</v>
      </c>
      <c r="H132" s="86">
        <f>VLOOKUP($A132,'Data shares'!$C:$FA,90)</f>
        <v>17436000</v>
      </c>
      <c r="I132" s="86">
        <f>VLOOKUP($A132,'Data shares'!$C:$FA,92)</f>
        <v>981000</v>
      </c>
      <c r="J132" s="87">
        <f>VLOOKUP($A132,'Data shares'!$C:$FA,93)</f>
        <v>5.96E-2</v>
      </c>
      <c r="K132" s="86">
        <f>VLOOKUP($A132,'Data shares'!$C:$FA,94)</f>
        <v>11277000</v>
      </c>
      <c r="L132" s="86">
        <f>VLOOKUP($A132,'Data shares'!$C:$FA,96)</f>
        <v>1068000</v>
      </c>
      <c r="M132" s="87">
        <f>VLOOKUP($A132,'Data shares'!$C:$FA,97)</f>
        <v>0.1046</v>
      </c>
      <c r="N132" s="86">
        <f>VLOOKUP($A132,'Data shares'!$C:$FA,78)</f>
        <v>51738000</v>
      </c>
      <c r="O132" s="87">
        <f>VLOOKUP($A132,'Data shares'!$C:$FA,81)</f>
        <v>-7.4999999999999997E-3</v>
      </c>
    </row>
    <row r="133" spans="1:15" x14ac:dyDescent="0.25">
      <c r="A133" s="100" t="str">
        <f>'Data Vlaue (Cr)'!C128</f>
        <v>MANKIND</v>
      </c>
      <c r="B133" s="82">
        <f>VLOOKUP(A133,'Data shares'!$C$2:$CV$220,98,0)</f>
        <v>3971925</v>
      </c>
      <c r="C133" s="82">
        <f>VLOOKUP(A133,'Data shares'!$C$2:$CX$220,100,0)</f>
        <v>48600</v>
      </c>
      <c r="D133" s="141">
        <f>VLOOKUP(A133,'Data shares'!$C$2:$CY$543,101,0)</f>
        <v>1.24E-2</v>
      </c>
      <c r="E133" s="86">
        <f>VLOOKUP($A133,'Data shares'!$C:$FA,74)</f>
        <v>2903850</v>
      </c>
      <c r="F133" s="86">
        <f>VLOOKUP($A133,'Data shares'!$C:$FA,76)</f>
        <v>2025</v>
      </c>
      <c r="G133" s="87">
        <f>VLOOKUP(A133,'Data shares'!$C$2:$CA$220,77,0)</f>
        <v>6.9999999999999999E-4</v>
      </c>
      <c r="H133" s="86">
        <f>VLOOKUP($A133,'Data shares'!$C:$FA,90)</f>
        <v>801225</v>
      </c>
      <c r="I133" s="86">
        <f>VLOOKUP($A133,'Data shares'!$C:$FA,92)</f>
        <v>45225</v>
      </c>
      <c r="J133" s="87">
        <f>VLOOKUP($A133,'Data shares'!$C:$FA,93)</f>
        <v>5.9799999999999999E-2</v>
      </c>
      <c r="K133" s="86">
        <f>VLOOKUP($A133,'Data shares'!$C:$FA,94)</f>
        <v>266850</v>
      </c>
      <c r="L133" s="86">
        <f>VLOOKUP($A133,'Data shares'!$C:$FA,96)</f>
        <v>1350</v>
      </c>
      <c r="M133" s="87">
        <f>VLOOKUP($A133,'Data shares'!$C:$FA,97)</f>
        <v>5.1000000000000004E-3</v>
      </c>
      <c r="N133" s="86">
        <f>VLOOKUP($A133,'Data shares'!$C:$FA,78)</f>
        <v>2710575</v>
      </c>
      <c r="O133" s="87">
        <f>VLOOKUP($A133,'Data shares'!$C:$FA,81)</f>
        <v>-3.8E-3</v>
      </c>
    </row>
    <row r="134" spans="1:15" x14ac:dyDescent="0.25">
      <c r="A134" s="100" t="str">
        <f>'Data Vlaue (Cr)'!C129</f>
        <v>MARICO</v>
      </c>
      <c r="B134" s="82">
        <f>VLOOKUP(A134,'Data shares'!$C$2:$CV$220,98,0)</f>
        <v>33502800</v>
      </c>
      <c r="C134" s="82">
        <f>VLOOKUP(A134,'Data shares'!$C$2:$CX$220,100,0)</f>
        <v>-87600</v>
      </c>
      <c r="D134" s="141">
        <f>VLOOKUP(A134,'Data shares'!$C$2:$CY$543,101,0)</f>
        <v>-2.5999999999999999E-3</v>
      </c>
      <c r="E134" s="86">
        <f>VLOOKUP($A134,'Data shares'!$C:$FA,74)</f>
        <v>24778800</v>
      </c>
      <c r="F134" s="86">
        <f>VLOOKUP($A134,'Data shares'!$C:$FA,76)</f>
        <v>-195600</v>
      </c>
      <c r="G134" s="87">
        <f>VLOOKUP(A134,'Data shares'!$C$2:$CA$220,77,0)</f>
        <v>-7.7999999999999996E-3</v>
      </c>
      <c r="H134" s="86">
        <f>VLOOKUP($A134,'Data shares'!$C:$FA,90)</f>
        <v>4700400</v>
      </c>
      <c r="I134" s="86">
        <f>VLOOKUP($A134,'Data shares'!$C:$FA,92)</f>
        <v>124800</v>
      </c>
      <c r="J134" s="87">
        <f>VLOOKUP($A134,'Data shares'!$C:$FA,93)</f>
        <v>2.7300000000000001E-2</v>
      </c>
      <c r="K134" s="86">
        <f>VLOOKUP($A134,'Data shares'!$C:$FA,94)</f>
        <v>4023600</v>
      </c>
      <c r="L134" s="86">
        <f>VLOOKUP($A134,'Data shares'!$C:$FA,96)</f>
        <v>-16800</v>
      </c>
      <c r="M134" s="87">
        <f>VLOOKUP($A134,'Data shares'!$C:$FA,97)</f>
        <v>-4.1999999999999997E-3</v>
      </c>
      <c r="N134" s="86">
        <f>VLOOKUP($A134,'Data shares'!$C:$FA,78)</f>
        <v>23281200</v>
      </c>
      <c r="O134" s="87">
        <f>VLOOKUP($A134,'Data shares'!$C:$FA,81)</f>
        <v>-5.8700000000000002E-2</v>
      </c>
    </row>
    <row r="135" spans="1:15" x14ac:dyDescent="0.25">
      <c r="A135" s="100" t="str">
        <f>'Data Vlaue (Cr)'!C130</f>
        <v>MARUTI</v>
      </c>
      <c r="B135" s="82">
        <f>VLOOKUP(A135,'Data shares'!$C$2:$CV$220,98,0)</f>
        <v>6842600</v>
      </c>
      <c r="C135" s="82">
        <f>VLOOKUP(A135,'Data shares'!$C$2:$CX$220,100,0)</f>
        <v>113100</v>
      </c>
      <c r="D135" s="141">
        <f>VLOOKUP(A135,'Data shares'!$C$2:$CY$543,101,0)</f>
        <v>1.6799999999999999E-2</v>
      </c>
      <c r="E135" s="86">
        <f>VLOOKUP($A135,'Data shares'!$C:$FA,74)</f>
        <v>3493650</v>
      </c>
      <c r="F135" s="86">
        <f>VLOOKUP($A135,'Data shares'!$C:$FA,76)</f>
        <v>19700</v>
      </c>
      <c r="G135" s="87">
        <f>VLOOKUP(A135,'Data shares'!$C$2:$CA$220,77,0)</f>
        <v>5.7000000000000002E-3</v>
      </c>
      <c r="H135" s="86">
        <f>VLOOKUP($A135,'Data shares'!$C:$FA,90)</f>
        <v>2103200</v>
      </c>
      <c r="I135" s="86">
        <f>VLOOKUP($A135,'Data shares'!$C:$FA,92)</f>
        <v>18850</v>
      </c>
      <c r="J135" s="87">
        <f>VLOOKUP($A135,'Data shares'!$C:$FA,93)</f>
        <v>8.9999999999999993E-3</v>
      </c>
      <c r="K135" s="86">
        <f>VLOOKUP($A135,'Data shares'!$C:$FA,94)</f>
        <v>1245750</v>
      </c>
      <c r="L135" s="86">
        <f>VLOOKUP($A135,'Data shares'!$C:$FA,96)</f>
        <v>74550</v>
      </c>
      <c r="M135" s="87">
        <f>VLOOKUP($A135,'Data shares'!$C:$FA,97)</f>
        <v>6.3700000000000007E-2</v>
      </c>
      <c r="N135" s="86">
        <f>VLOOKUP($A135,'Data shares'!$C:$FA,78)</f>
        <v>2962650</v>
      </c>
      <c r="O135" s="87">
        <f>VLOOKUP($A135,'Data shares'!$C:$FA,81)</f>
        <v>-5.0000000000000001E-3</v>
      </c>
    </row>
    <row r="136" spans="1:15" x14ac:dyDescent="0.25">
      <c r="A136" s="100" t="str">
        <f>'Data Vlaue (Cr)'!C131</f>
        <v>MAXHEALTH</v>
      </c>
      <c r="B136" s="82">
        <f>VLOOKUP(A136,'Data shares'!$C$2:$CV$220,98,0)</f>
        <v>21362250</v>
      </c>
      <c r="C136" s="82">
        <f>VLOOKUP(A136,'Data shares'!$C$2:$CX$220,100,0)</f>
        <v>531825</v>
      </c>
      <c r="D136" s="141">
        <f>VLOOKUP(A136,'Data shares'!$C$2:$CY$543,101,0)</f>
        <v>2.5499999999999998E-2</v>
      </c>
      <c r="E136" s="86">
        <f>VLOOKUP($A136,'Data shares'!$C:$FA,74)</f>
        <v>14541975</v>
      </c>
      <c r="F136" s="86">
        <f>VLOOKUP($A136,'Data shares'!$C:$FA,76)</f>
        <v>-400575</v>
      </c>
      <c r="G136" s="87">
        <f>VLOOKUP(A136,'Data shares'!$C$2:$CA$220,77,0)</f>
        <v>-2.6800000000000001E-2</v>
      </c>
      <c r="H136" s="86">
        <f>VLOOKUP($A136,'Data shares'!$C:$FA,90)</f>
        <v>4379550</v>
      </c>
      <c r="I136" s="86">
        <f>VLOOKUP($A136,'Data shares'!$C:$FA,92)</f>
        <v>816375</v>
      </c>
      <c r="J136" s="87">
        <f>VLOOKUP($A136,'Data shares'!$C:$FA,93)</f>
        <v>0.2291</v>
      </c>
      <c r="K136" s="86">
        <f>VLOOKUP($A136,'Data shares'!$C:$FA,94)</f>
        <v>2440725</v>
      </c>
      <c r="L136" s="86">
        <f>VLOOKUP($A136,'Data shares'!$C:$FA,96)</f>
        <v>116025</v>
      </c>
      <c r="M136" s="87">
        <f>VLOOKUP($A136,'Data shares'!$C:$FA,97)</f>
        <v>4.99E-2</v>
      </c>
      <c r="N136" s="86">
        <f>VLOOKUP($A136,'Data shares'!$C:$FA,78)</f>
        <v>13731375</v>
      </c>
      <c r="O136" s="87">
        <f>VLOOKUP($A136,'Data shares'!$C:$FA,81)</f>
        <v>-2.9000000000000001E-2</v>
      </c>
    </row>
    <row r="137" spans="1:15" x14ac:dyDescent="0.25">
      <c r="A137" s="100" t="str">
        <f>'Data Vlaue (Cr)'!C132</f>
        <v>MAZDOCK</v>
      </c>
      <c r="B137" s="82">
        <f>VLOOKUP(A137,'Data shares'!$C$2:$CV$220,98,0)</f>
        <v>11011000</v>
      </c>
      <c r="C137" s="82">
        <f>VLOOKUP(A137,'Data shares'!$C$2:$CX$220,100,0)</f>
        <v>887000</v>
      </c>
      <c r="D137" s="141">
        <f>VLOOKUP(A137,'Data shares'!$C$2:$CY$543,101,0)</f>
        <v>8.7599999999999997E-2</v>
      </c>
      <c r="E137" s="86">
        <f>VLOOKUP($A137,'Data shares'!$C:$FA,74)</f>
        <v>4830800</v>
      </c>
      <c r="F137" s="86">
        <f>VLOOKUP($A137,'Data shares'!$C:$FA,76)</f>
        <v>82600</v>
      </c>
      <c r="G137" s="87">
        <f>VLOOKUP(A137,'Data shares'!$C$2:$CA$220,77,0)</f>
        <v>1.7399999999999999E-2</v>
      </c>
      <c r="H137" s="86">
        <f>VLOOKUP($A137,'Data shares'!$C:$FA,90)</f>
        <v>3566200</v>
      </c>
      <c r="I137" s="86">
        <f>VLOOKUP($A137,'Data shares'!$C:$FA,92)</f>
        <v>553400</v>
      </c>
      <c r="J137" s="87">
        <f>VLOOKUP($A137,'Data shares'!$C:$FA,93)</f>
        <v>0.1837</v>
      </c>
      <c r="K137" s="86">
        <f>VLOOKUP($A137,'Data shares'!$C:$FA,94)</f>
        <v>2614000</v>
      </c>
      <c r="L137" s="86">
        <f>VLOOKUP($A137,'Data shares'!$C:$FA,96)</f>
        <v>251000</v>
      </c>
      <c r="M137" s="87">
        <f>VLOOKUP($A137,'Data shares'!$C:$FA,97)</f>
        <v>0.1062</v>
      </c>
      <c r="N137" s="86">
        <f>VLOOKUP($A137,'Data shares'!$C:$FA,78)</f>
        <v>4404400</v>
      </c>
      <c r="O137" s="87">
        <f>VLOOKUP($A137,'Data shares'!$C:$FA,81)</f>
        <v>-7.7000000000000002E-3</v>
      </c>
    </row>
    <row r="138" spans="1:15" x14ac:dyDescent="0.25">
      <c r="A138" s="100" t="str">
        <f>'Data Vlaue (Cr)'!C133</f>
        <v>MCX</v>
      </c>
      <c r="B138" s="82">
        <f>VLOOKUP(A138,'Data shares'!$C$2:$CV$220,98,0)</f>
        <v>29853750</v>
      </c>
      <c r="C138" s="82">
        <f>VLOOKUP(A138,'Data shares'!$C$2:$CX$220,100,0)</f>
        <v>373125</v>
      </c>
      <c r="D138" s="141">
        <f>VLOOKUP(A138,'Data shares'!$C$2:$CY$543,101,0)</f>
        <v>1.2699999999999999E-2</v>
      </c>
      <c r="E138" s="86">
        <f>VLOOKUP($A138,'Data shares'!$C:$FA,74)</f>
        <v>13120625</v>
      </c>
      <c r="F138" s="86">
        <f>VLOOKUP($A138,'Data shares'!$C:$FA,76)</f>
        <v>-165000</v>
      </c>
      <c r="G138" s="87">
        <f>VLOOKUP(A138,'Data shares'!$C$2:$CA$220,77,0)</f>
        <v>-1.24E-2</v>
      </c>
      <c r="H138" s="86">
        <f>VLOOKUP($A138,'Data shares'!$C:$FA,90)</f>
        <v>8761875</v>
      </c>
      <c r="I138" s="86">
        <f>VLOOKUP($A138,'Data shares'!$C:$FA,92)</f>
        <v>443750</v>
      </c>
      <c r="J138" s="87">
        <f>VLOOKUP($A138,'Data shares'!$C:$FA,93)</f>
        <v>5.33E-2</v>
      </c>
      <c r="K138" s="86">
        <f>VLOOKUP($A138,'Data shares'!$C:$FA,94)</f>
        <v>7971250</v>
      </c>
      <c r="L138" s="86">
        <f>VLOOKUP($A138,'Data shares'!$C:$FA,96)</f>
        <v>94375</v>
      </c>
      <c r="M138" s="87">
        <f>VLOOKUP($A138,'Data shares'!$C:$FA,97)</f>
        <v>1.2E-2</v>
      </c>
      <c r="N138" s="86">
        <f>VLOOKUP($A138,'Data shares'!$C:$FA,78)</f>
        <v>12536250</v>
      </c>
      <c r="O138" s="87">
        <f>VLOOKUP($A138,'Data shares'!$C:$FA,81)</f>
        <v>-1.9E-2</v>
      </c>
    </row>
    <row r="139" spans="1:15" x14ac:dyDescent="0.25">
      <c r="A139" s="100" t="str">
        <f>'Data Vlaue (Cr)'!C134</f>
        <v>MFSL</v>
      </c>
      <c r="B139" s="82">
        <f>VLOOKUP(A139,'Data shares'!$C$2:$CV$220,98,0)</f>
        <v>11176800</v>
      </c>
      <c r="C139" s="82">
        <f>VLOOKUP(A139,'Data shares'!$C$2:$CX$220,100,0)</f>
        <v>-228000</v>
      </c>
      <c r="D139" s="141">
        <f>VLOOKUP(A139,'Data shares'!$C$2:$CY$543,101,0)</f>
        <v>-0.02</v>
      </c>
      <c r="E139" s="86">
        <f>VLOOKUP($A139,'Data shares'!$C:$FA,74)</f>
        <v>9557200</v>
      </c>
      <c r="F139" s="86">
        <f>VLOOKUP($A139,'Data shares'!$C:$FA,76)</f>
        <v>-311600</v>
      </c>
      <c r="G139" s="87">
        <f>VLOOKUP(A139,'Data shares'!$C$2:$CA$220,77,0)</f>
        <v>-3.1600000000000003E-2</v>
      </c>
      <c r="H139" s="86">
        <f>VLOOKUP($A139,'Data shares'!$C:$FA,90)</f>
        <v>1005600</v>
      </c>
      <c r="I139" s="86">
        <f>VLOOKUP($A139,'Data shares'!$C:$FA,92)</f>
        <v>66800</v>
      </c>
      <c r="J139" s="87">
        <f>VLOOKUP($A139,'Data shares'!$C:$FA,93)</f>
        <v>7.1199999999999999E-2</v>
      </c>
      <c r="K139" s="86">
        <f>VLOOKUP($A139,'Data shares'!$C:$FA,94)</f>
        <v>614000</v>
      </c>
      <c r="L139" s="86">
        <f>VLOOKUP($A139,'Data shares'!$C:$FA,96)</f>
        <v>16800</v>
      </c>
      <c r="M139" s="87">
        <f>VLOOKUP($A139,'Data shares'!$C:$FA,97)</f>
        <v>2.81E-2</v>
      </c>
      <c r="N139" s="86">
        <f>VLOOKUP($A139,'Data shares'!$C:$FA,78)</f>
        <v>9520000</v>
      </c>
      <c r="O139" s="87">
        <f>VLOOKUP($A139,'Data shares'!$C:$FA,81)</f>
        <v>-3.1699999999999999E-2</v>
      </c>
    </row>
    <row r="140" spans="1:15" x14ac:dyDescent="0.25">
      <c r="A140" s="100" t="str">
        <f>'Data Vlaue (Cr)'!C135</f>
        <v>MIDCPNIFTY</v>
      </c>
      <c r="B140" s="82">
        <f>VLOOKUP(A140,'Data shares'!$C$2:$CV$220,98,0)</f>
        <v>15694680</v>
      </c>
      <c r="C140" s="82">
        <f>VLOOKUP(A140,'Data shares'!$C$2:$CX$220,100,0)</f>
        <v>2035080</v>
      </c>
      <c r="D140" s="141">
        <f>VLOOKUP(A140,'Data shares'!$C$2:$CY$543,101,0)</f>
        <v>0.14899999999999999</v>
      </c>
      <c r="E140" s="86">
        <f>VLOOKUP($A140,'Data shares'!$C:$FA,74)</f>
        <v>2510880</v>
      </c>
      <c r="F140" s="86">
        <f>VLOOKUP($A140,'Data shares'!$C:$FA,76)</f>
        <v>-74160</v>
      </c>
      <c r="G140" s="87">
        <f>VLOOKUP(A140,'Data shares'!$C$2:$CA$220,77,0)</f>
        <v>-2.87E-2</v>
      </c>
      <c r="H140" s="86">
        <f>VLOOKUP($A140,'Data shares'!$C:$FA,90)</f>
        <v>5954760</v>
      </c>
      <c r="I140" s="86">
        <f>VLOOKUP($A140,'Data shares'!$C:$FA,92)</f>
        <v>1074120</v>
      </c>
      <c r="J140" s="87">
        <f>VLOOKUP($A140,'Data shares'!$C:$FA,93)</f>
        <v>0.22009999999999999</v>
      </c>
      <c r="K140" s="86">
        <f>VLOOKUP($A140,'Data shares'!$C:$FA,94)</f>
        <v>7229040</v>
      </c>
      <c r="L140" s="86">
        <f>VLOOKUP($A140,'Data shares'!$C:$FA,96)</f>
        <v>1035120</v>
      </c>
      <c r="M140" s="87">
        <f>VLOOKUP($A140,'Data shares'!$C:$FA,97)</f>
        <v>0.1671</v>
      </c>
      <c r="N140" s="86">
        <f>VLOOKUP($A140,'Data shares'!$C:$FA,78)</f>
        <v>2381640</v>
      </c>
      <c r="O140" s="87">
        <f>VLOOKUP($A140,'Data shares'!$C:$FA,81)</f>
        <v>-3.15E-2</v>
      </c>
    </row>
    <row r="141" spans="1:15" x14ac:dyDescent="0.25">
      <c r="A141" s="100" t="str">
        <f>'Data Vlaue (Cr)'!C136</f>
        <v>MOTHERSON</v>
      </c>
      <c r="B141" s="82">
        <f>VLOOKUP(A141,'Data shares'!$C$2:$CV$220,98,0)</f>
        <v>204364500</v>
      </c>
      <c r="C141" s="82">
        <f>VLOOKUP(A141,'Data shares'!$C$2:$CX$220,100,0)</f>
        <v>-4938450</v>
      </c>
      <c r="D141" s="141">
        <f>VLOOKUP(A141,'Data shares'!$C$2:$CY$543,101,0)</f>
        <v>-2.3599999999999999E-2</v>
      </c>
      <c r="E141" s="86">
        <f>VLOOKUP($A141,'Data shares'!$C:$FA,74)</f>
        <v>131843700</v>
      </c>
      <c r="F141" s="86">
        <f>VLOOKUP($A141,'Data shares'!$C:$FA,76)</f>
        <v>-2367750</v>
      </c>
      <c r="G141" s="87">
        <f>VLOOKUP(A141,'Data shares'!$C$2:$CA$220,77,0)</f>
        <v>-1.7600000000000001E-2</v>
      </c>
      <c r="H141" s="86">
        <f>VLOOKUP($A141,'Data shares'!$C:$FA,90)</f>
        <v>38462100</v>
      </c>
      <c r="I141" s="86">
        <f>VLOOKUP($A141,'Data shares'!$C:$FA,92)</f>
        <v>682650</v>
      </c>
      <c r="J141" s="87">
        <f>VLOOKUP($A141,'Data shares'!$C:$FA,93)</f>
        <v>1.8100000000000002E-2</v>
      </c>
      <c r="K141" s="86">
        <f>VLOOKUP($A141,'Data shares'!$C:$FA,94)</f>
        <v>34058700</v>
      </c>
      <c r="L141" s="86">
        <f>VLOOKUP($A141,'Data shares'!$C:$FA,96)</f>
        <v>-3253350</v>
      </c>
      <c r="M141" s="87">
        <f>VLOOKUP($A141,'Data shares'!$C:$FA,97)</f>
        <v>-8.72E-2</v>
      </c>
      <c r="N141" s="86">
        <f>VLOOKUP($A141,'Data shares'!$C:$FA,78)</f>
        <v>119998800</v>
      </c>
      <c r="O141" s="87">
        <f>VLOOKUP($A141,'Data shares'!$C:$FA,81)</f>
        <v>-7.9100000000000004E-2</v>
      </c>
    </row>
    <row r="142" spans="1:15" x14ac:dyDescent="0.25">
      <c r="A142" s="100" t="str">
        <f>'Data Vlaue (Cr)'!C137</f>
        <v>MOTILALOFS</v>
      </c>
      <c r="B142" s="82">
        <f>VLOOKUP(A142,'Data shares'!$C$2:$CV$220,98,0)</f>
        <v>5677650</v>
      </c>
      <c r="C142" s="82">
        <f>VLOOKUP(A142,'Data shares'!$C$2:$CX$220,100,0)</f>
        <v>1377175</v>
      </c>
      <c r="D142" s="141">
        <f>VLOOKUP(A142,'Data shares'!$C$2:$CY$543,101,0)</f>
        <v>0.32019999999999998</v>
      </c>
      <c r="E142" s="86">
        <f>VLOOKUP($A142,'Data shares'!$C:$FA,74)</f>
        <v>2864400</v>
      </c>
      <c r="F142" s="86">
        <f>VLOOKUP($A142,'Data shares'!$C:$FA,76)</f>
        <v>789725</v>
      </c>
      <c r="G142" s="87">
        <f>VLOOKUP(A142,'Data shares'!$C$2:$CA$220,77,0)</f>
        <v>0.38059999999999999</v>
      </c>
      <c r="H142" s="86">
        <f>VLOOKUP($A142,'Data shares'!$C:$FA,90)</f>
        <v>1578675</v>
      </c>
      <c r="I142" s="86">
        <f>VLOOKUP($A142,'Data shares'!$C:$FA,92)</f>
        <v>378975</v>
      </c>
      <c r="J142" s="87">
        <f>VLOOKUP($A142,'Data shares'!$C:$FA,93)</f>
        <v>0.31590000000000001</v>
      </c>
      <c r="K142" s="86">
        <f>VLOOKUP($A142,'Data shares'!$C:$FA,94)</f>
        <v>1234575</v>
      </c>
      <c r="L142" s="86">
        <f>VLOOKUP($A142,'Data shares'!$C:$FA,96)</f>
        <v>208475</v>
      </c>
      <c r="M142" s="87">
        <f>VLOOKUP($A142,'Data shares'!$C:$FA,97)</f>
        <v>0.20319999999999999</v>
      </c>
      <c r="N142" s="86">
        <f>VLOOKUP($A142,'Data shares'!$C:$FA,78)</f>
        <v>2757450</v>
      </c>
      <c r="O142" s="87">
        <f>VLOOKUP($A142,'Data shares'!$C:$FA,81)</f>
        <v>0.38440000000000002</v>
      </c>
    </row>
    <row r="143" spans="1:15" x14ac:dyDescent="0.25">
      <c r="A143" s="100" t="str">
        <f>'Data Vlaue (Cr)'!C138</f>
        <v>MPHASIS</v>
      </c>
      <c r="B143" s="82">
        <f>VLOOKUP(A143,'Data shares'!$C$2:$CV$220,98,0)</f>
        <v>6829625</v>
      </c>
      <c r="C143" s="82">
        <f>VLOOKUP(A143,'Data shares'!$C$2:$CX$220,100,0)</f>
        <v>-222750</v>
      </c>
      <c r="D143" s="141">
        <f>VLOOKUP(A143,'Data shares'!$C$2:$CY$543,101,0)</f>
        <v>-3.1600000000000003E-2</v>
      </c>
      <c r="E143" s="86">
        <f>VLOOKUP($A143,'Data shares'!$C:$FA,74)</f>
        <v>4718450</v>
      </c>
      <c r="F143" s="86">
        <f>VLOOKUP($A143,'Data shares'!$C:$FA,76)</f>
        <v>-110825</v>
      </c>
      <c r="G143" s="87">
        <f>VLOOKUP(A143,'Data shares'!$C$2:$CA$220,77,0)</f>
        <v>-2.29E-2</v>
      </c>
      <c r="H143" s="86">
        <f>VLOOKUP($A143,'Data shares'!$C:$FA,90)</f>
        <v>1187175</v>
      </c>
      <c r="I143" s="86">
        <f>VLOOKUP($A143,'Data shares'!$C:$FA,92)</f>
        <v>-59400</v>
      </c>
      <c r="J143" s="87">
        <f>VLOOKUP($A143,'Data shares'!$C:$FA,93)</f>
        <v>-4.7699999999999999E-2</v>
      </c>
      <c r="K143" s="86">
        <f>VLOOKUP($A143,'Data shares'!$C:$FA,94)</f>
        <v>924000</v>
      </c>
      <c r="L143" s="86">
        <f>VLOOKUP($A143,'Data shares'!$C:$FA,96)</f>
        <v>-52525</v>
      </c>
      <c r="M143" s="87">
        <f>VLOOKUP($A143,'Data shares'!$C:$FA,97)</f>
        <v>-5.3800000000000001E-2</v>
      </c>
      <c r="N143" s="86">
        <f>VLOOKUP($A143,'Data shares'!$C:$FA,78)</f>
        <v>4452525</v>
      </c>
      <c r="O143" s="87">
        <f>VLOOKUP($A143,'Data shares'!$C:$FA,81)</f>
        <v>-2.4400000000000002E-2</v>
      </c>
    </row>
    <row r="144" spans="1:15" x14ac:dyDescent="0.25">
      <c r="A144" s="100" t="str">
        <f>'Data Vlaue (Cr)'!C139</f>
        <v>MUTHOOTFIN</v>
      </c>
      <c r="B144" s="82">
        <f>VLOOKUP(A144,'Data shares'!$C$2:$CV$220,98,0)</f>
        <v>7704950</v>
      </c>
      <c r="C144" s="82">
        <f>VLOOKUP(A144,'Data shares'!$C$2:$CX$220,100,0)</f>
        <v>207350</v>
      </c>
      <c r="D144" s="141">
        <f>VLOOKUP(A144,'Data shares'!$C$2:$CY$543,101,0)</f>
        <v>2.7699999999999999E-2</v>
      </c>
      <c r="E144" s="86">
        <f>VLOOKUP($A144,'Data shares'!$C:$FA,74)</f>
        <v>3907475</v>
      </c>
      <c r="F144" s="86">
        <f>VLOOKUP($A144,'Data shares'!$C:$FA,76)</f>
        <v>71225</v>
      </c>
      <c r="G144" s="87">
        <f>VLOOKUP(A144,'Data shares'!$C$2:$CA$220,77,0)</f>
        <v>1.8599999999999998E-2</v>
      </c>
      <c r="H144" s="86">
        <f>VLOOKUP($A144,'Data shares'!$C:$FA,90)</f>
        <v>2358950</v>
      </c>
      <c r="I144" s="86">
        <f>VLOOKUP($A144,'Data shares'!$C:$FA,92)</f>
        <v>169950</v>
      </c>
      <c r="J144" s="87">
        <f>VLOOKUP($A144,'Data shares'!$C:$FA,93)</f>
        <v>7.7600000000000002E-2</v>
      </c>
      <c r="K144" s="86">
        <f>VLOOKUP($A144,'Data shares'!$C:$FA,94)</f>
        <v>1438525</v>
      </c>
      <c r="L144" s="86">
        <f>VLOOKUP($A144,'Data shares'!$C:$FA,96)</f>
        <v>-33825</v>
      </c>
      <c r="M144" s="87">
        <f>VLOOKUP($A144,'Data shares'!$C:$FA,97)</f>
        <v>-2.3E-2</v>
      </c>
      <c r="N144" s="86">
        <f>VLOOKUP($A144,'Data shares'!$C:$FA,78)</f>
        <v>3675650</v>
      </c>
      <c r="O144" s="87">
        <f>VLOOKUP($A144,'Data shares'!$C:$FA,81)</f>
        <v>3.8E-3</v>
      </c>
    </row>
    <row r="145" spans="1:15" x14ac:dyDescent="0.25">
      <c r="A145" s="100" t="str">
        <f>'Data Vlaue (Cr)'!C140</f>
        <v>NAM-INDIA</v>
      </c>
      <c r="B145" s="82">
        <f>VLOOKUP(A145,'Data shares'!$C$2:$CV$220,98,0)</f>
        <v>4444375</v>
      </c>
      <c r="C145" s="82">
        <f>VLOOKUP(A145,'Data shares'!$C$2:$CX$220,100,0)</f>
        <v>696875</v>
      </c>
      <c r="D145" s="141">
        <f>VLOOKUP(A145,'Data shares'!$C$2:$CY$543,101,0)</f>
        <v>0.186</v>
      </c>
      <c r="E145" s="86">
        <f>VLOOKUP($A145,'Data shares'!$C:$FA,74)</f>
        <v>3185000</v>
      </c>
      <c r="F145" s="86">
        <f>VLOOKUP($A145,'Data shares'!$C:$FA,76)</f>
        <v>648125</v>
      </c>
      <c r="G145" s="87">
        <f>VLOOKUP(A145,'Data shares'!$C$2:$CA$220,77,0)</f>
        <v>0.2555</v>
      </c>
      <c r="H145" s="86">
        <f>VLOOKUP($A145,'Data shares'!$C:$FA,90)</f>
        <v>730000</v>
      </c>
      <c r="I145" s="86">
        <f>VLOOKUP($A145,'Data shares'!$C:$FA,92)</f>
        <v>-36250</v>
      </c>
      <c r="J145" s="87">
        <f>VLOOKUP($A145,'Data shares'!$C:$FA,93)</f>
        <v>-4.7300000000000002E-2</v>
      </c>
      <c r="K145" s="86">
        <f>VLOOKUP($A145,'Data shares'!$C:$FA,94)</f>
        <v>529375</v>
      </c>
      <c r="L145" s="86">
        <f>VLOOKUP($A145,'Data shares'!$C:$FA,96)</f>
        <v>85000</v>
      </c>
      <c r="M145" s="87">
        <f>VLOOKUP($A145,'Data shares'!$C:$FA,97)</f>
        <v>0.1913</v>
      </c>
      <c r="N145" s="86">
        <f>VLOOKUP($A145,'Data shares'!$C:$FA,78)</f>
        <v>2913750</v>
      </c>
      <c r="O145" s="87">
        <f>VLOOKUP($A145,'Data shares'!$C:$FA,81)</f>
        <v>0.21440000000000001</v>
      </c>
    </row>
    <row r="146" spans="1:15" x14ac:dyDescent="0.25">
      <c r="A146" s="100" t="str">
        <f>'Data Vlaue (Cr)'!C141</f>
        <v>NATIONALUM</v>
      </c>
      <c r="B146" s="82">
        <f>VLOOKUP(A146,'Data shares'!$C$2:$CV$220,98,0)</f>
        <v>122265000</v>
      </c>
      <c r="C146" s="82">
        <f>VLOOKUP(A146,'Data shares'!$C$2:$CX$220,100,0)</f>
        <v>-832500</v>
      </c>
      <c r="D146" s="141">
        <f>VLOOKUP(A146,'Data shares'!$C$2:$CY$543,101,0)</f>
        <v>-6.7999999999999996E-3</v>
      </c>
      <c r="E146" s="86">
        <f>VLOOKUP($A146,'Data shares'!$C:$FA,74)</f>
        <v>54120000</v>
      </c>
      <c r="F146" s="86">
        <f>VLOOKUP($A146,'Data shares'!$C:$FA,76)</f>
        <v>-48750</v>
      </c>
      <c r="G146" s="87">
        <f>VLOOKUP(A146,'Data shares'!$C$2:$CA$220,77,0)</f>
        <v>-8.9999999999999998E-4</v>
      </c>
      <c r="H146" s="86">
        <f>VLOOKUP($A146,'Data shares'!$C:$FA,90)</f>
        <v>34098750</v>
      </c>
      <c r="I146" s="86">
        <f>VLOOKUP($A146,'Data shares'!$C:$FA,92)</f>
        <v>-1661250</v>
      </c>
      <c r="J146" s="87">
        <f>VLOOKUP($A146,'Data shares'!$C:$FA,93)</f>
        <v>-4.65E-2</v>
      </c>
      <c r="K146" s="86">
        <f>VLOOKUP($A146,'Data shares'!$C:$FA,94)</f>
        <v>34046250</v>
      </c>
      <c r="L146" s="86">
        <f>VLOOKUP($A146,'Data shares'!$C:$FA,96)</f>
        <v>877500</v>
      </c>
      <c r="M146" s="87">
        <f>VLOOKUP($A146,'Data shares'!$C:$FA,97)</f>
        <v>2.6499999999999999E-2</v>
      </c>
      <c r="N146" s="86">
        <f>VLOOKUP($A146,'Data shares'!$C:$FA,78)</f>
        <v>51131250</v>
      </c>
      <c r="O146" s="87">
        <f>VLOOKUP($A146,'Data shares'!$C:$FA,81)</f>
        <v>-3.3999999999999998E-3</v>
      </c>
    </row>
    <row r="147" spans="1:15" x14ac:dyDescent="0.25">
      <c r="A147" s="100" t="str">
        <f>'Data Vlaue (Cr)'!C142</f>
        <v>NAUKRI</v>
      </c>
      <c r="B147" s="82">
        <f>VLOOKUP(A147,'Data shares'!$C$2:$CV$220,98,0)</f>
        <v>14418000</v>
      </c>
      <c r="C147" s="82">
        <f>VLOOKUP(A147,'Data shares'!$C$2:$CX$220,100,0)</f>
        <v>93000</v>
      </c>
      <c r="D147" s="141">
        <f>VLOOKUP(A147,'Data shares'!$C$2:$CY$543,101,0)</f>
        <v>6.4999999999999997E-3</v>
      </c>
      <c r="E147" s="86">
        <f>VLOOKUP($A147,'Data shares'!$C:$FA,74)</f>
        <v>9961500</v>
      </c>
      <c r="F147" s="86">
        <f>VLOOKUP($A147,'Data shares'!$C:$FA,76)</f>
        <v>-204000</v>
      </c>
      <c r="G147" s="87">
        <f>VLOOKUP(A147,'Data shares'!$C$2:$CA$220,77,0)</f>
        <v>-2.01E-2</v>
      </c>
      <c r="H147" s="86">
        <f>VLOOKUP($A147,'Data shares'!$C:$FA,90)</f>
        <v>3109500</v>
      </c>
      <c r="I147" s="86">
        <f>VLOOKUP($A147,'Data shares'!$C:$FA,92)</f>
        <v>249375</v>
      </c>
      <c r="J147" s="87">
        <f>VLOOKUP($A147,'Data shares'!$C:$FA,93)</f>
        <v>8.72E-2</v>
      </c>
      <c r="K147" s="86">
        <f>VLOOKUP($A147,'Data shares'!$C:$FA,94)</f>
        <v>1347000</v>
      </c>
      <c r="L147" s="86">
        <f>VLOOKUP($A147,'Data shares'!$C:$FA,96)</f>
        <v>47625</v>
      </c>
      <c r="M147" s="87">
        <f>VLOOKUP($A147,'Data shares'!$C:$FA,97)</f>
        <v>3.6700000000000003E-2</v>
      </c>
      <c r="N147" s="86">
        <f>VLOOKUP($A147,'Data shares'!$C:$FA,78)</f>
        <v>9742125</v>
      </c>
      <c r="O147" s="87">
        <f>VLOOKUP($A147,'Data shares'!$C:$FA,81)</f>
        <v>-2.06E-2</v>
      </c>
    </row>
    <row r="148" spans="1:15" x14ac:dyDescent="0.25">
      <c r="A148" s="100" t="str">
        <f>'Data Vlaue (Cr)'!C143</f>
        <v>NBCC</v>
      </c>
      <c r="B148" s="82">
        <f>VLOOKUP(A148,'Data shares'!$C$2:$CV$220,98,0)</f>
        <v>112677500</v>
      </c>
      <c r="C148" s="82">
        <f>VLOOKUP(A148,'Data shares'!$C$2:$CX$220,100,0)</f>
        <v>4569500</v>
      </c>
      <c r="D148" s="141">
        <f>VLOOKUP(A148,'Data shares'!$C$2:$CY$543,101,0)</f>
        <v>4.2299999999999997E-2</v>
      </c>
      <c r="E148" s="86">
        <f>VLOOKUP($A148,'Data shares'!$C:$FA,74)</f>
        <v>79170000</v>
      </c>
      <c r="F148" s="86">
        <f>VLOOKUP($A148,'Data shares'!$C:$FA,76)</f>
        <v>2359500</v>
      </c>
      <c r="G148" s="87">
        <f>VLOOKUP(A148,'Data shares'!$C$2:$CA$220,77,0)</f>
        <v>3.0700000000000002E-2</v>
      </c>
      <c r="H148" s="86">
        <f>VLOOKUP($A148,'Data shares'!$C:$FA,90)</f>
        <v>20007000</v>
      </c>
      <c r="I148" s="86">
        <f>VLOOKUP($A148,'Data shares'!$C:$FA,92)</f>
        <v>2203500</v>
      </c>
      <c r="J148" s="87">
        <f>VLOOKUP($A148,'Data shares'!$C:$FA,93)</f>
        <v>0.12379999999999999</v>
      </c>
      <c r="K148" s="86">
        <f>VLOOKUP($A148,'Data shares'!$C:$FA,94)</f>
        <v>13500500</v>
      </c>
      <c r="L148" s="86">
        <f>VLOOKUP($A148,'Data shares'!$C:$FA,96)</f>
        <v>6500</v>
      </c>
      <c r="M148" s="87">
        <f>VLOOKUP($A148,'Data shares'!$C:$FA,97)</f>
        <v>5.0000000000000001E-4</v>
      </c>
      <c r="N148" s="86">
        <f>VLOOKUP($A148,'Data shares'!$C:$FA,78)</f>
        <v>73365500</v>
      </c>
      <c r="O148" s="87">
        <f>VLOOKUP($A148,'Data shares'!$C:$FA,81)</f>
        <v>-5.0000000000000001E-4</v>
      </c>
    </row>
    <row r="149" spans="1:15" x14ac:dyDescent="0.25">
      <c r="A149" s="100" t="str">
        <f>'Data Vlaue (Cr)'!C144</f>
        <v>NESTLEIND</v>
      </c>
      <c r="B149" s="82">
        <f>VLOOKUP(A149,'Data shares'!$C$2:$CV$220,98,0)</f>
        <v>25472500</v>
      </c>
      <c r="C149" s="82">
        <f>VLOOKUP(A149,'Data shares'!$C$2:$CX$220,100,0)</f>
        <v>1373000</v>
      </c>
      <c r="D149" s="141">
        <f>VLOOKUP(A149,'Data shares'!$C$2:$CY$543,101,0)</f>
        <v>5.7000000000000002E-2</v>
      </c>
      <c r="E149" s="86">
        <f>VLOOKUP($A149,'Data shares'!$C:$FA,74)</f>
        <v>18938000</v>
      </c>
      <c r="F149" s="86">
        <f>VLOOKUP($A149,'Data shares'!$C:$FA,76)</f>
        <v>-251000</v>
      </c>
      <c r="G149" s="87">
        <f>VLOOKUP(A149,'Data shares'!$C$2:$CA$220,77,0)</f>
        <v>-1.3100000000000001E-2</v>
      </c>
      <c r="H149" s="86">
        <f>VLOOKUP($A149,'Data shares'!$C:$FA,90)</f>
        <v>4183500</v>
      </c>
      <c r="I149" s="86">
        <f>VLOOKUP($A149,'Data shares'!$C:$FA,92)</f>
        <v>1298000</v>
      </c>
      <c r="J149" s="87">
        <f>VLOOKUP($A149,'Data shares'!$C:$FA,93)</f>
        <v>0.44979999999999998</v>
      </c>
      <c r="K149" s="86">
        <f>VLOOKUP($A149,'Data shares'!$C:$FA,94)</f>
        <v>2351000</v>
      </c>
      <c r="L149" s="86">
        <f>VLOOKUP($A149,'Data shares'!$C:$FA,96)</f>
        <v>326000</v>
      </c>
      <c r="M149" s="87">
        <f>VLOOKUP($A149,'Data shares'!$C:$FA,97)</f>
        <v>0.161</v>
      </c>
      <c r="N149" s="86">
        <f>VLOOKUP($A149,'Data shares'!$C:$FA,78)</f>
        <v>17624000</v>
      </c>
      <c r="O149" s="87">
        <f>VLOOKUP($A149,'Data shares'!$C:$FA,81)</f>
        <v>-1.5299999999999999E-2</v>
      </c>
    </row>
    <row r="150" spans="1:15" x14ac:dyDescent="0.25">
      <c r="A150" s="100" t="str">
        <f>'Data Vlaue (Cr)'!C145</f>
        <v>NHPC</v>
      </c>
      <c r="B150" s="82">
        <f>VLOOKUP(A150,'Data shares'!$C$2:$CV$220,98,0)</f>
        <v>153331200</v>
      </c>
      <c r="C150" s="82">
        <f>VLOOKUP(A150,'Data shares'!$C$2:$CX$220,100,0)</f>
        <v>6553600</v>
      </c>
      <c r="D150" s="141">
        <f>VLOOKUP(A150,'Data shares'!$C$2:$CY$543,101,0)</f>
        <v>4.4600000000000001E-2</v>
      </c>
      <c r="E150" s="86">
        <f>VLOOKUP($A150,'Data shares'!$C:$FA,74)</f>
        <v>85280000</v>
      </c>
      <c r="F150" s="86">
        <f>VLOOKUP($A150,'Data shares'!$C:$FA,76)</f>
        <v>8627200</v>
      </c>
      <c r="G150" s="87">
        <f>VLOOKUP(A150,'Data shares'!$C$2:$CA$220,77,0)</f>
        <v>0.1125</v>
      </c>
      <c r="H150" s="86">
        <f>VLOOKUP($A150,'Data shares'!$C:$FA,90)</f>
        <v>37728000</v>
      </c>
      <c r="I150" s="86">
        <f>VLOOKUP($A150,'Data shares'!$C:$FA,92)</f>
        <v>-2752000</v>
      </c>
      <c r="J150" s="87">
        <f>VLOOKUP($A150,'Data shares'!$C:$FA,93)</f>
        <v>-6.8000000000000005E-2</v>
      </c>
      <c r="K150" s="86">
        <f>VLOOKUP($A150,'Data shares'!$C:$FA,94)</f>
        <v>30323200</v>
      </c>
      <c r="L150" s="86">
        <f>VLOOKUP($A150,'Data shares'!$C:$FA,96)</f>
        <v>678400</v>
      </c>
      <c r="M150" s="87">
        <f>VLOOKUP($A150,'Data shares'!$C:$FA,97)</f>
        <v>2.29E-2</v>
      </c>
      <c r="N150" s="86">
        <f>VLOOKUP($A150,'Data shares'!$C:$FA,78)</f>
        <v>79686400</v>
      </c>
      <c r="O150" s="87">
        <f>VLOOKUP($A150,'Data shares'!$C:$FA,81)</f>
        <v>9.8199999999999996E-2</v>
      </c>
    </row>
    <row r="151" spans="1:15" x14ac:dyDescent="0.25">
      <c r="A151" s="100" t="str">
        <f>'Data Vlaue (Cr)'!C146</f>
        <v>NIFTY</v>
      </c>
      <c r="B151" s="82">
        <f>VLOOKUP(A151,'Data shares'!$C$2:$CV$220,98,0)</f>
        <v>518874120</v>
      </c>
      <c r="C151" s="82">
        <f>VLOOKUP(A151,'Data shares'!$C$2:$CX$220,100,0)</f>
        <v>65774035</v>
      </c>
      <c r="D151" s="141">
        <f>VLOOKUP(A151,'Data shares'!$C$2:$CY$543,101,0)</f>
        <v>0.1452</v>
      </c>
      <c r="E151" s="86">
        <f>VLOOKUP($A151,'Data shares'!$C:$FA,74)</f>
        <v>20544095</v>
      </c>
      <c r="F151" s="86">
        <f>VLOOKUP($A151,'Data shares'!$C:$FA,76)</f>
        <v>-236080</v>
      </c>
      <c r="G151" s="87">
        <f>VLOOKUP(A151,'Data shares'!$C$2:$CA$220,77,0)</f>
        <v>-1.14E-2</v>
      </c>
      <c r="H151" s="86">
        <f>VLOOKUP($A151,'Data shares'!$C:$FA,90)</f>
        <v>237893495</v>
      </c>
      <c r="I151" s="86">
        <f>VLOOKUP($A151,'Data shares'!$C:$FA,92)</f>
        <v>19766570</v>
      </c>
      <c r="J151" s="87">
        <f>VLOOKUP($A151,'Data shares'!$C:$FA,93)</f>
        <v>9.06E-2</v>
      </c>
      <c r="K151" s="86">
        <f>VLOOKUP($A151,'Data shares'!$C:$FA,94)</f>
        <v>260436530</v>
      </c>
      <c r="L151" s="86">
        <f>VLOOKUP($A151,'Data shares'!$C:$FA,96)</f>
        <v>46243545</v>
      </c>
      <c r="M151" s="87">
        <f>VLOOKUP($A151,'Data shares'!$C:$FA,97)</f>
        <v>0.21590000000000001</v>
      </c>
      <c r="N151" s="86">
        <f>VLOOKUP($A151,'Data shares'!$C:$FA,78)</f>
        <v>17201665</v>
      </c>
      <c r="O151" s="87">
        <f>VLOOKUP($A151,'Data shares'!$C:$FA,81)</f>
        <v>-1.44E-2</v>
      </c>
    </row>
    <row r="152" spans="1:15" x14ac:dyDescent="0.25">
      <c r="A152" s="100" t="str">
        <f>'Data Vlaue (Cr)'!C147</f>
        <v>NIFTYNXT50</v>
      </c>
      <c r="B152" s="82">
        <f>VLOOKUP(A152,'Data shares'!$C$2:$CV$220,98,0)</f>
        <v>39325</v>
      </c>
      <c r="C152" s="82">
        <f>VLOOKUP(A152,'Data shares'!$C$2:$CX$220,100,0)</f>
        <v>10775</v>
      </c>
      <c r="D152" s="141">
        <f>VLOOKUP(A152,'Data shares'!$C$2:$CY$543,101,0)</f>
        <v>0.37740000000000001</v>
      </c>
      <c r="E152" s="86">
        <f>VLOOKUP($A152,'Data shares'!$C:$FA,74)</f>
        <v>20775</v>
      </c>
      <c r="F152" s="86">
        <f>VLOOKUP($A152,'Data shares'!$C:$FA,76)</f>
        <v>875</v>
      </c>
      <c r="G152" s="87">
        <f>VLOOKUP(A152,'Data shares'!$C$2:$CA$220,77,0)</f>
        <v>4.3999999999999997E-2</v>
      </c>
      <c r="H152" s="86">
        <f>VLOOKUP($A152,'Data shares'!$C:$FA,90)</f>
        <v>13650</v>
      </c>
      <c r="I152" s="86">
        <f>VLOOKUP($A152,'Data shares'!$C:$FA,92)</f>
        <v>9400</v>
      </c>
      <c r="J152" s="87">
        <f>VLOOKUP($A152,'Data shares'!$C:$FA,93)</f>
        <v>2.2118000000000002</v>
      </c>
      <c r="K152" s="86">
        <f>VLOOKUP($A152,'Data shares'!$C:$FA,94)</f>
        <v>4900</v>
      </c>
      <c r="L152" s="86">
        <f>VLOOKUP($A152,'Data shares'!$C:$FA,96)</f>
        <v>500</v>
      </c>
      <c r="M152" s="87">
        <f>VLOOKUP($A152,'Data shares'!$C:$FA,97)</f>
        <v>0.11360000000000001</v>
      </c>
      <c r="N152" s="86">
        <f>VLOOKUP($A152,'Data shares'!$C:$FA,78)</f>
        <v>18550</v>
      </c>
      <c r="O152" s="87">
        <f>VLOOKUP($A152,'Data shares'!$C:$FA,81)</f>
        <v>3.49E-2</v>
      </c>
    </row>
    <row r="153" spans="1:15" x14ac:dyDescent="0.25">
      <c r="A153" s="100" t="str">
        <f>'Data Vlaue (Cr)'!C148</f>
        <v>NMDC</v>
      </c>
      <c r="B153" s="82">
        <f>VLOOKUP(A153,'Data shares'!$C$2:$CV$220,98,0)</f>
        <v>461571750</v>
      </c>
      <c r="C153" s="82">
        <f>VLOOKUP(A153,'Data shares'!$C$2:$CX$220,100,0)</f>
        <v>14546250</v>
      </c>
      <c r="D153" s="141">
        <f>VLOOKUP(A153,'Data shares'!$C$2:$CY$543,101,0)</f>
        <v>3.2500000000000001E-2</v>
      </c>
      <c r="E153" s="86">
        <f>VLOOKUP($A153,'Data shares'!$C:$FA,74)</f>
        <v>326457000</v>
      </c>
      <c r="F153" s="86">
        <f>VLOOKUP($A153,'Data shares'!$C:$FA,76)</f>
        <v>364500</v>
      </c>
      <c r="G153" s="87">
        <f>VLOOKUP(A153,'Data shares'!$C$2:$CA$220,77,0)</f>
        <v>1.1000000000000001E-3</v>
      </c>
      <c r="H153" s="86">
        <f>VLOOKUP($A153,'Data shares'!$C:$FA,90)</f>
        <v>80115750</v>
      </c>
      <c r="I153" s="86">
        <f>VLOOKUP($A153,'Data shares'!$C:$FA,92)</f>
        <v>6675750</v>
      </c>
      <c r="J153" s="87">
        <f>VLOOKUP($A153,'Data shares'!$C:$FA,93)</f>
        <v>9.0899999999999995E-2</v>
      </c>
      <c r="K153" s="86">
        <f>VLOOKUP($A153,'Data shares'!$C:$FA,94)</f>
        <v>54999000</v>
      </c>
      <c r="L153" s="86">
        <f>VLOOKUP($A153,'Data shares'!$C:$FA,96)</f>
        <v>7506000</v>
      </c>
      <c r="M153" s="87">
        <f>VLOOKUP($A153,'Data shares'!$C:$FA,97)</f>
        <v>0.158</v>
      </c>
      <c r="N153" s="86">
        <f>VLOOKUP($A153,'Data shares'!$C:$FA,78)</f>
        <v>306652500</v>
      </c>
      <c r="O153" s="87">
        <f>VLOOKUP($A153,'Data shares'!$C:$FA,81)</f>
        <v>-1.8700000000000001E-2</v>
      </c>
    </row>
    <row r="154" spans="1:15" x14ac:dyDescent="0.25">
      <c r="A154" s="100" t="str">
        <f>'Data Vlaue (Cr)'!C149</f>
        <v>NTPC</v>
      </c>
      <c r="B154" s="82">
        <f>VLOOKUP(A154,'Data shares'!$C$2:$CV$220,98,0)</f>
        <v>188704500</v>
      </c>
      <c r="C154" s="82">
        <f>VLOOKUP(A154,'Data shares'!$C$2:$CX$220,100,0)</f>
        <v>16920000</v>
      </c>
      <c r="D154" s="141">
        <f>VLOOKUP(A154,'Data shares'!$C$2:$CY$543,101,0)</f>
        <v>9.8500000000000004E-2</v>
      </c>
      <c r="E154" s="86">
        <f>VLOOKUP($A154,'Data shares'!$C:$FA,74)</f>
        <v>98035500</v>
      </c>
      <c r="F154" s="86">
        <f>VLOOKUP($A154,'Data shares'!$C:$FA,76)</f>
        <v>6658500</v>
      </c>
      <c r="G154" s="87">
        <f>VLOOKUP(A154,'Data shares'!$C$2:$CA$220,77,0)</f>
        <v>7.2900000000000006E-2</v>
      </c>
      <c r="H154" s="86">
        <f>VLOOKUP($A154,'Data shares'!$C:$FA,90)</f>
        <v>59341500</v>
      </c>
      <c r="I154" s="86">
        <f>VLOOKUP($A154,'Data shares'!$C:$FA,92)</f>
        <v>7933500</v>
      </c>
      <c r="J154" s="87">
        <f>VLOOKUP($A154,'Data shares'!$C:$FA,93)</f>
        <v>0.15429999999999999</v>
      </c>
      <c r="K154" s="86">
        <f>VLOOKUP($A154,'Data shares'!$C:$FA,94)</f>
        <v>31327500</v>
      </c>
      <c r="L154" s="86">
        <f>VLOOKUP($A154,'Data shares'!$C:$FA,96)</f>
        <v>2328000</v>
      </c>
      <c r="M154" s="87">
        <f>VLOOKUP($A154,'Data shares'!$C:$FA,97)</f>
        <v>8.0299999999999996E-2</v>
      </c>
      <c r="N154" s="86">
        <f>VLOOKUP($A154,'Data shares'!$C:$FA,78)</f>
        <v>82618500</v>
      </c>
      <c r="O154" s="87">
        <f>VLOOKUP($A154,'Data shares'!$C:$FA,81)</f>
        <v>5.21E-2</v>
      </c>
    </row>
    <row r="155" spans="1:15" x14ac:dyDescent="0.25">
      <c r="A155" s="100" t="str">
        <f>'Data Vlaue (Cr)'!C150</f>
        <v>NUVAMA</v>
      </c>
      <c r="B155" s="82">
        <f>VLOOKUP(A155,'Data shares'!$C$2:$CV$220,98,0)</f>
        <v>3817500</v>
      </c>
      <c r="C155" s="82">
        <f>VLOOKUP(A155,'Data shares'!$C$2:$CX$220,100,0)</f>
        <v>147000</v>
      </c>
      <c r="D155" s="141">
        <f>VLOOKUP(A155,'Data shares'!$C$2:$CY$543,101,0)</f>
        <v>0.04</v>
      </c>
      <c r="E155" s="86">
        <f>VLOOKUP($A155,'Data shares'!$C:$FA,74)</f>
        <v>2038000</v>
      </c>
      <c r="F155" s="86">
        <f>VLOOKUP($A155,'Data shares'!$C:$FA,76)</f>
        <v>31000</v>
      </c>
      <c r="G155" s="87">
        <f>VLOOKUP(A155,'Data shares'!$C$2:$CA$220,77,0)</f>
        <v>1.54E-2</v>
      </c>
      <c r="H155" s="86">
        <f>VLOOKUP($A155,'Data shares'!$C:$FA,90)</f>
        <v>964000</v>
      </c>
      <c r="I155" s="86">
        <f>VLOOKUP($A155,'Data shares'!$C:$FA,92)</f>
        <v>85000</v>
      </c>
      <c r="J155" s="87">
        <f>VLOOKUP($A155,'Data shares'!$C:$FA,93)</f>
        <v>9.6699999999999994E-2</v>
      </c>
      <c r="K155" s="86">
        <f>VLOOKUP($A155,'Data shares'!$C:$FA,94)</f>
        <v>815500</v>
      </c>
      <c r="L155" s="86">
        <f>VLOOKUP($A155,'Data shares'!$C:$FA,96)</f>
        <v>31000</v>
      </c>
      <c r="M155" s="87">
        <f>VLOOKUP($A155,'Data shares'!$C:$FA,97)</f>
        <v>3.95E-2</v>
      </c>
      <c r="N155" s="86">
        <f>VLOOKUP($A155,'Data shares'!$C:$FA,78)</f>
        <v>1877500</v>
      </c>
      <c r="O155" s="87">
        <f>VLOOKUP($A155,'Data shares'!$C:$FA,81)</f>
        <v>-1.37E-2</v>
      </c>
    </row>
    <row r="156" spans="1:15" x14ac:dyDescent="0.25">
      <c r="A156" s="100" t="str">
        <f>'Data Vlaue (Cr)'!C151</f>
        <v>NYKAA</v>
      </c>
      <c r="B156" s="82">
        <f>VLOOKUP(A156,'Data shares'!$C$2:$CV$220,98,0)</f>
        <v>58631250</v>
      </c>
      <c r="C156" s="82">
        <f>VLOOKUP(A156,'Data shares'!$C$2:$CX$220,100,0)</f>
        <v>81250</v>
      </c>
      <c r="D156" s="141">
        <f>VLOOKUP(A156,'Data shares'!$C$2:$CY$543,101,0)</f>
        <v>1.4E-3</v>
      </c>
      <c r="E156" s="86">
        <f>VLOOKUP($A156,'Data shares'!$C:$FA,74)</f>
        <v>45559375</v>
      </c>
      <c r="F156" s="86">
        <f>VLOOKUP($A156,'Data shares'!$C:$FA,76)</f>
        <v>-175000</v>
      </c>
      <c r="G156" s="87">
        <f>VLOOKUP(A156,'Data shares'!$C$2:$CA$220,77,0)</f>
        <v>-3.8E-3</v>
      </c>
      <c r="H156" s="86">
        <f>VLOOKUP($A156,'Data shares'!$C:$FA,90)</f>
        <v>7662500</v>
      </c>
      <c r="I156" s="86">
        <f>VLOOKUP($A156,'Data shares'!$C:$FA,92)</f>
        <v>-528125</v>
      </c>
      <c r="J156" s="87">
        <f>VLOOKUP($A156,'Data shares'!$C:$FA,93)</f>
        <v>-6.4500000000000002E-2</v>
      </c>
      <c r="K156" s="86">
        <f>VLOOKUP($A156,'Data shares'!$C:$FA,94)</f>
        <v>5409375</v>
      </c>
      <c r="L156" s="86">
        <f>VLOOKUP($A156,'Data shares'!$C:$FA,96)</f>
        <v>784375</v>
      </c>
      <c r="M156" s="87">
        <f>VLOOKUP($A156,'Data shares'!$C:$FA,97)</f>
        <v>0.1696</v>
      </c>
      <c r="N156" s="86">
        <f>VLOOKUP($A156,'Data shares'!$C:$FA,78)</f>
        <v>44303125</v>
      </c>
      <c r="O156" s="87">
        <f>VLOOKUP($A156,'Data shares'!$C:$FA,81)</f>
        <v>-6.8999999999999999E-3</v>
      </c>
    </row>
    <row r="157" spans="1:15" x14ac:dyDescent="0.25">
      <c r="A157" s="100" t="str">
        <f>'Data Vlaue (Cr)'!C152</f>
        <v>OBEROIRLTY</v>
      </c>
      <c r="B157" s="82">
        <f>VLOOKUP(A157,'Data shares'!$C$2:$CV$220,98,0)</f>
        <v>12255600</v>
      </c>
      <c r="C157" s="82">
        <f>VLOOKUP(A157,'Data shares'!$C$2:$CX$220,100,0)</f>
        <v>-101150</v>
      </c>
      <c r="D157" s="141">
        <f>VLOOKUP(A157,'Data shares'!$C$2:$CY$543,101,0)</f>
        <v>-8.2000000000000007E-3</v>
      </c>
      <c r="E157" s="86">
        <f>VLOOKUP($A157,'Data shares'!$C:$FA,74)</f>
        <v>9961350</v>
      </c>
      <c r="F157" s="86">
        <f>VLOOKUP($A157,'Data shares'!$C:$FA,76)</f>
        <v>-68950</v>
      </c>
      <c r="G157" s="87">
        <f>VLOOKUP(A157,'Data shares'!$C$2:$CA$220,77,0)</f>
        <v>-6.8999999999999999E-3</v>
      </c>
      <c r="H157" s="86">
        <f>VLOOKUP($A157,'Data shares'!$C:$FA,90)</f>
        <v>1188950</v>
      </c>
      <c r="I157" s="86">
        <f>VLOOKUP($A157,'Data shares'!$C:$FA,92)</f>
        <v>-4200</v>
      </c>
      <c r="J157" s="87">
        <f>VLOOKUP($A157,'Data shares'!$C:$FA,93)</f>
        <v>-3.5000000000000001E-3</v>
      </c>
      <c r="K157" s="86">
        <f>VLOOKUP($A157,'Data shares'!$C:$FA,94)</f>
        <v>1105300</v>
      </c>
      <c r="L157" s="86">
        <f>VLOOKUP($A157,'Data shares'!$C:$FA,96)</f>
        <v>-28000</v>
      </c>
      <c r="M157" s="87">
        <f>VLOOKUP($A157,'Data shares'!$C:$FA,97)</f>
        <v>-2.47E-2</v>
      </c>
      <c r="N157" s="86">
        <f>VLOOKUP($A157,'Data shares'!$C:$FA,78)</f>
        <v>8706250</v>
      </c>
      <c r="O157" s="87">
        <f>VLOOKUP($A157,'Data shares'!$C:$FA,81)</f>
        <v>-1.2999999999999999E-2</v>
      </c>
    </row>
    <row r="158" spans="1:15" x14ac:dyDescent="0.25">
      <c r="A158" s="100" t="str">
        <f>'Data Vlaue (Cr)'!C153</f>
        <v>OFSS</v>
      </c>
      <c r="B158" s="82">
        <f>VLOOKUP(A158,'Data shares'!$C$2:$CV$220,98,0)</f>
        <v>2566725</v>
      </c>
      <c r="C158" s="82">
        <f>VLOOKUP(A158,'Data shares'!$C$2:$CX$220,100,0)</f>
        <v>19800</v>
      </c>
      <c r="D158" s="141">
        <f>VLOOKUP(A158,'Data shares'!$C$2:$CY$543,101,0)</f>
        <v>7.7999999999999996E-3</v>
      </c>
      <c r="E158" s="86">
        <f>VLOOKUP($A158,'Data shares'!$C:$FA,74)</f>
        <v>1435725</v>
      </c>
      <c r="F158" s="86">
        <f>VLOOKUP($A158,'Data shares'!$C:$FA,76)</f>
        <v>-29100</v>
      </c>
      <c r="G158" s="87">
        <f>VLOOKUP(A158,'Data shares'!$C$2:$CA$220,77,0)</f>
        <v>-1.9900000000000001E-2</v>
      </c>
      <c r="H158" s="86">
        <f>VLOOKUP($A158,'Data shares'!$C:$FA,90)</f>
        <v>531075</v>
      </c>
      <c r="I158" s="86">
        <f>VLOOKUP($A158,'Data shares'!$C:$FA,92)</f>
        <v>3675</v>
      </c>
      <c r="J158" s="87">
        <f>VLOOKUP($A158,'Data shares'!$C:$FA,93)</f>
        <v>7.0000000000000001E-3</v>
      </c>
      <c r="K158" s="86">
        <f>VLOOKUP($A158,'Data shares'!$C:$FA,94)</f>
        <v>599925</v>
      </c>
      <c r="L158" s="86">
        <f>VLOOKUP($A158,'Data shares'!$C:$FA,96)</f>
        <v>45225</v>
      </c>
      <c r="M158" s="87">
        <f>VLOOKUP($A158,'Data shares'!$C:$FA,97)</f>
        <v>8.1500000000000003E-2</v>
      </c>
      <c r="N158" s="86">
        <f>VLOOKUP($A158,'Data shares'!$C:$FA,78)</f>
        <v>1346325</v>
      </c>
      <c r="O158" s="87">
        <f>VLOOKUP($A158,'Data shares'!$C:$FA,81)</f>
        <v>-2.7799999999999998E-2</v>
      </c>
    </row>
    <row r="159" spans="1:15" x14ac:dyDescent="0.25">
      <c r="A159" s="100" t="str">
        <f>'Data Vlaue (Cr)'!C154</f>
        <v>OIL</v>
      </c>
      <c r="B159" s="82">
        <f>VLOOKUP(A159,'Data shares'!$C$2:$CV$220,98,0)</f>
        <v>37529800</v>
      </c>
      <c r="C159" s="82">
        <f>VLOOKUP(A159,'Data shares'!$C$2:$CX$220,100,0)</f>
        <v>-800800</v>
      </c>
      <c r="D159" s="141">
        <f>VLOOKUP(A159,'Data shares'!$C$2:$CY$543,101,0)</f>
        <v>-2.0899999999999998E-2</v>
      </c>
      <c r="E159" s="86">
        <f>VLOOKUP($A159,'Data shares'!$C:$FA,74)</f>
        <v>21462000</v>
      </c>
      <c r="F159" s="86">
        <f>VLOOKUP($A159,'Data shares'!$C:$FA,76)</f>
        <v>-359800</v>
      </c>
      <c r="G159" s="87">
        <f>VLOOKUP(A159,'Data shares'!$C$2:$CA$220,77,0)</f>
        <v>-1.6500000000000001E-2</v>
      </c>
      <c r="H159" s="86">
        <f>VLOOKUP($A159,'Data shares'!$C:$FA,90)</f>
        <v>11179000</v>
      </c>
      <c r="I159" s="86">
        <f>VLOOKUP($A159,'Data shares'!$C:$FA,92)</f>
        <v>-322000</v>
      </c>
      <c r="J159" s="87">
        <f>VLOOKUP($A159,'Data shares'!$C:$FA,93)</f>
        <v>-2.8000000000000001E-2</v>
      </c>
      <c r="K159" s="86">
        <f>VLOOKUP($A159,'Data shares'!$C:$FA,94)</f>
        <v>4888800</v>
      </c>
      <c r="L159" s="86">
        <f>VLOOKUP($A159,'Data shares'!$C:$FA,96)</f>
        <v>-119000</v>
      </c>
      <c r="M159" s="87">
        <f>VLOOKUP($A159,'Data shares'!$C:$FA,97)</f>
        <v>-2.3800000000000002E-2</v>
      </c>
      <c r="N159" s="86">
        <f>VLOOKUP($A159,'Data shares'!$C:$FA,78)</f>
        <v>20428800</v>
      </c>
      <c r="O159" s="87">
        <f>VLOOKUP($A159,'Data shares'!$C:$FA,81)</f>
        <v>-1.7399999999999999E-2</v>
      </c>
    </row>
    <row r="160" spans="1:15" x14ac:dyDescent="0.25">
      <c r="A160" s="100" t="str">
        <f>'Data Vlaue (Cr)'!C155</f>
        <v>ONGC</v>
      </c>
      <c r="B160" s="82">
        <f>VLOOKUP(A160,'Data shares'!$C$2:$CV$220,98,0)</f>
        <v>229875750</v>
      </c>
      <c r="C160" s="82">
        <f>VLOOKUP(A160,'Data shares'!$C$2:$CX$220,100,0)</f>
        <v>1246500</v>
      </c>
      <c r="D160" s="141">
        <f>VLOOKUP(A160,'Data shares'!$C$2:$CY$543,101,0)</f>
        <v>5.4999999999999997E-3</v>
      </c>
      <c r="E160" s="86">
        <f>VLOOKUP($A160,'Data shares'!$C:$FA,74)</f>
        <v>96527250</v>
      </c>
      <c r="F160" s="86">
        <f>VLOOKUP($A160,'Data shares'!$C:$FA,76)</f>
        <v>414000</v>
      </c>
      <c r="G160" s="87">
        <f>VLOOKUP(A160,'Data shares'!$C$2:$CA$220,77,0)</f>
        <v>4.3E-3</v>
      </c>
      <c r="H160" s="86">
        <f>VLOOKUP($A160,'Data shares'!$C:$FA,90)</f>
        <v>97166250</v>
      </c>
      <c r="I160" s="86">
        <f>VLOOKUP($A160,'Data shares'!$C:$FA,92)</f>
        <v>364500</v>
      </c>
      <c r="J160" s="87">
        <f>VLOOKUP($A160,'Data shares'!$C:$FA,93)</f>
        <v>3.8E-3</v>
      </c>
      <c r="K160" s="86">
        <f>VLOOKUP($A160,'Data shares'!$C:$FA,94)</f>
        <v>36182250</v>
      </c>
      <c r="L160" s="86">
        <f>VLOOKUP($A160,'Data shares'!$C:$FA,96)</f>
        <v>468000</v>
      </c>
      <c r="M160" s="87">
        <f>VLOOKUP($A160,'Data shares'!$C:$FA,97)</f>
        <v>1.3100000000000001E-2</v>
      </c>
      <c r="N160" s="86">
        <f>VLOOKUP($A160,'Data shares'!$C:$FA,78)</f>
        <v>86386500</v>
      </c>
      <c r="O160" s="87">
        <f>VLOOKUP($A160,'Data shares'!$C:$FA,81)</f>
        <v>-2.23E-2</v>
      </c>
    </row>
    <row r="161" spans="1:15" x14ac:dyDescent="0.25">
      <c r="A161" s="100" t="str">
        <f>'Data Vlaue (Cr)'!C156</f>
        <v>PAGEIND</v>
      </c>
      <c r="B161" s="82">
        <f>VLOOKUP(A161,'Data shares'!$C$2:$CV$220,98,0)</f>
        <v>503325</v>
      </c>
      <c r="C161" s="82">
        <f>VLOOKUP(A161,'Data shares'!$C$2:$CX$220,100,0)</f>
        <v>11385</v>
      </c>
      <c r="D161" s="141">
        <f>VLOOKUP(A161,'Data shares'!$C$2:$CY$543,101,0)</f>
        <v>2.3099999999999999E-2</v>
      </c>
      <c r="E161" s="86">
        <f>VLOOKUP($A161,'Data shares'!$C:$FA,74)</f>
        <v>361890</v>
      </c>
      <c r="F161" s="86">
        <f>VLOOKUP($A161,'Data shares'!$C:$FA,76)</f>
        <v>-4185</v>
      </c>
      <c r="G161" s="87">
        <f>VLOOKUP(A161,'Data shares'!$C$2:$CA$220,77,0)</f>
        <v>-1.14E-2</v>
      </c>
      <c r="H161" s="86">
        <f>VLOOKUP($A161,'Data shares'!$C:$FA,90)</f>
        <v>67620</v>
      </c>
      <c r="I161" s="86">
        <f>VLOOKUP($A161,'Data shares'!$C:$FA,92)</f>
        <v>3405</v>
      </c>
      <c r="J161" s="87">
        <f>VLOOKUP($A161,'Data shares'!$C:$FA,93)</f>
        <v>5.2999999999999999E-2</v>
      </c>
      <c r="K161" s="86">
        <f>VLOOKUP($A161,'Data shares'!$C:$FA,94)</f>
        <v>73815</v>
      </c>
      <c r="L161" s="86">
        <f>VLOOKUP($A161,'Data shares'!$C:$FA,96)</f>
        <v>12165</v>
      </c>
      <c r="M161" s="87">
        <f>VLOOKUP($A161,'Data shares'!$C:$FA,97)</f>
        <v>0.1973</v>
      </c>
      <c r="N161" s="86">
        <f>VLOOKUP($A161,'Data shares'!$C:$FA,78)</f>
        <v>349440</v>
      </c>
      <c r="O161" s="87">
        <f>VLOOKUP($A161,'Data shares'!$C:$FA,81)</f>
        <v>-1.9800000000000002E-2</v>
      </c>
    </row>
    <row r="162" spans="1:15" x14ac:dyDescent="0.25">
      <c r="A162" s="100" t="str">
        <f>'Data Vlaue (Cr)'!C157</f>
        <v>PATANJALI</v>
      </c>
      <c r="B162" s="82">
        <f>VLOOKUP(A162,'Data shares'!$C$2:$CV$220,98,0)</f>
        <v>42699600</v>
      </c>
      <c r="C162" s="82">
        <f>VLOOKUP(A162,'Data shares'!$C$2:$CX$220,100,0)</f>
        <v>2169000</v>
      </c>
      <c r="D162" s="141">
        <f>VLOOKUP(A162,'Data shares'!$C$2:$CY$543,101,0)</f>
        <v>5.3499999999999999E-2</v>
      </c>
      <c r="E162" s="86">
        <f>VLOOKUP($A162,'Data shares'!$C:$FA,74)</f>
        <v>34487100</v>
      </c>
      <c r="F162" s="86">
        <f>VLOOKUP($A162,'Data shares'!$C:$FA,76)</f>
        <v>367200</v>
      </c>
      <c r="G162" s="87">
        <f>VLOOKUP(A162,'Data shares'!$C$2:$CA$220,77,0)</f>
        <v>1.0800000000000001E-2</v>
      </c>
      <c r="H162" s="86">
        <f>VLOOKUP($A162,'Data shares'!$C:$FA,90)</f>
        <v>5181300</v>
      </c>
      <c r="I162" s="86">
        <f>VLOOKUP($A162,'Data shares'!$C:$FA,92)</f>
        <v>1230300</v>
      </c>
      <c r="J162" s="87">
        <f>VLOOKUP($A162,'Data shares'!$C:$FA,93)</f>
        <v>0.31140000000000001</v>
      </c>
      <c r="K162" s="86">
        <f>VLOOKUP($A162,'Data shares'!$C:$FA,94)</f>
        <v>3031200</v>
      </c>
      <c r="L162" s="86">
        <f>VLOOKUP($A162,'Data shares'!$C:$FA,96)</f>
        <v>571500</v>
      </c>
      <c r="M162" s="87">
        <f>VLOOKUP($A162,'Data shares'!$C:$FA,97)</f>
        <v>0.23230000000000001</v>
      </c>
      <c r="N162" s="86">
        <f>VLOOKUP($A162,'Data shares'!$C:$FA,78)</f>
        <v>34015500</v>
      </c>
      <c r="O162" s="87">
        <f>VLOOKUP($A162,'Data shares'!$C:$FA,81)</f>
        <v>6.6E-3</v>
      </c>
    </row>
    <row r="163" spans="1:15" x14ac:dyDescent="0.25">
      <c r="A163" s="100" t="str">
        <f>'Data Vlaue (Cr)'!C158</f>
        <v>PAYTM</v>
      </c>
      <c r="B163" s="82">
        <f>VLOOKUP(A163,'Data shares'!$C$2:$CV$220,98,0)</f>
        <v>28085775</v>
      </c>
      <c r="C163" s="82">
        <f>VLOOKUP(A163,'Data shares'!$C$2:$CX$220,100,0)</f>
        <v>931625</v>
      </c>
      <c r="D163" s="141">
        <f>VLOOKUP(A163,'Data shares'!$C$2:$CY$543,101,0)</f>
        <v>3.4299999999999997E-2</v>
      </c>
      <c r="E163" s="86">
        <f>VLOOKUP($A163,'Data shares'!$C:$FA,74)</f>
        <v>15618675</v>
      </c>
      <c r="F163" s="86">
        <f>VLOOKUP($A163,'Data shares'!$C:$FA,76)</f>
        <v>-270425</v>
      </c>
      <c r="G163" s="87">
        <f>VLOOKUP(A163,'Data shares'!$C$2:$CA$220,77,0)</f>
        <v>-1.7000000000000001E-2</v>
      </c>
      <c r="H163" s="86">
        <f>VLOOKUP($A163,'Data shares'!$C:$FA,90)</f>
        <v>6360425</v>
      </c>
      <c r="I163" s="86">
        <f>VLOOKUP($A163,'Data shares'!$C:$FA,92)</f>
        <v>279125</v>
      </c>
      <c r="J163" s="87">
        <f>VLOOKUP($A163,'Data shares'!$C:$FA,93)</f>
        <v>4.5900000000000003E-2</v>
      </c>
      <c r="K163" s="86">
        <f>VLOOKUP($A163,'Data shares'!$C:$FA,94)</f>
        <v>6106675</v>
      </c>
      <c r="L163" s="86">
        <f>VLOOKUP($A163,'Data shares'!$C:$FA,96)</f>
        <v>922925</v>
      </c>
      <c r="M163" s="87">
        <f>VLOOKUP($A163,'Data shares'!$C:$FA,97)</f>
        <v>0.17799999999999999</v>
      </c>
      <c r="N163" s="86">
        <f>VLOOKUP($A163,'Data shares'!$C:$FA,78)</f>
        <v>14884975</v>
      </c>
      <c r="O163" s="87">
        <f>VLOOKUP($A163,'Data shares'!$C:$FA,81)</f>
        <v>-1.7999999999999999E-2</v>
      </c>
    </row>
    <row r="164" spans="1:15" x14ac:dyDescent="0.25">
      <c r="A164" s="100" t="str">
        <f>'Data Vlaue (Cr)'!C159</f>
        <v>PERSISTENT</v>
      </c>
      <c r="B164" s="82">
        <f>VLOOKUP(A164,'Data shares'!$C$2:$CV$220,98,0)</f>
        <v>8357700</v>
      </c>
      <c r="C164" s="82">
        <f>VLOOKUP(A164,'Data shares'!$C$2:$CX$220,100,0)</f>
        <v>196900</v>
      </c>
      <c r="D164" s="141">
        <f>VLOOKUP(A164,'Data shares'!$C$2:$CY$543,101,0)</f>
        <v>2.41E-2</v>
      </c>
      <c r="E164" s="86">
        <f>VLOOKUP($A164,'Data shares'!$C:$FA,74)</f>
        <v>5995900</v>
      </c>
      <c r="F164" s="86">
        <f>VLOOKUP($A164,'Data shares'!$C:$FA,76)</f>
        <v>111600</v>
      </c>
      <c r="G164" s="87">
        <f>VLOOKUP(A164,'Data shares'!$C$2:$CA$220,77,0)</f>
        <v>1.9E-2</v>
      </c>
      <c r="H164" s="86">
        <f>VLOOKUP($A164,'Data shares'!$C:$FA,90)</f>
        <v>1207600</v>
      </c>
      <c r="I164" s="86">
        <f>VLOOKUP($A164,'Data shares'!$C:$FA,92)</f>
        <v>89900</v>
      </c>
      <c r="J164" s="87">
        <f>VLOOKUP($A164,'Data shares'!$C:$FA,93)</f>
        <v>8.0399999999999999E-2</v>
      </c>
      <c r="K164" s="86">
        <f>VLOOKUP($A164,'Data shares'!$C:$FA,94)</f>
        <v>1154200</v>
      </c>
      <c r="L164" s="86">
        <f>VLOOKUP($A164,'Data shares'!$C:$FA,96)</f>
        <v>-4600</v>
      </c>
      <c r="M164" s="87">
        <f>VLOOKUP($A164,'Data shares'!$C:$FA,97)</f>
        <v>-4.0000000000000001E-3</v>
      </c>
      <c r="N164" s="86">
        <f>VLOOKUP($A164,'Data shares'!$C:$FA,78)</f>
        <v>5197100</v>
      </c>
      <c r="O164" s="87">
        <f>VLOOKUP($A164,'Data shares'!$C:$FA,81)</f>
        <v>-2.5000000000000001E-3</v>
      </c>
    </row>
    <row r="165" spans="1:15" x14ac:dyDescent="0.25">
      <c r="A165" s="100" t="str">
        <f>'Data Vlaue (Cr)'!C160</f>
        <v>PETRONET</v>
      </c>
      <c r="B165" s="82">
        <f>VLOOKUP(A165,'Data shares'!$C$2:$CV$220,98,0)</f>
        <v>61784200</v>
      </c>
      <c r="C165" s="82">
        <f>VLOOKUP(A165,'Data shares'!$C$2:$CX$220,100,0)</f>
        <v>889200</v>
      </c>
      <c r="D165" s="141">
        <f>VLOOKUP(A165,'Data shares'!$C$2:$CY$543,101,0)</f>
        <v>1.46E-2</v>
      </c>
      <c r="E165" s="86">
        <f>VLOOKUP($A165,'Data shares'!$C:$FA,74)</f>
        <v>35782700</v>
      </c>
      <c r="F165" s="86">
        <f>VLOOKUP($A165,'Data shares'!$C:$FA,76)</f>
        <v>-292600</v>
      </c>
      <c r="G165" s="87">
        <f>VLOOKUP(A165,'Data shares'!$C$2:$CA$220,77,0)</f>
        <v>-8.0999999999999996E-3</v>
      </c>
      <c r="H165" s="86">
        <f>VLOOKUP($A165,'Data shares'!$C:$FA,90)</f>
        <v>15821300</v>
      </c>
      <c r="I165" s="86">
        <f>VLOOKUP($A165,'Data shares'!$C:$FA,92)</f>
        <v>813200</v>
      </c>
      <c r="J165" s="87">
        <f>VLOOKUP($A165,'Data shares'!$C:$FA,93)</f>
        <v>5.4199999999999998E-2</v>
      </c>
      <c r="K165" s="86">
        <f>VLOOKUP($A165,'Data shares'!$C:$FA,94)</f>
        <v>10180200</v>
      </c>
      <c r="L165" s="86">
        <f>VLOOKUP($A165,'Data shares'!$C:$FA,96)</f>
        <v>368600</v>
      </c>
      <c r="M165" s="87">
        <f>VLOOKUP($A165,'Data shares'!$C:$FA,97)</f>
        <v>3.7600000000000001E-2</v>
      </c>
      <c r="N165" s="86">
        <f>VLOOKUP($A165,'Data shares'!$C:$FA,78)</f>
        <v>34445100</v>
      </c>
      <c r="O165" s="87">
        <f>VLOOKUP($A165,'Data shares'!$C:$FA,81)</f>
        <v>-1.26E-2</v>
      </c>
    </row>
    <row r="166" spans="1:15" x14ac:dyDescent="0.25">
      <c r="A166" s="100" t="str">
        <f>'Data Vlaue (Cr)'!C161</f>
        <v>PFC</v>
      </c>
      <c r="B166" s="82">
        <f>VLOOKUP(A166,'Data shares'!$C$2:$CV$220,98,0)</f>
        <v>105086800</v>
      </c>
      <c r="C166" s="82">
        <f>VLOOKUP(A166,'Data shares'!$C$2:$CX$220,100,0)</f>
        <v>4134000</v>
      </c>
      <c r="D166" s="141">
        <f>VLOOKUP(A166,'Data shares'!$C$2:$CY$543,101,0)</f>
        <v>4.0899999999999999E-2</v>
      </c>
      <c r="E166" s="86">
        <f>VLOOKUP($A166,'Data shares'!$C:$FA,74)</f>
        <v>58090500</v>
      </c>
      <c r="F166" s="86">
        <f>VLOOKUP($A166,'Data shares'!$C:$FA,76)</f>
        <v>1531400</v>
      </c>
      <c r="G166" s="87">
        <f>VLOOKUP(A166,'Data shares'!$C$2:$CA$220,77,0)</f>
        <v>2.7099999999999999E-2</v>
      </c>
      <c r="H166" s="86">
        <f>VLOOKUP($A166,'Data shares'!$C:$FA,90)</f>
        <v>27141400</v>
      </c>
      <c r="I166" s="86">
        <f>VLOOKUP($A166,'Data shares'!$C:$FA,92)</f>
        <v>1037400</v>
      </c>
      <c r="J166" s="87">
        <f>VLOOKUP($A166,'Data shares'!$C:$FA,93)</f>
        <v>3.9699999999999999E-2</v>
      </c>
      <c r="K166" s="86">
        <f>VLOOKUP($A166,'Data shares'!$C:$FA,94)</f>
        <v>19854900</v>
      </c>
      <c r="L166" s="86">
        <f>VLOOKUP($A166,'Data shares'!$C:$FA,96)</f>
        <v>1565200</v>
      </c>
      <c r="M166" s="87">
        <f>VLOOKUP($A166,'Data shares'!$C:$FA,97)</f>
        <v>8.5599999999999996E-2</v>
      </c>
      <c r="N166" s="86">
        <f>VLOOKUP($A166,'Data shares'!$C:$FA,78)</f>
        <v>49990200</v>
      </c>
      <c r="O166" s="87">
        <f>VLOOKUP($A166,'Data shares'!$C:$FA,81)</f>
        <v>1.9699999999999999E-2</v>
      </c>
    </row>
    <row r="167" spans="1:15" x14ac:dyDescent="0.25">
      <c r="A167" s="100" t="str">
        <f>'Data Vlaue (Cr)'!C162</f>
        <v>PGEL</v>
      </c>
      <c r="B167" s="82">
        <f>VLOOKUP(A167,'Data shares'!$C$2:$CV$220,98,0)</f>
        <v>34576200</v>
      </c>
      <c r="C167" s="82">
        <f>VLOOKUP(A167,'Data shares'!$C$2:$CX$220,100,0)</f>
        <v>-366700</v>
      </c>
      <c r="D167" s="141">
        <f>VLOOKUP(A167,'Data shares'!$C$2:$CY$543,101,0)</f>
        <v>-1.0500000000000001E-2</v>
      </c>
      <c r="E167" s="86">
        <f>VLOOKUP($A167,'Data shares'!$C:$FA,74)</f>
        <v>15949550</v>
      </c>
      <c r="F167" s="86">
        <f>VLOOKUP($A167,'Data shares'!$C:$FA,76)</f>
        <v>-273600</v>
      </c>
      <c r="G167" s="87">
        <f>VLOOKUP(A167,'Data shares'!$C$2:$CA$220,77,0)</f>
        <v>-1.6899999999999998E-2</v>
      </c>
      <c r="H167" s="86">
        <f>VLOOKUP($A167,'Data shares'!$C:$FA,90)</f>
        <v>8536700</v>
      </c>
      <c r="I167" s="86">
        <f>VLOOKUP($A167,'Data shares'!$C:$FA,92)</f>
        <v>-30400</v>
      </c>
      <c r="J167" s="87">
        <f>VLOOKUP($A167,'Data shares'!$C:$FA,93)</f>
        <v>-3.5000000000000001E-3</v>
      </c>
      <c r="K167" s="86">
        <f>VLOOKUP($A167,'Data shares'!$C:$FA,94)</f>
        <v>10089950</v>
      </c>
      <c r="L167" s="86">
        <f>VLOOKUP($A167,'Data shares'!$C:$FA,96)</f>
        <v>-62700</v>
      </c>
      <c r="M167" s="87">
        <f>VLOOKUP($A167,'Data shares'!$C:$FA,97)</f>
        <v>-6.1999999999999998E-3</v>
      </c>
      <c r="N167" s="86">
        <f>VLOOKUP($A167,'Data shares'!$C:$FA,78)</f>
        <v>13401650</v>
      </c>
      <c r="O167" s="87">
        <f>VLOOKUP($A167,'Data shares'!$C:$FA,81)</f>
        <v>-3.5000000000000003E-2</v>
      </c>
    </row>
    <row r="168" spans="1:15" x14ac:dyDescent="0.25">
      <c r="A168" s="100" t="str">
        <f>'Data Vlaue (Cr)'!C163</f>
        <v>PHOENIXLTD</v>
      </c>
      <c r="B168" s="82">
        <f>VLOOKUP(A168,'Data shares'!$C$2:$CV$220,98,0)</f>
        <v>5154450</v>
      </c>
      <c r="C168" s="82">
        <f>VLOOKUP(A168,'Data shares'!$C$2:$CX$220,100,0)</f>
        <v>-44800</v>
      </c>
      <c r="D168" s="141">
        <f>VLOOKUP(A168,'Data shares'!$C$2:$CY$543,101,0)</f>
        <v>-8.6E-3</v>
      </c>
      <c r="E168" s="86">
        <f>VLOOKUP($A168,'Data shares'!$C:$FA,74)</f>
        <v>3786300</v>
      </c>
      <c r="F168" s="86">
        <f>VLOOKUP($A168,'Data shares'!$C:$FA,76)</f>
        <v>-23800</v>
      </c>
      <c r="G168" s="87">
        <f>VLOOKUP(A168,'Data shares'!$C$2:$CA$220,77,0)</f>
        <v>-6.1999999999999998E-3</v>
      </c>
      <c r="H168" s="86">
        <f>VLOOKUP($A168,'Data shares'!$C:$FA,90)</f>
        <v>737450</v>
      </c>
      <c r="I168" s="86">
        <f>VLOOKUP($A168,'Data shares'!$C:$FA,92)</f>
        <v>25200</v>
      </c>
      <c r="J168" s="87">
        <f>VLOOKUP($A168,'Data shares'!$C:$FA,93)</f>
        <v>3.5400000000000001E-2</v>
      </c>
      <c r="K168" s="86">
        <f>VLOOKUP($A168,'Data shares'!$C:$FA,94)</f>
        <v>630700</v>
      </c>
      <c r="L168" s="86">
        <f>VLOOKUP($A168,'Data shares'!$C:$FA,96)</f>
        <v>-46200</v>
      </c>
      <c r="M168" s="87">
        <f>VLOOKUP($A168,'Data shares'!$C:$FA,97)</f>
        <v>-6.83E-2</v>
      </c>
      <c r="N168" s="86">
        <f>VLOOKUP($A168,'Data shares'!$C:$FA,78)</f>
        <v>3411450</v>
      </c>
      <c r="O168" s="87">
        <f>VLOOKUP($A168,'Data shares'!$C:$FA,81)</f>
        <v>-7.1999999999999998E-3</v>
      </c>
    </row>
    <row r="169" spans="1:15" x14ac:dyDescent="0.25">
      <c r="A169" s="100" t="str">
        <f>'Data Vlaue (Cr)'!C164</f>
        <v>PIDILITIND</v>
      </c>
      <c r="B169" s="82">
        <f>VLOOKUP(A169,'Data shares'!$C$2:$CV$220,98,0)</f>
        <v>11606000</v>
      </c>
      <c r="C169" s="82">
        <f>VLOOKUP(A169,'Data shares'!$C$2:$CX$220,100,0)</f>
        <v>202000</v>
      </c>
      <c r="D169" s="141">
        <f>VLOOKUP(A169,'Data shares'!$C$2:$CY$543,101,0)</f>
        <v>1.77E-2</v>
      </c>
      <c r="E169" s="86">
        <f>VLOOKUP($A169,'Data shares'!$C:$FA,74)</f>
        <v>8691000</v>
      </c>
      <c r="F169" s="86">
        <f>VLOOKUP($A169,'Data shares'!$C:$FA,76)</f>
        <v>-195500</v>
      </c>
      <c r="G169" s="87">
        <f>VLOOKUP(A169,'Data shares'!$C$2:$CA$220,77,0)</f>
        <v>-2.1999999999999999E-2</v>
      </c>
      <c r="H169" s="86">
        <f>VLOOKUP($A169,'Data shares'!$C:$FA,90)</f>
        <v>1761000</v>
      </c>
      <c r="I169" s="86">
        <f>VLOOKUP($A169,'Data shares'!$C:$FA,92)</f>
        <v>250000</v>
      </c>
      <c r="J169" s="87">
        <f>VLOOKUP($A169,'Data shares'!$C:$FA,93)</f>
        <v>0.16550000000000001</v>
      </c>
      <c r="K169" s="86">
        <f>VLOOKUP($A169,'Data shares'!$C:$FA,94)</f>
        <v>1154000</v>
      </c>
      <c r="L169" s="86">
        <f>VLOOKUP($A169,'Data shares'!$C:$FA,96)</f>
        <v>147500</v>
      </c>
      <c r="M169" s="87">
        <f>VLOOKUP($A169,'Data shares'!$C:$FA,97)</f>
        <v>0.14649999999999999</v>
      </c>
      <c r="N169" s="86">
        <f>VLOOKUP($A169,'Data shares'!$C:$FA,78)</f>
        <v>8419500</v>
      </c>
      <c r="O169" s="87">
        <f>VLOOKUP($A169,'Data shares'!$C:$FA,81)</f>
        <v>-2.1700000000000001E-2</v>
      </c>
    </row>
    <row r="170" spans="1:15" x14ac:dyDescent="0.25">
      <c r="A170" s="100" t="str">
        <f>'Data Vlaue (Cr)'!C165</f>
        <v>PIIND</v>
      </c>
      <c r="B170" s="82">
        <f>VLOOKUP(A170,'Data shares'!$C$2:$CV$220,98,0)</f>
        <v>4015200</v>
      </c>
      <c r="C170" s="82">
        <f>VLOOKUP(A170,'Data shares'!$C$2:$CX$220,100,0)</f>
        <v>190925</v>
      </c>
      <c r="D170" s="141">
        <f>VLOOKUP(A170,'Data shares'!$C$2:$CY$543,101,0)</f>
        <v>4.99E-2</v>
      </c>
      <c r="E170" s="86">
        <f>VLOOKUP($A170,'Data shares'!$C:$FA,74)</f>
        <v>2673125</v>
      </c>
      <c r="F170" s="86">
        <f>VLOOKUP($A170,'Data shares'!$C:$FA,76)</f>
        <v>117950</v>
      </c>
      <c r="G170" s="87">
        <f>VLOOKUP(A170,'Data shares'!$C$2:$CA$220,77,0)</f>
        <v>4.6199999999999998E-2</v>
      </c>
      <c r="H170" s="86">
        <f>VLOOKUP($A170,'Data shares'!$C:$FA,90)</f>
        <v>668500</v>
      </c>
      <c r="I170" s="86">
        <f>VLOOKUP($A170,'Data shares'!$C:$FA,92)</f>
        <v>43225</v>
      </c>
      <c r="J170" s="87">
        <f>VLOOKUP($A170,'Data shares'!$C:$FA,93)</f>
        <v>6.9099999999999995E-2</v>
      </c>
      <c r="K170" s="86">
        <f>VLOOKUP($A170,'Data shares'!$C:$FA,94)</f>
        <v>673575</v>
      </c>
      <c r="L170" s="86">
        <f>VLOOKUP($A170,'Data shares'!$C:$FA,96)</f>
        <v>29750</v>
      </c>
      <c r="M170" s="87">
        <f>VLOOKUP($A170,'Data shares'!$C:$FA,97)</f>
        <v>4.6199999999999998E-2</v>
      </c>
      <c r="N170" s="86">
        <f>VLOOKUP($A170,'Data shares'!$C:$FA,78)</f>
        <v>2497250</v>
      </c>
      <c r="O170" s="87">
        <f>VLOOKUP($A170,'Data shares'!$C:$FA,81)</f>
        <v>2.24E-2</v>
      </c>
    </row>
    <row r="171" spans="1:15" x14ac:dyDescent="0.25">
      <c r="A171" s="100" t="str">
        <f>'Data Vlaue (Cr)'!C166</f>
        <v>PNB</v>
      </c>
      <c r="B171" s="82">
        <f>VLOOKUP(A171,'Data shares'!$C$2:$CV$220,98,0)</f>
        <v>424744000</v>
      </c>
      <c r="C171" s="82">
        <f>VLOOKUP(A171,'Data shares'!$C$2:$CX$220,100,0)</f>
        <v>1288000</v>
      </c>
      <c r="D171" s="141">
        <f>VLOOKUP(A171,'Data shares'!$C$2:$CY$543,101,0)</f>
        <v>3.0000000000000001E-3</v>
      </c>
      <c r="E171" s="86">
        <f>VLOOKUP($A171,'Data shares'!$C:$FA,74)</f>
        <v>269480000</v>
      </c>
      <c r="F171" s="86">
        <f>VLOOKUP($A171,'Data shares'!$C:$FA,76)</f>
        <v>-2832000</v>
      </c>
      <c r="G171" s="87">
        <f>VLOOKUP(A171,'Data shares'!$C$2:$CA$220,77,0)</f>
        <v>-1.04E-2</v>
      </c>
      <c r="H171" s="86">
        <f>VLOOKUP($A171,'Data shares'!$C:$FA,90)</f>
        <v>82656000</v>
      </c>
      <c r="I171" s="86">
        <f>VLOOKUP($A171,'Data shares'!$C:$FA,92)</f>
        <v>2720000</v>
      </c>
      <c r="J171" s="87">
        <f>VLOOKUP($A171,'Data shares'!$C:$FA,93)</f>
        <v>3.4000000000000002E-2</v>
      </c>
      <c r="K171" s="86">
        <f>VLOOKUP($A171,'Data shares'!$C:$FA,94)</f>
        <v>72608000</v>
      </c>
      <c r="L171" s="86">
        <f>VLOOKUP($A171,'Data shares'!$C:$FA,96)</f>
        <v>1400000</v>
      </c>
      <c r="M171" s="87">
        <f>VLOOKUP($A171,'Data shares'!$C:$FA,97)</f>
        <v>1.9699999999999999E-2</v>
      </c>
      <c r="N171" s="86">
        <f>VLOOKUP($A171,'Data shares'!$C:$FA,78)</f>
        <v>232440000</v>
      </c>
      <c r="O171" s="87">
        <f>VLOOKUP($A171,'Data shares'!$C:$FA,81)</f>
        <v>-2.52E-2</v>
      </c>
    </row>
    <row r="172" spans="1:15" x14ac:dyDescent="0.25">
      <c r="A172" s="100" t="str">
        <f>'Data Vlaue (Cr)'!C167</f>
        <v>PNBHOUSING</v>
      </c>
      <c r="B172" s="82">
        <f>VLOOKUP(A172,'Data shares'!$C$2:$CV$220,98,0)</f>
        <v>18905900</v>
      </c>
      <c r="C172" s="82">
        <f>VLOOKUP(A172,'Data shares'!$C$2:$CX$220,100,0)</f>
        <v>1418950</v>
      </c>
      <c r="D172" s="141">
        <f>VLOOKUP(A172,'Data shares'!$C$2:$CY$543,101,0)</f>
        <v>8.1100000000000005E-2</v>
      </c>
      <c r="E172" s="86">
        <f>VLOOKUP($A172,'Data shares'!$C:$FA,74)</f>
        <v>13779350</v>
      </c>
      <c r="F172" s="86">
        <f>VLOOKUP($A172,'Data shares'!$C:$FA,76)</f>
        <v>319800</v>
      </c>
      <c r="G172" s="87">
        <f>VLOOKUP(A172,'Data shares'!$C$2:$CA$220,77,0)</f>
        <v>2.3800000000000002E-2</v>
      </c>
      <c r="H172" s="86">
        <f>VLOOKUP($A172,'Data shares'!$C:$FA,90)</f>
        <v>2565550</v>
      </c>
      <c r="I172" s="86">
        <f>VLOOKUP($A172,'Data shares'!$C:$FA,92)</f>
        <v>469950</v>
      </c>
      <c r="J172" s="87">
        <f>VLOOKUP($A172,'Data shares'!$C:$FA,93)</f>
        <v>0.2243</v>
      </c>
      <c r="K172" s="86">
        <f>VLOOKUP($A172,'Data shares'!$C:$FA,94)</f>
        <v>2561000</v>
      </c>
      <c r="L172" s="86">
        <f>VLOOKUP($A172,'Data shares'!$C:$FA,96)</f>
        <v>629200</v>
      </c>
      <c r="M172" s="87">
        <f>VLOOKUP($A172,'Data shares'!$C:$FA,97)</f>
        <v>0.32569999999999999</v>
      </c>
      <c r="N172" s="86">
        <f>VLOOKUP($A172,'Data shares'!$C:$FA,78)</f>
        <v>13418600</v>
      </c>
      <c r="O172" s="87">
        <f>VLOOKUP($A172,'Data shares'!$C:$FA,81)</f>
        <v>1.9E-2</v>
      </c>
    </row>
    <row r="173" spans="1:15" x14ac:dyDescent="0.25">
      <c r="A173" s="100" t="str">
        <f>'Data Vlaue (Cr)'!C168</f>
        <v>POLICYBZR</v>
      </c>
      <c r="B173" s="82">
        <f>VLOOKUP(A173,'Data shares'!$C$2:$CV$220,98,0)</f>
        <v>12047700</v>
      </c>
      <c r="C173" s="82">
        <f>VLOOKUP(A173,'Data shares'!$C$2:$CX$220,100,0)</f>
        <v>-325150</v>
      </c>
      <c r="D173" s="141">
        <f>VLOOKUP(A173,'Data shares'!$C$2:$CY$543,101,0)</f>
        <v>-2.63E-2</v>
      </c>
      <c r="E173" s="86">
        <f>VLOOKUP($A173,'Data shares'!$C:$FA,74)</f>
        <v>8051400</v>
      </c>
      <c r="F173" s="86">
        <f>VLOOKUP($A173,'Data shares'!$C:$FA,76)</f>
        <v>-1012900</v>
      </c>
      <c r="G173" s="87">
        <f>VLOOKUP(A173,'Data shares'!$C$2:$CA$220,77,0)</f>
        <v>-0.11169999999999999</v>
      </c>
      <c r="H173" s="86">
        <f>VLOOKUP($A173,'Data shares'!$C:$FA,90)</f>
        <v>2404150</v>
      </c>
      <c r="I173" s="86">
        <f>VLOOKUP($A173,'Data shares'!$C:$FA,92)</f>
        <v>337050</v>
      </c>
      <c r="J173" s="87">
        <f>VLOOKUP($A173,'Data shares'!$C:$FA,93)</f>
        <v>0.16309999999999999</v>
      </c>
      <c r="K173" s="86">
        <f>VLOOKUP($A173,'Data shares'!$C:$FA,94)</f>
        <v>1592150</v>
      </c>
      <c r="L173" s="86">
        <f>VLOOKUP($A173,'Data shares'!$C:$FA,96)</f>
        <v>350700</v>
      </c>
      <c r="M173" s="87">
        <f>VLOOKUP($A173,'Data shares'!$C:$FA,97)</f>
        <v>0.28249999999999997</v>
      </c>
      <c r="N173" s="86">
        <f>VLOOKUP($A173,'Data shares'!$C:$FA,78)</f>
        <v>7896000</v>
      </c>
      <c r="O173" s="87">
        <f>VLOOKUP($A173,'Data shares'!$C:$FA,81)</f>
        <v>-0.1167</v>
      </c>
    </row>
    <row r="174" spans="1:15" x14ac:dyDescent="0.25">
      <c r="A174" s="100" t="str">
        <f>'Data Vlaue (Cr)'!C169</f>
        <v>POLYCAB</v>
      </c>
      <c r="B174" s="82">
        <f>VLOOKUP(A174,'Data shares'!$C$2:$CV$220,98,0)</f>
        <v>4457125</v>
      </c>
      <c r="C174" s="82">
        <f>VLOOKUP(A174,'Data shares'!$C$2:$CX$220,100,0)</f>
        <v>322625</v>
      </c>
      <c r="D174" s="141">
        <f>VLOOKUP(A174,'Data shares'!$C$2:$CY$543,101,0)</f>
        <v>7.8E-2</v>
      </c>
      <c r="E174" s="86">
        <f>VLOOKUP($A174,'Data shares'!$C:$FA,74)</f>
        <v>1866750</v>
      </c>
      <c r="F174" s="86">
        <f>VLOOKUP($A174,'Data shares'!$C:$FA,76)</f>
        <v>-83500</v>
      </c>
      <c r="G174" s="87">
        <f>VLOOKUP(A174,'Data shares'!$C$2:$CA$220,77,0)</f>
        <v>-4.2799999999999998E-2</v>
      </c>
      <c r="H174" s="86">
        <f>VLOOKUP($A174,'Data shares'!$C:$FA,90)</f>
        <v>1155125</v>
      </c>
      <c r="I174" s="86">
        <f>VLOOKUP($A174,'Data shares'!$C:$FA,92)</f>
        <v>241250</v>
      </c>
      <c r="J174" s="87">
        <f>VLOOKUP($A174,'Data shares'!$C:$FA,93)</f>
        <v>0.26400000000000001</v>
      </c>
      <c r="K174" s="86">
        <f>VLOOKUP($A174,'Data shares'!$C:$FA,94)</f>
        <v>1435250</v>
      </c>
      <c r="L174" s="86">
        <f>VLOOKUP($A174,'Data shares'!$C:$FA,96)</f>
        <v>164875</v>
      </c>
      <c r="M174" s="87">
        <f>VLOOKUP($A174,'Data shares'!$C:$FA,97)</f>
        <v>0.1298</v>
      </c>
      <c r="N174" s="86">
        <f>VLOOKUP($A174,'Data shares'!$C:$FA,78)</f>
        <v>1766625</v>
      </c>
      <c r="O174" s="87">
        <f>VLOOKUP($A174,'Data shares'!$C:$FA,81)</f>
        <v>-5.2999999999999999E-2</v>
      </c>
    </row>
    <row r="175" spans="1:15" x14ac:dyDescent="0.25">
      <c r="A175" s="100" t="str">
        <f>'Data Vlaue (Cr)'!C170</f>
        <v>POWERGRID</v>
      </c>
      <c r="B175" s="82">
        <f>VLOOKUP(A175,'Data shares'!$C$2:$CV$220,98,0)</f>
        <v>140269400</v>
      </c>
      <c r="C175" s="82">
        <f>VLOOKUP(A175,'Data shares'!$C$2:$CX$220,100,0)</f>
        <v>942400</v>
      </c>
      <c r="D175" s="141">
        <f>VLOOKUP(A175,'Data shares'!$C$2:$CY$543,101,0)</f>
        <v>6.7999999999999996E-3</v>
      </c>
      <c r="E175" s="86">
        <f>VLOOKUP($A175,'Data shares'!$C:$FA,74)</f>
        <v>79214800</v>
      </c>
      <c r="F175" s="86">
        <f>VLOOKUP($A175,'Data shares'!$C:$FA,76)</f>
        <v>-611800</v>
      </c>
      <c r="G175" s="87">
        <f>VLOOKUP(A175,'Data shares'!$C$2:$CA$220,77,0)</f>
        <v>-7.7000000000000002E-3</v>
      </c>
      <c r="H175" s="86">
        <f>VLOOKUP($A175,'Data shares'!$C:$FA,90)</f>
        <v>37433800</v>
      </c>
      <c r="I175" s="86">
        <f>VLOOKUP($A175,'Data shares'!$C:$FA,92)</f>
        <v>-2240100</v>
      </c>
      <c r="J175" s="87">
        <f>VLOOKUP($A175,'Data shares'!$C:$FA,93)</f>
        <v>-5.6500000000000002E-2</v>
      </c>
      <c r="K175" s="86">
        <f>VLOOKUP($A175,'Data shares'!$C:$FA,94)</f>
        <v>23620800</v>
      </c>
      <c r="L175" s="86">
        <f>VLOOKUP($A175,'Data shares'!$C:$FA,96)</f>
        <v>3794300</v>
      </c>
      <c r="M175" s="87">
        <f>VLOOKUP($A175,'Data shares'!$C:$FA,97)</f>
        <v>0.19139999999999999</v>
      </c>
      <c r="N175" s="86">
        <f>VLOOKUP($A175,'Data shares'!$C:$FA,78)</f>
        <v>70529900</v>
      </c>
      <c r="O175" s="87">
        <f>VLOOKUP($A175,'Data shares'!$C:$FA,81)</f>
        <v>-1.37E-2</v>
      </c>
    </row>
    <row r="176" spans="1:15" x14ac:dyDescent="0.25">
      <c r="A176" s="100" t="str">
        <f>'Data Vlaue (Cr)'!C171</f>
        <v>POWERINDIA</v>
      </c>
      <c r="B176" s="82">
        <f>VLOOKUP(A176,'Data shares'!$C$2:$CV$220,98,0)</f>
        <v>902600</v>
      </c>
      <c r="C176" s="82">
        <f>VLOOKUP(A176,'Data shares'!$C$2:$CX$220,100,0)</f>
        <v>13100</v>
      </c>
      <c r="D176" s="141">
        <f>VLOOKUP(A176,'Data shares'!$C$2:$CY$543,101,0)</f>
        <v>1.47E-2</v>
      </c>
      <c r="E176" s="86">
        <f>VLOOKUP($A176,'Data shares'!$C:$FA,74)</f>
        <v>388950</v>
      </c>
      <c r="F176" s="86">
        <f>VLOOKUP($A176,'Data shares'!$C:$FA,76)</f>
        <v>-1950</v>
      </c>
      <c r="G176" s="87">
        <f>VLOOKUP(A176,'Data shares'!$C$2:$CA$220,77,0)</f>
        <v>-5.0000000000000001E-3</v>
      </c>
      <c r="H176" s="86">
        <f>VLOOKUP($A176,'Data shares'!$C:$FA,90)</f>
        <v>250250</v>
      </c>
      <c r="I176" s="86">
        <f>VLOOKUP($A176,'Data shares'!$C:$FA,92)</f>
        <v>-19150</v>
      </c>
      <c r="J176" s="87">
        <f>VLOOKUP($A176,'Data shares'!$C:$FA,93)</f>
        <v>-7.1099999999999997E-2</v>
      </c>
      <c r="K176" s="86">
        <f>VLOOKUP($A176,'Data shares'!$C:$FA,94)</f>
        <v>263400</v>
      </c>
      <c r="L176" s="86">
        <f>VLOOKUP($A176,'Data shares'!$C:$FA,96)</f>
        <v>34200</v>
      </c>
      <c r="M176" s="87">
        <f>VLOOKUP($A176,'Data shares'!$C:$FA,97)</f>
        <v>0.1492</v>
      </c>
      <c r="N176" s="86">
        <f>VLOOKUP($A176,'Data shares'!$C:$FA,78)</f>
        <v>362850</v>
      </c>
      <c r="O176" s="87">
        <f>VLOOKUP($A176,'Data shares'!$C:$FA,81)</f>
        <v>-5.1000000000000004E-3</v>
      </c>
    </row>
    <row r="177" spans="1:15" x14ac:dyDescent="0.25">
      <c r="A177" s="100" t="str">
        <f>'Data Vlaue (Cr)'!C172</f>
        <v>PPLPHARMA</v>
      </c>
      <c r="B177" s="82">
        <f>VLOOKUP(A177,'Data shares'!$C$2:$CV$220,98,0)</f>
        <v>20690250</v>
      </c>
      <c r="C177" s="82">
        <f>VLOOKUP(A177,'Data shares'!$C$2:$CX$220,100,0)</f>
        <v>-97125</v>
      </c>
      <c r="D177" s="141">
        <f>VLOOKUP(A177,'Data shares'!$C$2:$CY$543,101,0)</f>
        <v>-4.7000000000000002E-3</v>
      </c>
      <c r="E177" s="86">
        <f>VLOOKUP($A177,'Data shares'!$C:$FA,74)</f>
        <v>11844000</v>
      </c>
      <c r="F177" s="86">
        <f>VLOOKUP($A177,'Data shares'!$C:$FA,76)</f>
        <v>91875</v>
      </c>
      <c r="G177" s="87">
        <f>VLOOKUP(A177,'Data shares'!$C$2:$CA$220,77,0)</f>
        <v>7.7999999999999996E-3</v>
      </c>
      <c r="H177" s="86">
        <f>VLOOKUP($A177,'Data shares'!$C:$FA,90)</f>
        <v>5525625</v>
      </c>
      <c r="I177" s="86">
        <f>VLOOKUP($A177,'Data shares'!$C:$FA,92)</f>
        <v>-186375</v>
      </c>
      <c r="J177" s="87">
        <f>VLOOKUP($A177,'Data shares'!$C:$FA,93)</f>
        <v>-3.2599999999999997E-2</v>
      </c>
      <c r="K177" s="86">
        <f>VLOOKUP($A177,'Data shares'!$C:$FA,94)</f>
        <v>3320625</v>
      </c>
      <c r="L177" s="86">
        <f>VLOOKUP($A177,'Data shares'!$C:$FA,96)</f>
        <v>-2625</v>
      </c>
      <c r="M177" s="87">
        <f>VLOOKUP($A177,'Data shares'!$C:$FA,97)</f>
        <v>-8.0000000000000004E-4</v>
      </c>
      <c r="N177" s="86">
        <f>VLOOKUP($A177,'Data shares'!$C:$FA,78)</f>
        <v>11844000</v>
      </c>
      <c r="O177" s="87">
        <f>VLOOKUP($A177,'Data shares'!$C:$FA,81)</f>
        <v>7.7999999999999996E-3</v>
      </c>
    </row>
    <row r="178" spans="1:15" x14ac:dyDescent="0.25">
      <c r="A178" s="100" t="str">
        <f>'Data Vlaue (Cr)'!C173</f>
        <v>PREMIERENE</v>
      </c>
      <c r="B178" s="82">
        <f>VLOOKUP(A178,'Data shares'!$C$2:$CV$220,98,0)</f>
        <v>17182725</v>
      </c>
      <c r="C178" s="82">
        <f>VLOOKUP(A178,'Data shares'!$C$2:$CX$220,100,0)</f>
        <v>2416725</v>
      </c>
      <c r="D178" s="141">
        <f>VLOOKUP(A178,'Data shares'!$C$2:$CY$543,101,0)</f>
        <v>0.16370000000000001</v>
      </c>
      <c r="E178" s="86">
        <f>VLOOKUP($A178,'Data shares'!$C:$FA,74)</f>
        <v>13171525</v>
      </c>
      <c r="F178" s="86">
        <f>VLOOKUP($A178,'Data shares'!$C:$FA,76)</f>
        <v>2230425</v>
      </c>
      <c r="G178" s="87">
        <f>VLOOKUP(A178,'Data shares'!$C$2:$CA$220,77,0)</f>
        <v>0.2039</v>
      </c>
      <c r="H178" s="86">
        <f>VLOOKUP($A178,'Data shares'!$C:$FA,90)</f>
        <v>2212025</v>
      </c>
      <c r="I178" s="86">
        <f>VLOOKUP($A178,'Data shares'!$C:$FA,92)</f>
        <v>112700</v>
      </c>
      <c r="J178" s="87">
        <f>VLOOKUP($A178,'Data shares'!$C:$FA,93)</f>
        <v>5.3699999999999998E-2</v>
      </c>
      <c r="K178" s="86">
        <f>VLOOKUP($A178,'Data shares'!$C:$FA,94)</f>
        <v>1799175</v>
      </c>
      <c r="L178" s="86">
        <f>VLOOKUP($A178,'Data shares'!$C:$FA,96)</f>
        <v>73600</v>
      </c>
      <c r="M178" s="87">
        <f>VLOOKUP($A178,'Data shares'!$C:$FA,97)</f>
        <v>4.2700000000000002E-2</v>
      </c>
      <c r="N178" s="86">
        <f>VLOOKUP($A178,'Data shares'!$C:$FA,78)</f>
        <v>11199850</v>
      </c>
      <c r="O178" s="87">
        <f>VLOOKUP($A178,'Data shares'!$C:$FA,81)</f>
        <v>0.1273</v>
      </c>
    </row>
    <row r="179" spans="1:15" x14ac:dyDescent="0.25">
      <c r="A179" s="100" t="str">
        <f>'Data Vlaue (Cr)'!C174</f>
        <v>PRESTIGE</v>
      </c>
      <c r="B179" s="82">
        <f>VLOOKUP(A179,'Data shares'!$C$2:$CV$220,98,0)</f>
        <v>10787850</v>
      </c>
      <c r="C179" s="82">
        <f>VLOOKUP(A179,'Data shares'!$C$2:$CX$220,100,0)</f>
        <v>-146250</v>
      </c>
      <c r="D179" s="141">
        <f>VLOOKUP(A179,'Data shares'!$C$2:$CY$543,101,0)</f>
        <v>-1.34E-2</v>
      </c>
      <c r="E179" s="86">
        <f>VLOOKUP($A179,'Data shares'!$C:$FA,74)</f>
        <v>6934500</v>
      </c>
      <c r="F179" s="86">
        <f>VLOOKUP($A179,'Data shares'!$C:$FA,76)</f>
        <v>-93150</v>
      </c>
      <c r="G179" s="87">
        <f>VLOOKUP(A179,'Data shares'!$C$2:$CA$220,77,0)</f>
        <v>-1.3299999999999999E-2</v>
      </c>
      <c r="H179" s="86">
        <f>VLOOKUP($A179,'Data shares'!$C:$FA,90)</f>
        <v>2209050</v>
      </c>
      <c r="I179" s="86">
        <f>VLOOKUP($A179,'Data shares'!$C:$FA,92)</f>
        <v>-117900</v>
      </c>
      <c r="J179" s="87">
        <f>VLOOKUP($A179,'Data shares'!$C:$FA,93)</f>
        <v>-5.0700000000000002E-2</v>
      </c>
      <c r="K179" s="86">
        <f>VLOOKUP($A179,'Data shares'!$C:$FA,94)</f>
        <v>1644300</v>
      </c>
      <c r="L179" s="86">
        <f>VLOOKUP($A179,'Data shares'!$C:$FA,96)</f>
        <v>64800</v>
      </c>
      <c r="M179" s="87">
        <f>VLOOKUP($A179,'Data shares'!$C:$FA,97)</f>
        <v>4.1000000000000002E-2</v>
      </c>
      <c r="N179" s="86">
        <f>VLOOKUP($A179,'Data shares'!$C:$FA,78)</f>
        <v>6848100</v>
      </c>
      <c r="O179" s="87">
        <f>VLOOKUP($A179,'Data shares'!$C:$FA,81)</f>
        <v>-1.2999999999999999E-2</v>
      </c>
    </row>
    <row r="180" spans="1:15" x14ac:dyDescent="0.25">
      <c r="A180" s="100" t="str">
        <f>'Data Vlaue (Cr)'!C175</f>
        <v>RBLBANK</v>
      </c>
      <c r="B180" s="82">
        <f>VLOOKUP(A180,'Data shares'!$C$2:$CV$220,98,0)</f>
        <v>119948325</v>
      </c>
      <c r="C180" s="82">
        <f>VLOOKUP(A180,'Data shares'!$C$2:$CX$220,100,0)</f>
        <v>-241300</v>
      </c>
      <c r="D180" s="141">
        <f>VLOOKUP(A180,'Data shares'!$C$2:$CY$543,101,0)</f>
        <v>-2E-3</v>
      </c>
      <c r="E180" s="86">
        <f>VLOOKUP($A180,'Data shares'!$C:$FA,74)</f>
        <v>61518800</v>
      </c>
      <c r="F180" s="86">
        <f>VLOOKUP($A180,'Data shares'!$C:$FA,76)</f>
        <v>-311150</v>
      </c>
      <c r="G180" s="87">
        <f>VLOOKUP(A180,'Data shares'!$C$2:$CA$220,77,0)</f>
        <v>-5.0000000000000001E-3</v>
      </c>
      <c r="H180" s="86">
        <f>VLOOKUP($A180,'Data shares'!$C:$FA,90)</f>
        <v>30740350</v>
      </c>
      <c r="I180" s="86">
        <f>VLOOKUP($A180,'Data shares'!$C:$FA,92)</f>
        <v>-365125</v>
      </c>
      <c r="J180" s="87">
        <f>VLOOKUP($A180,'Data shares'!$C:$FA,93)</f>
        <v>-1.17E-2</v>
      </c>
      <c r="K180" s="86">
        <f>VLOOKUP($A180,'Data shares'!$C:$FA,94)</f>
        <v>27689175</v>
      </c>
      <c r="L180" s="86">
        <f>VLOOKUP($A180,'Data shares'!$C:$FA,96)</f>
        <v>434975</v>
      </c>
      <c r="M180" s="87">
        <f>VLOOKUP($A180,'Data shares'!$C:$FA,97)</f>
        <v>1.6E-2</v>
      </c>
      <c r="N180" s="86">
        <f>VLOOKUP($A180,'Data shares'!$C:$FA,78)</f>
        <v>60182125</v>
      </c>
      <c r="O180" s="87">
        <f>VLOOKUP($A180,'Data shares'!$C:$FA,81)</f>
        <v>-8.3999999999999995E-3</v>
      </c>
    </row>
    <row r="181" spans="1:15" x14ac:dyDescent="0.25">
      <c r="A181" s="100" t="str">
        <f>'Data Vlaue (Cr)'!C176</f>
        <v>RECLTD</v>
      </c>
      <c r="B181" s="82">
        <f>VLOOKUP(A181,'Data shares'!$C$2:$CV$220,98,0)</f>
        <v>119600600</v>
      </c>
      <c r="C181" s="82">
        <f>VLOOKUP(A181,'Data shares'!$C$2:$CX$220,100,0)</f>
        <v>-177800</v>
      </c>
      <c r="D181" s="141">
        <f>VLOOKUP(A181,'Data shares'!$C$2:$CY$543,101,0)</f>
        <v>-1.5E-3</v>
      </c>
      <c r="E181" s="86">
        <f>VLOOKUP($A181,'Data shares'!$C:$FA,74)</f>
        <v>67349800</v>
      </c>
      <c r="F181" s="86">
        <f>VLOOKUP($A181,'Data shares'!$C:$FA,76)</f>
        <v>105000</v>
      </c>
      <c r="G181" s="87">
        <f>VLOOKUP(A181,'Data shares'!$C$2:$CA$220,77,0)</f>
        <v>1.6000000000000001E-3</v>
      </c>
      <c r="H181" s="86">
        <f>VLOOKUP($A181,'Data shares'!$C:$FA,90)</f>
        <v>27228600</v>
      </c>
      <c r="I181" s="86">
        <f>VLOOKUP($A181,'Data shares'!$C:$FA,92)</f>
        <v>-1485400</v>
      </c>
      <c r="J181" s="87">
        <f>VLOOKUP($A181,'Data shares'!$C:$FA,93)</f>
        <v>-5.1700000000000003E-2</v>
      </c>
      <c r="K181" s="86">
        <f>VLOOKUP($A181,'Data shares'!$C:$FA,94)</f>
        <v>25022200</v>
      </c>
      <c r="L181" s="86">
        <f>VLOOKUP($A181,'Data shares'!$C:$FA,96)</f>
        <v>1202600</v>
      </c>
      <c r="M181" s="87">
        <f>VLOOKUP($A181,'Data shares'!$C:$FA,97)</f>
        <v>5.0500000000000003E-2</v>
      </c>
      <c r="N181" s="86">
        <f>VLOOKUP($A181,'Data shares'!$C:$FA,78)</f>
        <v>58644600</v>
      </c>
      <c r="O181" s="87">
        <f>VLOOKUP($A181,'Data shares'!$C:$FA,81)</f>
        <v>-3.5099999999999999E-2</v>
      </c>
    </row>
    <row r="182" spans="1:15" x14ac:dyDescent="0.25">
      <c r="A182" s="100" t="str">
        <f>'Data Vlaue (Cr)'!C177</f>
        <v>RELIANCE</v>
      </c>
      <c r="B182" s="82">
        <f>VLOOKUP(A182,'Data shares'!$C$2:$CV$220,98,0)</f>
        <v>214571500</v>
      </c>
      <c r="C182" s="82">
        <f>VLOOKUP(A182,'Data shares'!$C$2:$CX$220,100,0)</f>
        <v>-3497500</v>
      </c>
      <c r="D182" s="141">
        <f>VLOOKUP(A182,'Data shares'!$C$2:$CY$543,101,0)</f>
        <v>-1.6E-2</v>
      </c>
      <c r="E182" s="86">
        <f>VLOOKUP($A182,'Data shares'!$C:$FA,74)</f>
        <v>96256500</v>
      </c>
      <c r="F182" s="86">
        <f>VLOOKUP($A182,'Data shares'!$C:$FA,76)</f>
        <v>-1500</v>
      </c>
      <c r="G182" s="87">
        <f>VLOOKUP(A182,'Data shares'!$C$2:$CA$220,77,0)</f>
        <v>0</v>
      </c>
      <c r="H182" s="86">
        <f>VLOOKUP($A182,'Data shares'!$C:$FA,90)</f>
        <v>79750000</v>
      </c>
      <c r="I182" s="86">
        <f>VLOOKUP($A182,'Data shares'!$C:$FA,92)</f>
        <v>-4104500</v>
      </c>
      <c r="J182" s="87">
        <f>VLOOKUP($A182,'Data shares'!$C:$FA,93)</f>
        <v>-4.8899999999999999E-2</v>
      </c>
      <c r="K182" s="86">
        <f>VLOOKUP($A182,'Data shares'!$C:$FA,94)</f>
        <v>38565000</v>
      </c>
      <c r="L182" s="86">
        <f>VLOOKUP($A182,'Data shares'!$C:$FA,96)</f>
        <v>608500</v>
      </c>
      <c r="M182" s="87">
        <f>VLOOKUP($A182,'Data shares'!$C:$FA,97)</f>
        <v>1.6E-2</v>
      </c>
      <c r="N182" s="86">
        <f>VLOOKUP($A182,'Data shares'!$C:$FA,78)</f>
        <v>76190500</v>
      </c>
      <c r="O182" s="87">
        <f>VLOOKUP($A182,'Data shares'!$C:$FA,81)</f>
        <v>-1.2200000000000001E-2</v>
      </c>
    </row>
    <row r="183" spans="1:15" x14ac:dyDescent="0.25">
      <c r="A183" s="100" t="str">
        <f>'Data Vlaue (Cr)'!C178</f>
        <v>RVNL</v>
      </c>
      <c r="B183" s="82">
        <f>VLOOKUP(A183,'Data shares'!$C$2:$CV$220,98,0)</f>
        <v>106646300</v>
      </c>
      <c r="C183" s="82">
        <f>VLOOKUP(A183,'Data shares'!$C$2:$CX$220,100,0)</f>
        <v>15065475</v>
      </c>
      <c r="D183" s="141">
        <f>VLOOKUP(A183,'Data shares'!$C$2:$CY$543,101,0)</f>
        <v>0.16450000000000001</v>
      </c>
      <c r="E183" s="86">
        <f>VLOOKUP($A183,'Data shares'!$C:$FA,74)</f>
        <v>65759525</v>
      </c>
      <c r="F183" s="86">
        <f>VLOOKUP($A183,'Data shares'!$C:$FA,76)</f>
        <v>6600200</v>
      </c>
      <c r="G183" s="87">
        <f>VLOOKUP(A183,'Data shares'!$C$2:$CA$220,77,0)</f>
        <v>0.1116</v>
      </c>
      <c r="H183" s="86">
        <f>VLOOKUP($A183,'Data shares'!$C:$FA,90)</f>
        <v>24621125</v>
      </c>
      <c r="I183" s="86">
        <f>VLOOKUP($A183,'Data shares'!$C:$FA,92)</f>
        <v>5752300</v>
      </c>
      <c r="J183" s="87">
        <f>VLOOKUP($A183,'Data shares'!$C:$FA,93)</f>
        <v>0.3049</v>
      </c>
      <c r="K183" s="86">
        <f>VLOOKUP($A183,'Data shares'!$C:$FA,94)</f>
        <v>16265650</v>
      </c>
      <c r="L183" s="86">
        <f>VLOOKUP($A183,'Data shares'!$C:$FA,96)</f>
        <v>2712975</v>
      </c>
      <c r="M183" s="87">
        <f>VLOOKUP($A183,'Data shares'!$C:$FA,97)</f>
        <v>0.20019999999999999</v>
      </c>
      <c r="N183" s="86">
        <f>VLOOKUP($A183,'Data shares'!$C:$FA,78)</f>
        <v>49888850</v>
      </c>
      <c r="O183" s="87">
        <f>VLOOKUP($A183,'Data shares'!$C:$FA,81)</f>
        <v>7.9399999999999998E-2</v>
      </c>
    </row>
    <row r="184" spans="1:15" x14ac:dyDescent="0.25">
      <c r="A184" s="100" t="str">
        <f>'Data Vlaue (Cr)'!C179</f>
        <v>SAIL</v>
      </c>
      <c r="B184" s="82">
        <f>VLOOKUP(A184,'Data shares'!$C$2:$CV$220,98,0)</f>
        <v>219584000</v>
      </c>
      <c r="C184" s="82">
        <f>VLOOKUP(A184,'Data shares'!$C$2:$CX$220,100,0)</f>
        <v>-2030400</v>
      </c>
      <c r="D184" s="141">
        <f>VLOOKUP(A184,'Data shares'!$C$2:$CY$543,101,0)</f>
        <v>-9.1999999999999998E-3</v>
      </c>
      <c r="E184" s="86">
        <f>VLOOKUP($A184,'Data shares'!$C:$FA,74)</f>
        <v>201042500</v>
      </c>
      <c r="F184" s="86">
        <f>VLOOKUP($A184,'Data shares'!$C:$FA,76)</f>
        <v>-1673200</v>
      </c>
      <c r="G184" s="87">
        <f>VLOOKUP(A184,'Data shares'!$C$2:$CA$220,77,0)</f>
        <v>-8.3000000000000001E-3</v>
      </c>
      <c r="H184" s="86">
        <f>VLOOKUP($A184,'Data shares'!$C:$FA,90)</f>
        <v>10631400</v>
      </c>
      <c r="I184" s="86">
        <f>VLOOKUP($A184,'Data shares'!$C:$FA,92)</f>
        <v>-211500</v>
      </c>
      <c r="J184" s="87">
        <f>VLOOKUP($A184,'Data shares'!$C:$FA,93)</f>
        <v>-1.95E-2</v>
      </c>
      <c r="K184" s="86">
        <f>VLOOKUP($A184,'Data shares'!$C:$FA,94)</f>
        <v>7910100</v>
      </c>
      <c r="L184" s="86">
        <f>VLOOKUP($A184,'Data shares'!$C:$FA,96)</f>
        <v>-145700</v>
      </c>
      <c r="M184" s="87">
        <f>VLOOKUP($A184,'Data shares'!$C:$FA,97)</f>
        <v>-1.8100000000000002E-2</v>
      </c>
      <c r="N184" s="86">
        <f>VLOOKUP($A184,'Data shares'!$C:$FA,78)</f>
        <v>165106300</v>
      </c>
      <c r="O184" s="87">
        <f>VLOOKUP($A184,'Data shares'!$C:$FA,81)</f>
        <v>-7.7999999999999996E-3</v>
      </c>
    </row>
    <row r="185" spans="1:15" x14ac:dyDescent="0.25">
      <c r="A185" s="100" t="str">
        <f>'Data Vlaue (Cr)'!C180</f>
        <v>SAMMAANCAP</v>
      </c>
      <c r="B185" s="82">
        <f>VLOOKUP(A185,'Data shares'!$C$2:$CV$220,98,0)</f>
        <v>134783500</v>
      </c>
      <c r="C185" s="82">
        <f>VLOOKUP(A185,'Data shares'!$C$2:$CX$220,100,0)</f>
        <v>-1724300</v>
      </c>
      <c r="D185" s="141">
        <f>VLOOKUP(A185,'Data shares'!$C$2:$CY$543,101,0)</f>
        <v>-1.26E-2</v>
      </c>
      <c r="E185" s="86">
        <f>VLOOKUP($A185,'Data shares'!$C:$FA,74)</f>
        <v>98371100</v>
      </c>
      <c r="F185" s="86">
        <f>VLOOKUP($A185,'Data shares'!$C:$FA,76)</f>
        <v>-1539400</v>
      </c>
      <c r="G185" s="87">
        <f>VLOOKUP(A185,'Data shares'!$C$2:$CA$220,77,0)</f>
        <v>-1.54E-2</v>
      </c>
      <c r="H185" s="86">
        <f>VLOOKUP($A185,'Data shares'!$C:$FA,90)</f>
        <v>17505300</v>
      </c>
      <c r="I185" s="86">
        <f>VLOOKUP($A185,'Data shares'!$C:$FA,92)</f>
        <v>-47300</v>
      </c>
      <c r="J185" s="87">
        <f>VLOOKUP($A185,'Data shares'!$C:$FA,93)</f>
        <v>-2.7000000000000001E-3</v>
      </c>
      <c r="K185" s="86">
        <f>VLOOKUP($A185,'Data shares'!$C:$FA,94)</f>
        <v>18907100</v>
      </c>
      <c r="L185" s="86">
        <f>VLOOKUP($A185,'Data shares'!$C:$FA,96)</f>
        <v>-137600</v>
      </c>
      <c r="M185" s="87">
        <f>VLOOKUP($A185,'Data shares'!$C:$FA,97)</f>
        <v>-7.1999999999999998E-3</v>
      </c>
      <c r="N185" s="86">
        <f>VLOOKUP($A185,'Data shares'!$C:$FA,78)</f>
        <v>94290400</v>
      </c>
      <c r="O185" s="87">
        <f>VLOOKUP($A185,'Data shares'!$C:$FA,81)</f>
        <v>-1.54E-2</v>
      </c>
    </row>
    <row r="186" spans="1:15" x14ac:dyDescent="0.25">
      <c r="A186" s="100" t="str">
        <f>'Data Vlaue (Cr)'!C181</f>
        <v>SBICARD</v>
      </c>
      <c r="B186" s="82">
        <f>VLOOKUP(A186,'Data shares'!$C$2:$CV$220,98,0)</f>
        <v>41009600</v>
      </c>
      <c r="C186" s="82">
        <f>VLOOKUP(A186,'Data shares'!$C$2:$CX$220,100,0)</f>
        <v>1480000</v>
      </c>
      <c r="D186" s="141">
        <f>VLOOKUP(A186,'Data shares'!$C$2:$CY$543,101,0)</f>
        <v>3.7400000000000003E-2</v>
      </c>
      <c r="E186" s="86">
        <f>VLOOKUP($A186,'Data shares'!$C:$FA,74)</f>
        <v>27661600</v>
      </c>
      <c r="F186" s="86">
        <f>VLOOKUP($A186,'Data shares'!$C:$FA,76)</f>
        <v>928000</v>
      </c>
      <c r="G186" s="87">
        <f>VLOOKUP(A186,'Data shares'!$C$2:$CA$220,77,0)</f>
        <v>3.4700000000000002E-2</v>
      </c>
      <c r="H186" s="86">
        <f>VLOOKUP($A186,'Data shares'!$C:$FA,90)</f>
        <v>7652800</v>
      </c>
      <c r="I186" s="86">
        <f>VLOOKUP($A186,'Data shares'!$C:$FA,92)</f>
        <v>521600</v>
      </c>
      <c r="J186" s="87">
        <f>VLOOKUP($A186,'Data shares'!$C:$FA,93)</f>
        <v>7.3099999999999998E-2</v>
      </c>
      <c r="K186" s="86">
        <f>VLOOKUP($A186,'Data shares'!$C:$FA,94)</f>
        <v>5695200</v>
      </c>
      <c r="L186" s="86">
        <f>VLOOKUP($A186,'Data shares'!$C:$FA,96)</f>
        <v>30400</v>
      </c>
      <c r="M186" s="87">
        <f>VLOOKUP($A186,'Data shares'!$C:$FA,97)</f>
        <v>5.4000000000000003E-3</v>
      </c>
      <c r="N186" s="86">
        <f>VLOOKUP($A186,'Data shares'!$C:$FA,78)</f>
        <v>23277600</v>
      </c>
      <c r="O186" s="87">
        <f>VLOOKUP($A186,'Data shares'!$C:$FA,81)</f>
        <v>1.32E-2</v>
      </c>
    </row>
    <row r="187" spans="1:15" x14ac:dyDescent="0.25">
      <c r="A187" s="100" t="str">
        <f>'Data Vlaue (Cr)'!C182</f>
        <v>SBILIFE</v>
      </c>
      <c r="B187" s="82">
        <f>VLOOKUP(A187,'Data shares'!$C$2:$CV$220,98,0)</f>
        <v>16536375</v>
      </c>
      <c r="C187" s="82">
        <f>VLOOKUP(A187,'Data shares'!$C$2:$CX$220,100,0)</f>
        <v>924750</v>
      </c>
      <c r="D187" s="141">
        <f>VLOOKUP(A187,'Data shares'!$C$2:$CY$543,101,0)</f>
        <v>5.9200000000000003E-2</v>
      </c>
      <c r="E187" s="86">
        <f>VLOOKUP($A187,'Data shares'!$C:$FA,74)</f>
        <v>10581000</v>
      </c>
      <c r="F187" s="86">
        <f>VLOOKUP($A187,'Data shares'!$C:$FA,76)</f>
        <v>-57000</v>
      </c>
      <c r="G187" s="87">
        <f>VLOOKUP(A187,'Data shares'!$C$2:$CA$220,77,0)</f>
        <v>-5.4000000000000003E-3</v>
      </c>
      <c r="H187" s="86">
        <f>VLOOKUP($A187,'Data shares'!$C:$FA,90)</f>
        <v>3708375</v>
      </c>
      <c r="I187" s="86">
        <f>VLOOKUP($A187,'Data shares'!$C:$FA,92)</f>
        <v>760125</v>
      </c>
      <c r="J187" s="87">
        <f>VLOOKUP($A187,'Data shares'!$C:$FA,93)</f>
        <v>0.25779999999999997</v>
      </c>
      <c r="K187" s="86">
        <f>VLOOKUP($A187,'Data shares'!$C:$FA,94)</f>
        <v>2247000</v>
      </c>
      <c r="L187" s="86">
        <f>VLOOKUP($A187,'Data shares'!$C:$FA,96)</f>
        <v>221625</v>
      </c>
      <c r="M187" s="87">
        <f>VLOOKUP($A187,'Data shares'!$C:$FA,97)</f>
        <v>0.1094</v>
      </c>
      <c r="N187" s="86">
        <f>VLOOKUP($A187,'Data shares'!$C:$FA,78)</f>
        <v>9892125</v>
      </c>
      <c r="O187" s="87">
        <f>VLOOKUP($A187,'Data shares'!$C:$FA,81)</f>
        <v>-6.7000000000000002E-3</v>
      </c>
    </row>
    <row r="188" spans="1:15" x14ac:dyDescent="0.25">
      <c r="A188" s="100" t="str">
        <f>'Data Vlaue (Cr)'!C183</f>
        <v>SBIN</v>
      </c>
      <c r="B188" s="82">
        <f>VLOOKUP(A188,'Data shares'!$C$2:$CV$220,98,0)</f>
        <v>161564250</v>
      </c>
      <c r="C188" s="82">
        <f>VLOOKUP(A188,'Data shares'!$C$2:$CX$220,100,0)</f>
        <v>3326250</v>
      </c>
      <c r="D188" s="141">
        <f>VLOOKUP(A188,'Data shares'!$C$2:$CY$543,101,0)</f>
        <v>2.1000000000000001E-2</v>
      </c>
      <c r="E188" s="86">
        <f>VLOOKUP($A188,'Data shares'!$C:$FA,74)</f>
        <v>80589750</v>
      </c>
      <c r="F188" s="86">
        <f>VLOOKUP($A188,'Data shares'!$C:$FA,76)</f>
        <v>1400250</v>
      </c>
      <c r="G188" s="87">
        <f>VLOOKUP(A188,'Data shares'!$C$2:$CA$220,77,0)</f>
        <v>1.77E-2</v>
      </c>
      <c r="H188" s="86">
        <f>VLOOKUP($A188,'Data shares'!$C:$FA,90)</f>
        <v>44845500</v>
      </c>
      <c r="I188" s="86">
        <f>VLOOKUP($A188,'Data shares'!$C:$FA,92)</f>
        <v>-756750</v>
      </c>
      <c r="J188" s="87">
        <f>VLOOKUP($A188,'Data shares'!$C:$FA,93)</f>
        <v>-1.66E-2</v>
      </c>
      <c r="K188" s="86">
        <f>VLOOKUP($A188,'Data shares'!$C:$FA,94)</f>
        <v>36129000</v>
      </c>
      <c r="L188" s="86">
        <f>VLOOKUP($A188,'Data shares'!$C:$FA,96)</f>
        <v>2682750</v>
      </c>
      <c r="M188" s="87">
        <f>VLOOKUP($A188,'Data shares'!$C:$FA,97)</f>
        <v>8.0199999999999994E-2</v>
      </c>
      <c r="N188" s="86">
        <f>VLOOKUP($A188,'Data shares'!$C:$FA,78)</f>
        <v>71784750</v>
      </c>
      <c r="O188" s="87">
        <f>VLOOKUP($A188,'Data shares'!$C:$FA,81)</f>
        <v>0</v>
      </c>
    </row>
    <row r="189" spans="1:15" x14ac:dyDescent="0.25">
      <c r="A189" s="100" t="str">
        <f>'Data Vlaue (Cr)'!C184</f>
        <v>SHREECEM</v>
      </c>
      <c r="B189" s="82">
        <f>VLOOKUP(A189,'Data shares'!$C$2:$CV$220,98,0)</f>
        <v>482900</v>
      </c>
      <c r="C189" s="82">
        <f>VLOOKUP(A189,'Data shares'!$C$2:$CX$220,100,0)</f>
        <v>2925</v>
      </c>
      <c r="D189" s="141">
        <f>VLOOKUP(A189,'Data shares'!$C$2:$CY$543,101,0)</f>
        <v>6.1000000000000004E-3</v>
      </c>
      <c r="E189" s="86">
        <f>VLOOKUP($A189,'Data shares'!$C:$FA,74)</f>
        <v>378800</v>
      </c>
      <c r="F189" s="86">
        <f>VLOOKUP($A189,'Data shares'!$C:$FA,76)</f>
        <v>-750</v>
      </c>
      <c r="G189" s="87">
        <f>VLOOKUP(A189,'Data shares'!$C$2:$CA$220,77,0)</f>
        <v>-2E-3</v>
      </c>
      <c r="H189" s="86">
        <f>VLOOKUP($A189,'Data shares'!$C:$FA,90)</f>
        <v>56275</v>
      </c>
      <c r="I189" s="86">
        <f>VLOOKUP($A189,'Data shares'!$C:$FA,92)</f>
        <v>2125</v>
      </c>
      <c r="J189" s="87">
        <f>VLOOKUP($A189,'Data shares'!$C:$FA,93)</f>
        <v>3.9199999999999999E-2</v>
      </c>
      <c r="K189" s="86">
        <f>VLOOKUP($A189,'Data shares'!$C:$FA,94)</f>
        <v>47825</v>
      </c>
      <c r="L189" s="86">
        <f>VLOOKUP($A189,'Data shares'!$C:$FA,96)</f>
        <v>1550</v>
      </c>
      <c r="M189" s="87">
        <f>VLOOKUP($A189,'Data shares'!$C:$FA,97)</f>
        <v>3.3500000000000002E-2</v>
      </c>
      <c r="N189" s="86">
        <f>VLOOKUP($A189,'Data shares'!$C:$FA,78)</f>
        <v>361850</v>
      </c>
      <c r="O189" s="87">
        <f>VLOOKUP($A189,'Data shares'!$C:$FA,81)</f>
        <v>-7.1000000000000004E-3</v>
      </c>
    </row>
    <row r="190" spans="1:15" x14ac:dyDescent="0.25">
      <c r="A190" s="100" t="str">
        <f>'Data Vlaue (Cr)'!C185</f>
        <v>SHRIRAMFIN</v>
      </c>
      <c r="B190" s="82">
        <f>VLOOKUP(A190,'Data shares'!$C$2:$CV$220,98,0)</f>
        <v>64866450</v>
      </c>
      <c r="C190" s="82">
        <f>VLOOKUP(A190,'Data shares'!$C$2:$CX$220,100,0)</f>
        <v>-1141800</v>
      </c>
      <c r="D190" s="141">
        <f>VLOOKUP(A190,'Data shares'!$C$2:$CY$543,101,0)</f>
        <v>-1.7299999999999999E-2</v>
      </c>
      <c r="E190" s="86">
        <f>VLOOKUP($A190,'Data shares'!$C:$FA,74)</f>
        <v>40702200</v>
      </c>
      <c r="F190" s="86">
        <f>VLOOKUP($A190,'Data shares'!$C:$FA,76)</f>
        <v>-707025</v>
      </c>
      <c r="G190" s="87">
        <f>VLOOKUP(A190,'Data shares'!$C$2:$CA$220,77,0)</f>
        <v>-1.7100000000000001E-2</v>
      </c>
      <c r="H190" s="86">
        <f>VLOOKUP($A190,'Data shares'!$C:$FA,90)</f>
        <v>14006850</v>
      </c>
      <c r="I190" s="86">
        <f>VLOOKUP($A190,'Data shares'!$C:$FA,92)</f>
        <v>-363000</v>
      </c>
      <c r="J190" s="87">
        <f>VLOOKUP($A190,'Data shares'!$C:$FA,93)</f>
        <v>-2.53E-2</v>
      </c>
      <c r="K190" s="86">
        <f>VLOOKUP($A190,'Data shares'!$C:$FA,94)</f>
        <v>10157400</v>
      </c>
      <c r="L190" s="86">
        <f>VLOOKUP($A190,'Data shares'!$C:$FA,96)</f>
        <v>-71775</v>
      </c>
      <c r="M190" s="87">
        <f>VLOOKUP($A190,'Data shares'!$C:$FA,97)</f>
        <v>-7.0000000000000001E-3</v>
      </c>
      <c r="N190" s="86">
        <f>VLOOKUP($A190,'Data shares'!$C:$FA,78)</f>
        <v>35898225</v>
      </c>
      <c r="O190" s="87">
        <f>VLOOKUP($A190,'Data shares'!$C:$FA,81)</f>
        <v>-4.19E-2</v>
      </c>
    </row>
    <row r="191" spans="1:15" x14ac:dyDescent="0.25">
      <c r="A191" s="100" t="str">
        <f>'Data Vlaue (Cr)'!C186</f>
        <v>SIEMENS</v>
      </c>
      <c r="B191" s="82">
        <f>VLOOKUP(A191,'Data shares'!$C$2:$CV$220,98,0)</f>
        <v>6184500</v>
      </c>
      <c r="C191" s="82">
        <f>VLOOKUP(A191,'Data shares'!$C$2:$CX$220,100,0)</f>
        <v>142275</v>
      </c>
      <c r="D191" s="141">
        <f>VLOOKUP(A191,'Data shares'!$C$2:$CY$543,101,0)</f>
        <v>2.35E-2</v>
      </c>
      <c r="E191" s="86">
        <f>VLOOKUP($A191,'Data shares'!$C:$FA,74)</f>
        <v>3456775</v>
      </c>
      <c r="F191" s="86">
        <f>VLOOKUP($A191,'Data shares'!$C:$FA,76)</f>
        <v>-11025</v>
      </c>
      <c r="G191" s="87">
        <f>VLOOKUP(A191,'Data shares'!$C$2:$CA$220,77,0)</f>
        <v>-3.2000000000000002E-3</v>
      </c>
      <c r="H191" s="86">
        <f>VLOOKUP($A191,'Data shares'!$C:$FA,90)</f>
        <v>1396500</v>
      </c>
      <c r="I191" s="86">
        <f>VLOOKUP($A191,'Data shares'!$C:$FA,92)</f>
        <v>-61950</v>
      </c>
      <c r="J191" s="87">
        <f>VLOOKUP($A191,'Data shares'!$C:$FA,93)</f>
        <v>-4.2500000000000003E-2</v>
      </c>
      <c r="K191" s="86">
        <f>VLOOKUP($A191,'Data shares'!$C:$FA,94)</f>
        <v>1331225</v>
      </c>
      <c r="L191" s="86">
        <f>VLOOKUP($A191,'Data shares'!$C:$FA,96)</f>
        <v>215250</v>
      </c>
      <c r="M191" s="87">
        <f>VLOOKUP($A191,'Data shares'!$C:$FA,97)</f>
        <v>0.19289999999999999</v>
      </c>
      <c r="N191" s="86">
        <f>VLOOKUP($A191,'Data shares'!$C:$FA,78)</f>
        <v>3193050</v>
      </c>
      <c r="O191" s="87">
        <f>VLOOKUP($A191,'Data shares'!$C:$FA,81)</f>
        <v>-1.26E-2</v>
      </c>
    </row>
    <row r="192" spans="1:15" x14ac:dyDescent="0.25">
      <c r="A192" s="100" t="str">
        <f>'Data Vlaue (Cr)'!C187</f>
        <v>SOLARINDS</v>
      </c>
      <c r="B192" s="82">
        <f>VLOOKUP(A192,'Data shares'!$C$2:$CV$220,98,0)</f>
        <v>1317150</v>
      </c>
      <c r="C192" s="82">
        <f>VLOOKUP(A192,'Data shares'!$C$2:$CX$220,100,0)</f>
        <v>31500</v>
      </c>
      <c r="D192" s="141">
        <f>VLOOKUP(A192,'Data shares'!$C$2:$CY$543,101,0)</f>
        <v>2.4500000000000001E-2</v>
      </c>
      <c r="E192" s="86">
        <f>VLOOKUP($A192,'Data shares'!$C:$FA,74)</f>
        <v>784300</v>
      </c>
      <c r="F192" s="86">
        <f>VLOOKUP($A192,'Data shares'!$C:$FA,76)</f>
        <v>9300</v>
      </c>
      <c r="G192" s="87">
        <f>VLOOKUP(A192,'Data shares'!$C$2:$CA$220,77,0)</f>
        <v>1.2E-2</v>
      </c>
      <c r="H192" s="86">
        <f>VLOOKUP($A192,'Data shares'!$C:$FA,90)</f>
        <v>302000</v>
      </c>
      <c r="I192" s="86">
        <f>VLOOKUP($A192,'Data shares'!$C:$FA,92)</f>
        <v>9200</v>
      </c>
      <c r="J192" s="87">
        <f>VLOOKUP($A192,'Data shares'!$C:$FA,93)</f>
        <v>3.1399999999999997E-2</v>
      </c>
      <c r="K192" s="86">
        <f>VLOOKUP($A192,'Data shares'!$C:$FA,94)</f>
        <v>230850</v>
      </c>
      <c r="L192" s="86">
        <f>VLOOKUP($A192,'Data shares'!$C:$FA,96)</f>
        <v>13000</v>
      </c>
      <c r="M192" s="87">
        <f>VLOOKUP($A192,'Data shares'!$C:$FA,97)</f>
        <v>5.9700000000000003E-2</v>
      </c>
      <c r="N192" s="86">
        <f>VLOOKUP($A192,'Data shares'!$C:$FA,78)</f>
        <v>658600</v>
      </c>
      <c r="O192" s="87">
        <f>VLOOKUP($A192,'Data shares'!$C:$FA,81)</f>
        <v>-7.4999999999999997E-3</v>
      </c>
    </row>
    <row r="193" spans="1:15" x14ac:dyDescent="0.25">
      <c r="A193" s="100" t="str">
        <f>'Data Vlaue (Cr)'!C188</f>
        <v>SONACOMS</v>
      </c>
      <c r="B193" s="82">
        <f>VLOOKUP(A193,'Data shares'!$C$2:$CV$220,98,0)</f>
        <v>22351350</v>
      </c>
      <c r="C193" s="82">
        <f>VLOOKUP(A193,'Data shares'!$C$2:$CX$220,100,0)</f>
        <v>155575</v>
      </c>
      <c r="D193" s="141">
        <f>VLOOKUP(A193,'Data shares'!$C$2:$CY$543,101,0)</f>
        <v>7.0000000000000001E-3</v>
      </c>
      <c r="E193" s="86">
        <f>VLOOKUP($A193,'Data shares'!$C:$FA,74)</f>
        <v>14274925</v>
      </c>
      <c r="F193" s="86">
        <f>VLOOKUP($A193,'Data shares'!$C:$FA,76)</f>
        <v>18375</v>
      </c>
      <c r="G193" s="87">
        <f>VLOOKUP(A193,'Data shares'!$C$2:$CA$220,77,0)</f>
        <v>1.2999999999999999E-3</v>
      </c>
      <c r="H193" s="86">
        <f>VLOOKUP($A193,'Data shares'!$C:$FA,90)</f>
        <v>4523925</v>
      </c>
      <c r="I193" s="86">
        <f>VLOOKUP($A193,'Data shares'!$C:$FA,92)</f>
        <v>122500</v>
      </c>
      <c r="J193" s="87">
        <f>VLOOKUP($A193,'Data shares'!$C:$FA,93)</f>
        <v>2.7799999999999998E-2</v>
      </c>
      <c r="K193" s="86">
        <f>VLOOKUP($A193,'Data shares'!$C:$FA,94)</f>
        <v>3552500</v>
      </c>
      <c r="L193" s="86">
        <f>VLOOKUP($A193,'Data shares'!$C:$FA,96)</f>
        <v>14700</v>
      </c>
      <c r="M193" s="87">
        <f>VLOOKUP($A193,'Data shares'!$C:$FA,97)</f>
        <v>4.1999999999999997E-3</v>
      </c>
      <c r="N193" s="86">
        <f>VLOOKUP($A193,'Data shares'!$C:$FA,78)</f>
        <v>13820450</v>
      </c>
      <c r="O193" s="87">
        <f>VLOOKUP($A193,'Data shares'!$C:$FA,81)</f>
        <v>-7.9000000000000008E-3</v>
      </c>
    </row>
    <row r="194" spans="1:15" x14ac:dyDescent="0.25">
      <c r="A194" s="100" t="str">
        <f>'Data Vlaue (Cr)'!C189</f>
        <v>SRF</v>
      </c>
      <c r="B194" s="82">
        <f>VLOOKUP(A194,'Data shares'!$C$2:$CV$220,98,0)</f>
        <v>7488800</v>
      </c>
      <c r="C194" s="82">
        <f>VLOOKUP(A194,'Data shares'!$C$2:$CX$220,100,0)</f>
        <v>505000</v>
      </c>
      <c r="D194" s="141">
        <f>VLOOKUP(A194,'Data shares'!$C$2:$CY$543,101,0)</f>
        <v>7.2300000000000003E-2</v>
      </c>
      <c r="E194" s="86">
        <f>VLOOKUP($A194,'Data shares'!$C:$FA,74)</f>
        <v>4230200</v>
      </c>
      <c r="F194" s="86">
        <f>VLOOKUP($A194,'Data shares'!$C:$FA,76)</f>
        <v>46800</v>
      </c>
      <c r="G194" s="87">
        <f>VLOOKUP(A194,'Data shares'!$C$2:$CA$220,77,0)</f>
        <v>1.12E-2</v>
      </c>
      <c r="H194" s="86">
        <f>VLOOKUP($A194,'Data shares'!$C:$FA,90)</f>
        <v>2055600</v>
      </c>
      <c r="I194" s="86">
        <f>VLOOKUP($A194,'Data shares'!$C:$FA,92)</f>
        <v>392000</v>
      </c>
      <c r="J194" s="87">
        <f>VLOOKUP($A194,'Data shares'!$C:$FA,93)</f>
        <v>0.2356</v>
      </c>
      <c r="K194" s="86">
        <f>VLOOKUP($A194,'Data shares'!$C:$FA,94)</f>
        <v>1203000</v>
      </c>
      <c r="L194" s="86">
        <f>VLOOKUP($A194,'Data shares'!$C:$FA,96)</f>
        <v>66200</v>
      </c>
      <c r="M194" s="87">
        <f>VLOOKUP($A194,'Data shares'!$C:$FA,97)</f>
        <v>5.8200000000000002E-2</v>
      </c>
      <c r="N194" s="86">
        <f>VLOOKUP($A194,'Data shares'!$C:$FA,78)</f>
        <v>4040200</v>
      </c>
      <c r="O194" s="87">
        <f>VLOOKUP($A194,'Data shares'!$C:$FA,81)</f>
        <v>-2.2000000000000001E-3</v>
      </c>
    </row>
    <row r="195" spans="1:15" x14ac:dyDescent="0.25">
      <c r="A195" s="100" t="str">
        <f>'Data Vlaue (Cr)'!C190</f>
        <v>SUNPHARMA</v>
      </c>
      <c r="B195" s="82">
        <f>VLOOKUP(A195,'Data shares'!$C$2:$CV$220,98,0)</f>
        <v>32741800</v>
      </c>
      <c r="C195" s="82">
        <f>VLOOKUP(A195,'Data shares'!$C$2:$CX$220,100,0)</f>
        <v>1559250</v>
      </c>
      <c r="D195" s="141">
        <f>VLOOKUP(A195,'Data shares'!$C$2:$CY$543,101,0)</f>
        <v>0.05</v>
      </c>
      <c r="E195" s="86">
        <f>VLOOKUP($A195,'Data shares'!$C:$FA,74)</f>
        <v>18700500</v>
      </c>
      <c r="F195" s="86">
        <f>VLOOKUP($A195,'Data shares'!$C:$FA,76)</f>
        <v>324800</v>
      </c>
      <c r="G195" s="87">
        <f>VLOOKUP(A195,'Data shares'!$C$2:$CA$220,77,0)</f>
        <v>1.77E-2</v>
      </c>
      <c r="H195" s="86">
        <f>VLOOKUP($A195,'Data shares'!$C:$FA,90)</f>
        <v>8200500</v>
      </c>
      <c r="I195" s="86">
        <f>VLOOKUP($A195,'Data shares'!$C:$FA,92)</f>
        <v>1196300</v>
      </c>
      <c r="J195" s="87">
        <f>VLOOKUP($A195,'Data shares'!$C:$FA,93)</f>
        <v>0.17080000000000001</v>
      </c>
      <c r="K195" s="86">
        <f>VLOOKUP($A195,'Data shares'!$C:$FA,94)</f>
        <v>5840800</v>
      </c>
      <c r="L195" s="86">
        <f>VLOOKUP($A195,'Data shares'!$C:$FA,96)</f>
        <v>38150</v>
      </c>
      <c r="M195" s="87">
        <f>VLOOKUP($A195,'Data shares'!$C:$FA,97)</f>
        <v>6.6E-3</v>
      </c>
      <c r="N195" s="86">
        <f>VLOOKUP($A195,'Data shares'!$C:$FA,78)</f>
        <v>14903350</v>
      </c>
      <c r="O195" s="87">
        <f>VLOOKUP($A195,'Data shares'!$C:$FA,81)</f>
        <v>-1.12E-2</v>
      </c>
    </row>
    <row r="196" spans="1:15" x14ac:dyDescent="0.25">
      <c r="A196" s="100" t="str">
        <f>'Data Vlaue (Cr)'!C191</f>
        <v>SUPREMEIND</v>
      </c>
      <c r="B196" s="82">
        <f>VLOOKUP(A196,'Data shares'!$C$2:$CV$220,98,0)</f>
        <v>3358075</v>
      </c>
      <c r="C196" s="82">
        <f>VLOOKUP(A196,'Data shares'!$C$2:$CX$220,100,0)</f>
        <v>39550</v>
      </c>
      <c r="D196" s="141">
        <f>VLOOKUP(A196,'Data shares'!$C$2:$CY$543,101,0)</f>
        <v>1.1900000000000001E-2</v>
      </c>
      <c r="E196" s="86">
        <f>VLOOKUP($A196,'Data shares'!$C:$FA,74)</f>
        <v>2161775</v>
      </c>
      <c r="F196" s="86">
        <f>VLOOKUP($A196,'Data shares'!$C:$FA,76)</f>
        <v>33775</v>
      </c>
      <c r="G196" s="87">
        <f>VLOOKUP(A196,'Data shares'!$C$2:$CA$220,77,0)</f>
        <v>1.5900000000000001E-2</v>
      </c>
      <c r="H196" s="86">
        <f>VLOOKUP($A196,'Data shares'!$C:$FA,90)</f>
        <v>785750</v>
      </c>
      <c r="I196" s="86">
        <f>VLOOKUP($A196,'Data shares'!$C:$FA,92)</f>
        <v>-12950</v>
      </c>
      <c r="J196" s="87">
        <f>VLOOKUP($A196,'Data shares'!$C:$FA,93)</f>
        <v>-1.6199999999999999E-2</v>
      </c>
      <c r="K196" s="86">
        <f>VLOOKUP($A196,'Data shares'!$C:$FA,94)</f>
        <v>410550</v>
      </c>
      <c r="L196" s="86">
        <f>VLOOKUP($A196,'Data shares'!$C:$FA,96)</f>
        <v>18725</v>
      </c>
      <c r="M196" s="87">
        <f>VLOOKUP($A196,'Data shares'!$C:$FA,97)</f>
        <v>4.7800000000000002E-2</v>
      </c>
      <c r="N196" s="86">
        <f>VLOOKUP($A196,'Data shares'!$C:$FA,78)</f>
        <v>2090550</v>
      </c>
      <c r="O196" s="87">
        <f>VLOOKUP($A196,'Data shares'!$C:$FA,81)</f>
        <v>1.29E-2</v>
      </c>
    </row>
    <row r="197" spans="1:15" x14ac:dyDescent="0.25">
      <c r="A197" s="100" t="str">
        <f>'Data Vlaue (Cr)'!C192</f>
        <v>SUZLON</v>
      </c>
      <c r="B197" s="82">
        <f>VLOOKUP(A197,'Data shares'!$C$2:$CV$220,98,0)</f>
        <v>709608675</v>
      </c>
      <c r="C197" s="82">
        <f>VLOOKUP(A197,'Data shares'!$C$2:$CX$220,100,0)</f>
        <v>35215550</v>
      </c>
      <c r="D197" s="141">
        <f>VLOOKUP(A197,'Data shares'!$C$2:$CY$543,101,0)</f>
        <v>5.2200000000000003E-2</v>
      </c>
      <c r="E197" s="86">
        <f>VLOOKUP($A197,'Data shares'!$C:$FA,74)</f>
        <v>359817725</v>
      </c>
      <c r="F197" s="86">
        <f>VLOOKUP($A197,'Data shares'!$C:$FA,76)</f>
        <v>10225325</v>
      </c>
      <c r="G197" s="87">
        <f>VLOOKUP(A197,'Data shares'!$C$2:$CA$220,77,0)</f>
        <v>2.92E-2</v>
      </c>
      <c r="H197" s="86">
        <f>VLOOKUP($A197,'Data shares'!$C:$FA,90)</f>
        <v>177341250</v>
      </c>
      <c r="I197" s="86">
        <f>VLOOKUP($A197,'Data shares'!$C:$FA,92)</f>
        <v>7093650</v>
      </c>
      <c r="J197" s="87">
        <f>VLOOKUP($A197,'Data shares'!$C:$FA,93)</f>
        <v>4.1700000000000001E-2</v>
      </c>
      <c r="K197" s="86">
        <f>VLOOKUP($A197,'Data shares'!$C:$FA,94)</f>
        <v>172449700</v>
      </c>
      <c r="L197" s="86">
        <f>VLOOKUP($A197,'Data shares'!$C:$FA,96)</f>
        <v>17896575</v>
      </c>
      <c r="M197" s="87">
        <f>VLOOKUP($A197,'Data shares'!$C:$FA,97)</f>
        <v>0.1158</v>
      </c>
      <c r="N197" s="86">
        <f>VLOOKUP($A197,'Data shares'!$C:$FA,78)</f>
        <v>309647750</v>
      </c>
      <c r="O197" s="87">
        <f>VLOOKUP($A197,'Data shares'!$C:$FA,81)</f>
        <v>-4.1999999999999997E-3</v>
      </c>
    </row>
    <row r="198" spans="1:15" x14ac:dyDescent="0.25">
      <c r="A198" s="100" t="str">
        <f>'Data Vlaue (Cr)'!C193</f>
        <v>SWIGGY</v>
      </c>
      <c r="B198" s="82">
        <f>VLOOKUP(A198,'Data shares'!$C$2:$CV$220,98,0)</f>
        <v>69911400</v>
      </c>
      <c r="C198" s="82">
        <f>VLOOKUP(A198,'Data shares'!$C$2:$CX$220,100,0)</f>
        <v>3217500</v>
      </c>
      <c r="D198" s="141">
        <f>VLOOKUP(A198,'Data shares'!$C$2:$CY$543,101,0)</f>
        <v>4.82E-2</v>
      </c>
      <c r="E198" s="86">
        <f>VLOOKUP($A198,'Data shares'!$C:$FA,74)</f>
        <v>51483900</v>
      </c>
      <c r="F198" s="86">
        <f>VLOOKUP($A198,'Data shares'!$C:$FA,76)</f>
        <v>521300</v>
      </c>
      <c r="G198" s="87">
        <f>VLOOKUP(A198,'Data shares'!$C$2:$CA$220,77,0)</f>
        <v>1.0200000000000001E-2</v>
      </c>
      <c r="H198" s="86">
        <f>VLOOKUP($A198,'Data shares'!$C:$FA,90)</f>
        <v>11849500</v>
      </c>
      <c r="I198" s="86">
        <f>VLOOKUP($A198,'Data shares'!$C:$FA,92)</f>
        <v>2011100</v>
      </c>
      <c r="J198" s="87">
        <f>VLOOKUP($A198,'Data shares'!$C:$FA,93)</f>
        <v>0.2044</v>
      </c>
      <c r="K198" s="86">
        <f>VLOOKUP($A198,'Data shares'!$C:$FA,94)</f>
        <v>6578000</v>
      </c>
      <c r="L198" s="86">
        <f>VLOOKUP($A198,'Data shares'!$C:$FA,96)</f>
        <v>685100</v>
      </c>
      <c r="M198" s="87">
        <f>VLOOKUP($A198,'Data shares'!$C:$FA,97)</f>
        <v>0.1163</v>
      </c>
      <c r="N198" s="86">
        <f>VLOOKUP($A198,'Data shares'!$C:$FA,78)</f>
        <v>49597600</v>
      </c>
      <c r="O198" s="87">
        <f>VLOOKUP($A198,'Data shares'!$C:$FA,81)</f>
        <v>1.2999999999999999E-3</v>
      </c>
    </row>
    <row r="199" spans="1:15" x14ac:dyDescent="0.25">
      <c r="A199" s="100" t="str">
        <f>'Data Vlaue (Cr)'!C194</f>
        <v>TATACONSUM</v>
      </c>
      <c r="B199" s="82">
        <f>VLOOKUP(A199,'Data shares'!$C$2:$CV$220,98,0)</f>
        <v>18161000</v>
      </c>
      <c r="C199" s="82">
        <f>VLOOKUP(A199,'Data shares'!$C$2:$CX$220,100,0)</f>
        <v>702900</v>
      </c>
      <c r="D199" s="141">
        <f>VLOOKUP(A199,'Data shares'!$C$2:$CY$543,101,0)</f>
        <v>4.0300000000000002E-2</v>
      </c>
      <c r="E199" s="86">
        <f>VLOOKUP($A199,'Data shares'!$C:$FA,74)</f>
        <v>13252250</v>
      </c>
      <c r="F199" s="86">
        <f>VLOOKUP($A199,'Data shares'!$C:$FA,76)</f>
        <v>50600</v>
      </c>
      <c r="G199" s="87">
        <f>VLOOKUP(A199,'Data shares'!$C$2:$CA$220,77,0)</f>
        <v>3.8E-3</v>
      </c>
      <c r="H199" s="86">
        <f>VLOOKUP($A199,'Data shares'!$C:$FA,90)</f>
        <v>2451350</v>
      </c>
      <c r="I199" s="86">
        <f>VLOOKUP($A199,'Data shares'!$C:$FA,92)</f>
        <v>479600</v>
      </c>
      <c r="J199" s="87">
        <f>VLOOKUP($A199,'Data shares'!$C:$FA,93)</f>
        <v>0.2432</v>
      </c>
      <c r="K199" s="86">
        <f>VLOOKUP($A199,'Data shares'!$C:$FA,94)</f>
        <v>2457400</v>
      </c>
      <c r="L199" s="86">
        <f>VLOOKUP($A199,'Data shares'!$C:$FA,96)</f>
        <v>172700</v>
      </c>
      <c r="M199" s="87">
        <f>VLOOKUP($A199,'Data shares'!$C:$FA,97)</f>
        <v>7.5600000000000001E-2</v>
      </c>
      <c r="N199" s="86">
        <f>VLOOKUP($A199,'Data shares'!$C:$FA,78)</f>
        <v>12372250</v>
      </c>
      <c r="O199" s="87">
        <f>VLOOKUP($A199,'Data shares'!$C:$FA,81)</f>
        <v>3.5999999999999999E-3</v>
      </c>
    </row>
    <row r="200" spans="1:15" x14ac:dyDescent="0.25">
      <c r="A200" s="100" t="str">
        <f>'Data Vlaue (Cr)'!C195</f>
        <v>TATAELXSI</v>
      </c>
      <c r="B200" s="82">
        <f>VLOOKUP(A200,'Data shares'!$C$2:$CV$220,98,0)</f>
        <v>3221500</v>
      </c>
      <c r="C200" s="82">
        <f>VLOOKUP(A200,'Data shares'!$C$2:$CX$220,100,0)</f>
        <v>182900</v>
      </c>
      <c r="D200" s="141">
        <f>VLOOKUP(A200,'Data shares'!$C$2:$CY$543,101,0)</f>
        <v>6.0199999999999997E-2</v>
      </c>
      <c r="E200" s="86">
        <f>VLOOKUP($A200,'Data shares'!$C:$FA,74)</f>
        <v>1803300</v>
      </c>
      <c r="F200" s="86">
        <f>VLOOKUP($A200,'Data shares'!$C:$FA,76)</f>
        <v>17000</v>
      </c>
      <c r="G200" s="87">
        <f>VLOOKUP(A200,'Data shares'!$C$2:$CA$220,77,0)</f>
        <v>9.4999999999999998E-3</v>
      </c>
      <c r="H200" s="86">
        <f>VLOOKUP($A200,'Data shares'!$C:$FA,90)</f>
        <v>915200</v>
      </c>
      <c r="I200" s="86">
        <f>VLOOKUP($A200,'Data shares'!$C:$FA,92)</f>
        <v>161600</v>
      </c>
      <c r="J200" s="87">
        <f>VLOOKUP($A200,'Data shares'!$C:$FA,93)</f>
        <v>0.21440000000000001</v>
      </c>
      <c r="K200" s="86">
        <f>VLOOKUP($A200,'Data shares'!$C:$FA,94)</f>
        <v>503000</v>
      </c>
      <c r="L200" s="86">
        <f>VLOOKUP($A200,'Data shares'!$C:$FA,96)</f>
        <v>4300</v>
      </c>
      <c r="M200" s="87">
        <f>VLOOKUP($A200,'Data shares'!$C:$FA,97)</f>
        <v>8.6E-3</v>
      </c>
      <c r="N200" s="86">
        <f>VLOOKUP($A200,'Data shares'!$C:$FA,78)</f>
        <v>1447000</v>
      </c>
      <c r="O200" s="87">
        <f>VLOOKUP($A200,'Data shares'!$C:$FA,81)</f>
        <v>-5.8999999999999999E-3</v>
      </c>
    </row>
    <row r="201" spans="1:15" x14ac:dyDescent="0.25">
      <c r="A201" s="100" t="str">
        <f>'Data Vlaue (Cr)'!C196</f>
        <v>TATAPOWER</v>
      </c>
      <c r="B201" s="82">
        <f>VLOOKUP(A201,'Data shares'!$C$2:$CV$220,98,0)</f>
        <v>125146600</v>
      </c>
      <c r="C201" s="82">
        <f>VLOOKUP(A201,'Data shares'!$C$2:$CX$220,100,0)</f>
        <v>1212200</v>
      </c>
      <c r="D201" s="141">
        <f>VLOOKUP(A201,'Data shares'!$C$2:$CY$543,101,0)</f>
        <v>9.7999999999999997E-3</v>
      </c>
      <c r="E201" s="86">
        <f>VLOOKUP($A201,'Data shares'!$C:$FA,74)</f>
        <v>57102450</v>
      </c>
      <c r="F201" s="86">
        <f>VLOOKUP($A201,'Data shares'!$C:$FA,76)</f>
        <v>-427750</v>
      </c>
      <c r="G201" s="87">
        <f>VLOOKUP(A201,'Data shares'!$C$2:$CA$220,77,0)</f>
        <v>-7.4000000000000003E-3</v>
      </c>
      <c r="H201" s="86">
        <f>VLOOKUP($A201,'Data shares'!$C:$FA,90)</f>
        <v>36669050</v>
      </c>
      <c r="I201" s="86">
        <f>VLOOKUP($A201,'Data shares'!$C:$FA,92)</f>
        <v>-575650</v>
      </c>
      <c r="J201" s="87">
        <f>VLOOKUP($A201,'Data shares'!$C:$FA,93)</f>
        <v>-1.55E-2</v>
      </c>
      <c r="K201" s="86">
        <f>VLOOKUP($A201,'Data shares'!$C:$FA,94)</f>
        <v>31375100</v>
      </c>
      <c r="L201" s="86">
        <f>VLOOKUP($A201,'Data shares'!$C:$FA,96)</f>
        <v>2215600</v>
      </c>
      <c r="M201" s="87">
        <f>VLOOKUP($A201,'Data shares'!$C:$FA,97)</f>
        <v>7.5999999999999998E-2</v>
      </c>
      <c r="N201" s="86">
        <f>VLOOKUP($A201,'Data shares'!$C:$FA,78)</f>
        <v>51140050</v>
      </c>
      <c r="O201" s="87">
        <f>VLOOKUP($A201,'Data shares'!$C:$FA,81)</f>
        <v>-3.0300000000000001E-2</v>
      </c>
    </row>
    <row r="202" spans="1:15" x14ac:dyDescent="0.25">
      <c r="A202" s="100" t="str">
        <f>'Data Vlaue (Cr)'!C197</f>
        <v>TATASTEEL</v>
      </c>
      <c r="B202" s="82">
        <f>VLOOKUP(A202,'Data shares'!$C$2:$CV$220,98,0)</f>
        <v>394652500</v>
      </c>
      <c r="C202" s="82">
        <f>VLOOKUP(A202,'Data shares'!$C$2:$CX$220,100,0)</f>
        <v>3833500</v>
      </c>
      <c r="D202" s="141">
        <f>VLOOKUP(A202,'Data shares'!$C$2:$CY$543,101,0)</f>
        <v>9.7999999999999997E-3</v>
      </c>
      <c r="E202" s="86">
        <f>VLOOKUP($A202,'Data shares'!$C:$FA,74)</f>
        <v>178337500</v>
      </c>
      <c r="F202" s="86">
        <f>VLOOKUP($A202,'Data shares'!$C:$FA,76)</f>
        <v>-1446500</v>
      </c>
      <c r="G202" s="87">
        <f>VLOOKUP(A202,'Data shares'!$C$2:$CA$220,77,0)</f>
        <v>-8.0000000000000002E-3</v>
      </c>
      <c r="H202" s="86">
        <f>VLOOKUP($A202,'Data shares'!$C:$FA,90)</f>
        <v>116435000</v>
      </c>
      <c r="I202" s="86">
        <f>VLOOKUP($A202,'Data shares'!$C:$FA,92)</f>
        <v>-676500</v>
      </c>
      <c r="J202" s="87">
        <f>VLOOKUP($A202,'Data shares'!$C:$FA,93)</f>
        <v>-5.7999999999999996E-3</v>
      </c>
      <c r="K202" s="86">
        <f>VLOOKUP($A202,'Data shares'!$C:$FA,94)</f>
        <v>99880000</v>
      </c>
      <c r="L202" s="86">
        <f>VLOOKUP($A202,'Data shares'!$C:$FA,96)</f>
        <v>5956500</v>
      </c>
      <c r="M202" s="87">
        <f>VLOOKUP($A202,'Data shares'!$C:$FA,97)</f>
        <v>6.3399999999999998E-2</v>
      </c>
      <c r="N202" s="86">
        <f>VLOOKUP($A202,'Data shares'!$C:$FA,78)</f>
        <v>153642500</v>
      </c>
      <c r="O202" s="87">
        <f>VLOOKUP($A202,'Data shares'!$C:$FA,81)</f>
        <v>-1.5699999999999999E-2</v>
      </c>
    </row>
    <row r="203" spans="1:15" x14ac:dyDescent="0.25">
      <c r="A203" s="100" t="str">
        <f>'Data Vlaue (Cr)'!C198</f>
        <v>TATATECH</v>
      </c>
      <c r="B203" s="82">
        <f>VLOOKUP(A203,'Data shares'!$C$2:$CV$220,98,0)</f>
        <v>10664000</v>
      </c>
      <c r="C203" s="82">
        <f>VLOOKUP(A203,'Data shares'!$C$2:$CX$220,100,0)</f>
        <v>-42400</v>
      </c>
      <c r="D203" s="141">
        <f>VLOOKUP(A203,'Data shares'!$C$2:$CY$543,101,0)</f>
        <v>-4.0000000000000001E-3</v>
      </c>
      <c r="E203" s="86">
        <f>VLOOKUP($A203,'Data shares'!$C:$FA,74)</f>
        <v>6109600</v>
      </c>
      <c r="F203" s="86">
        <f>VLOOKUP($A203,'Data shares'!$C:$FA,76)</f>
        <v>-84000</v>
      </c>
      <c r="G203" s="87">
        <f>VLOOKUP(A203,'Data shares'!$C$2:$CA$220,77,0)</f>
        <v>-1.3599999999999999E-2</v>
      </c>
      <c r="H203" s="86">
        <f>VLOOKUP($A203,'Data shares'!$C:$FA,90)</f>
        <v>2736800</v>
      </c>
      <c r="I203" s="86">
        <f>VLOOKUP($A203,'Data shares'!$C:$FA,92)</f>
        <v>56800</v>
      </c>
      <c r="J203" s="87">
        <f>VLOOKUP($A203,'Data shares'!$C:$FA,93)</f>
        <v>2.12E-2</v>
      </c>
      <c r="K203" s="86">
        <f>VLOOKUP($A203,'Data shares'!$C:$FA,94)</f>
        <v>1817600</v>
      </c>
      <c r="L203" s="86">
        <f>VLOOKUP($A203,'Data shares'!$C:$FA,96)</f>
        <v>-15200</v>
      </c>
      <c r="M203" s="87">
        <f>VLOOKUP($A203,'Data shares'!$C:$FA,97)</f>
        <v>-8.3000000000000001E-3</v>
      </c>
      <c r="N203" s="86">
        <f>VLOOKUP($A203,'Data shares'!$C:$FA,78)</f>
        <v>6109600</v>
      </c>
      <c r="O203" s="87">
        <f>VLOOKUP($A203,'Data shares'!$C:$FA,81)</f>
        <v>-1.3599999999999999E-2</v>
      </c>
    </row>
    <row r="204" spans="1:15" x14ac:dyDescent="0.25">
      <c r="A204" s="100" t="str">
        <f>'Data Vlaue (Cr)'!C199</f>
        <v>TCS</v>
      </c>
      <c r="B204" s="82">
        <f>VLOOKUP(A204,'Data shares'!$C$2:$CV$220,98,0)</f>
        <v>65483075</v>
      </c>
      <c r="C204" s="82">
        <f>VLOOKUP(A204,'Data shares'!$C$2:$CX$220,100,0)</f>
        <v>-536375</v>
      </c>
      <c r="D204" s="141">
        <f>VLOOKUP(A204,'Data shares'!$C$2:$CY$543,101,0)</f>
        <v>-8.0999999999999996E-3</v>
      </c>
      <c r="E204" s="86">
        <f>VLOOKUP($A204,'Data shares'!$C:$FA,74)</f>
        <v>35561225</v>
      </c>
      <c r="F204" s="86">
        <f>VLOOKUP($A204,'Data shares'!$C:$FA,76)</f>
        <v>95375</v>
      </c>
      <c r="G204" s="87">
        <f>VLOOKUP(A204,'Data shares'!$C$2:$CA$220,77,0)</f>
        <v>2.7000000000000001E-3</v>
      </c>
      <c r="H204" s="86">
        <f>VLOOKUP($A204,'Data shares'!$C:$FA,90)</f>
        <v>18088175</v>
      </c>
      <c r="I204" s="86">
        <f>VLOOKUP($A204,'Data shares'!$C:$FA,92)</f>
        <v>-892675</v>
      </c>
      <c r="J204" s="87">
        <f>VLOOKUP($A204,'Data shares'!$C:$FA,93)</f>
        <v>-4.7E-2</v>
      </c>
      <c r="K204" s="86">
        <f>VLOOKUP($A204,'Data shares'!$C:$FA,94)</f>
        <v>11833675</v>
      </c>
      <c r="L204" s="86">
        <f>VLOOKUP($A204,'Data shares'!$C:$FA,96)</f>
        <v>260925</v>
      </c>
      <c r="M204" s="87">
        <f>VLOOKUP($A204,'Data shares'!$C:$FA,97)</f>
        <v>2.2499999999999999E-2</v>
      </c>
      <c r="N204" s="86">
        <f>VLOOKUP($A204,'Data shares'!$C:$FA,78)</f>
        <v>32095700</v>
      </c>
      <c r="O204" s="87">
        <f>VLOOKUP($A204,'Data shares'!$C:$FA,81)</f>
        <v>-8.9999999999999998E-4</v>
      </c>
    </row>
    <row r="205" spans="1:15" x14ac:dyDescent="0.25">
      <c r="A205" s="100" t="str">
        <f>'Data Vlaue (Cr)'!C200</f>
        <v>TECHM</v>
      </c>
      <c r="B205" s="82">
        <f>VLOOKUP(A205,'Data shares'!$C$2:$CV$220,98,0)</f>
        <v>27787800</v>
      </c>
      <c r="C205" s="82">
        <f>VLOOKUP(A205,'Data shares'!$C$2:$CX$220,100,0)</f>
        <v>159000</v>
      </c>
      <c r="D205" s="141">
        <f>VLOOKUP(A205,'Data shares'!$C$2:$CY$543,101,0)</f>
        <v>5.7999999999999996E-3</v>
      </c>
      <c r="E205" s="86">
        <f>VLOOKUP($A205,'Data shares'!$C:$FA,74)</f>
        <v>18625200</v>
      </c>
      <c r="F205" s="86">
        <f>VLOOKUP($A205,'Data shares'!$C:$FA,76)</f>
        <v>59400</v>
      </c>
      <c r="G205" s="87">
        <f>VLOOKUP(A205,'Data shares'!$C$2:$CA$220,77,0)</f>
        <v>3.2000000000000002E-3</v>
      </c>
      <c r="H205" s="86">
        <f>VLOOKUP($A205,'Data shares'!$C:$FA,90)</f>
        <v>4977000</v>
      </c>
      <c r="I205" s="86">
        <f>VLOOKUP($A205,'Data shares'!$C:$FA,92)</f>
        <v>260400</v>
      </c>
      <c r="J205" s="87">
        <f>VLOOKUP($A205,'Data shares'!$C:$FA,93)</f>
        <v>5.5199999999999999E-2</v>
      </c>
      <c r="K205" s="86">
        <f>VLOOKUP($A205,'Data shares'!$C:$FA,94)</f>
        <v>4185600</v>
      </c>
      <c r="L205" s="86">
        <f>VLOOKUP($A205,'Data shares'!$C:$FA,96)</f>
        <v>-160800</v>
      </c>
      <c r="M205" s="87">
        <f>VLOOKUP($A205,'Data shares'!$C:$FA,97)</f>
        <v>-3.6999999999999998E-2</v>
      </c>
      <c r="N205" s="86">
        <f>VLOOKUP($A205,'Data shares'!$C:$FA,78)</f>
        <v>17795400</v>
      </c>
      <c r="O205" s="87">
        <f>VLOOKUP($A205,'Data shares'!$C:$FA,81)</f>
        <v>-3.5000000000000001E-3</v>
      </c>
    </row>
    <row r="206" spans="1:15" x14ac:dyDescent="0.25">
      <c r="A206" s="100" t="str">
        <f>'Data Vlaue (Cr)'!C201</f>
        <v>TIINDIA</v>
      </c>
      <c r="B206" s="82">
        <f>VLOOKUP(A206,'Data shares'!$C$2:$CV$220,98,0)</f>
        <v>3446800</v>
      </c>
      <c r="C206" s="82">
        <f>VLOOKUP(A206,'Data shares'!$C$2:$CX$220,100,0)</f>
        <v>124600</v>
      </c>
      <c r="D206" s="141">
        <f>VLOOKUP(A206,'Data shares'!$C$2:$CY$543,101,0)</f>
        <v>3.7499999999999999E-2</v>
      </c>
      <c r="E206" s="86">
        <f>VLOOKUP($A206,'Data shares'!$C:$FA,74)</f>
        <v>2653600</v>
      </c>
      <c r="F206" s="86">
        <f>VLOOKUP($A206,'Data shares'!$C:$FA,76)</f>
        <v>49400</v>
      </c>
      <c r="G206" s="87">
        <f>VLOOKUP(A206,'Data shares'!$C$2:$CA$220,77,0)</f>
        <v>1.9E-2</v>
      </c>
      <c r="H206" s="86">
        <f>VLOOKUP($A206,'Data shares'!$C:$FA,90)</f>
        <v>552600</v>
      </c>
      <c r="I206" s="86">
        <f>VLOOKUP($A206,'Data shares'!$C:$FA,92)</f>
        <v>77400</v>
      </c>
      <c r="J206" s="87">
        <f>VLOOKUP($A206,'Data shares'!$C:$FA,93)</f>
        <v>0.16289999999999999</v>
      </c>
      <c r="K206" s="86">
        <f>VLOOKUP($A206,'Data shares'!$C:$FA,94)</f>
        <v>240600</v>
      </c>
      <c r="L206" s="86">
        <f>VLOOKUP($A206,'Data shares'!$C:$FA,96)</f>
        <v>-2200</v>
      </c>
      <c r="M206" s="87">
        <f>VLOOKUP($A206,'Data shares'!$C:$FA,97)</f>
        <v>-9.1000000000000004E-3</v>
      </c>
      <c r="N206" s="86">
        <f>VLOOKUP($A206,'Data shares'!$C:$FA,78)</f>
        <v>2614000</v>
      </c>
      <c r="O206" s="87">
        <f>VLOOKUP($A206,'Data shares'!$C:$FA,81)</f>
        <v>1.7500000000000002E-2</v>
      </c>
    </row>
    <row r="207" spans="1:15" x14ac:dyDescent="0.25">
      <c r="A207" s="100" t="str">
        <f>'Data Vlaue (Cr)'!C202</f>
        <v>TITAN</v>
      </c>
      <c r="B207" s="82">
        <f>VLOOKUP(A207,'Data shares'!$C$2:$CV$220,98,0)</f>
        <v>16115225</v>
      </c>
      <c r="C207" s="82">
        <f>VLOOKUP(A207,'Data shares'!$C$2:$CX$220,100,0)</f>
        <v>13825</v>
      </c>
      <c r="D207" s="141">
        <f>VLOOKUP(A207,'Data shares'!$C$2:$CY$543,101,0)</f>
        <v>8.9999999999999998E-4</v>
      </c>
      <c r="E207" s="86">
        <f>VLOOKUP($A207,'Data shares'!$C:$FA,74)</f>
        <v>8976275</v>
      </c>
      <c r="F207" s="86">
        <f>VLOOKUP($A207,'Data shares'!$C:$FA,76)</f>
        <v>-302225</v>
      </c>
      <c r="G207" s="87">
        <f>VLOOKUP(A207,'Data shares'!$C$2:$CA$220,77,0)</f>
        <v>-3.2599999999999997E-2</v>
      </c>
      <c r="H207" s="86">
        <f>VLOOKUP($A207,'Data shares'!$C:$FA,90)</f>
        <v>3935925</v>
      </c>
      <c r="I207" s="86">
        <f>VLOOKUP($A207,'Data shares'!$C:$FA,92)</f>
        <v>-65975</v>
      </c>
      <c r="J207" s="87">
        <f>VLOOKUP($A207,'Data shares'!$C:$FA,93)</f>
        <v>-1.6500000000000001E-2</v>
      </c>
      <c r="K207" s="86">
        <f>VLOOKUP($A207,'Data shares'!$C:$FA,94)</f>
        <v>3203025</v>
      </c>
      <c r="L207" s="86">
        <f>VLOOKUP($A207,'Data shares'!$C:$FA,96)</f>
        <v>382025</v>
      </c>
      <c r="M207" s="87">
        <f>VLOOKUP($A207,'Data shares'!$C:$FA,97)</f>
        <v>0.13539999999999999</v>
      </c>
      <c r="N207" s="86">
        <f>VLOOKUP($A207,'Data shares'!$C:$FA,78)</f>
        <v>8044225</v>
      </c>
      <c r="O207" s="87">
        <f>VLOOKUP($A207,'Data shares'!$C:$FA,81)</f>
        <v>-4.6300000000000001E-2</v>
      </c>
    </row>
    <row r="208" spans="1:15" x14ac:dyDescent="0.25">
      <c r="A208" s="100" t="str">
        <f>'Data Vlaue (Cr)'!C203</f>
        <v>TMPV</v>
      </c>
      <c r="B208" s="82">
        <f>VLOOKUP(A208,'Data shares'!$C$2:$CV$220,98,0)</f>
        <v>123376000</v>
      </c>
      <c r="C208" s="82">
        <f>VLOOKUP(A208,'Data shares'!$C$2:$CX$220,100,0)</f>
        <v>734400</v>
      </c>
      <c r="D208" s="141">
        <f>VLOOKUP(A208,'Data shares'!$C$2:$CY$543,101,0)</f>
        <v>6.0000000000000001E-3</v>
      </c>
      <c r="E208" s="86">
        <f>VLOOKUP($A208,'Data shares'!$C:$FA,74)</f>
        <v>58587200</v>
      </c>
      <c r="F208" s="86">
        <f>VLOOKUP($A208,'Data shares'!$C:$FA,76)</f>
        <v>177600</v>
      </c>
      <c r="G208" s="87">
        <f>VLOOKUP(A208,'Data shares'!$C$2:$CA$220,77,0)</f>
        <v>3.0000000000000001E-3</v>
      </c>
      <c r="H208" s="86">
        <f>VLOOKUP($A208,'Data shares'!$C:$FA,90)</f>
        <v>35904000</v>
      </c>
      <c r="I208" s="86">
        <f>VLOOKUP($A208,'Data shares'!$C:$FA,92)</f>
        <v>-442400</v>
      </c>
      <c r="J208" s="87">
        <f>VLOOKUP($A208,'Data shares'!$C:$FA,93)</f>
        <v>-1.2200000000000001E-2</v>
      </c>
      <c r="K208" s="86">
        <f>VLOOKUP($A208,'Data shares'!$C:$FA,94)</f>
        <v>28884800</v>
      </c>
      <c r="L208" s="86">
        <f>VLOOKUP($A208,'Data shares'!$C:$FA,96)</f>
        <v>999200</v>
      </c>
      <c r="M208" s="87">
        <f>VLOOKUP($A208,'Data shares'!$C:$FA,97)</f>
        <v>3.5799999999999998E-2</v>
      </c>
      <c r="N208" s="86">
        <f>VLOOKUP($A208,'Data shares'!$C:$FA,78)</f>
        <v>51525600</v>
      </c>
      <c r="O208" s="87">
        <f>VLOOKUP($A208,'Data shares'!$C:$FA,81)</f>
        <v>-1.2500000000000001E-2</v>
      </c>
    </row>
    <row r="209" spans="1:15" x14ac:dyDescent="0.25">
      <c r="A209" s="100" t="str">
        <f>'Data Vlaue (Cr)'!C204</f>
        <v>TORNTPHARM</v>
      </c>
      <c r="B209" s="82">
        <f>VLOOKUP(A209,'Data shares'!$C$2:$CV$220,98,0)</f>
        <v>4320000</v>
      </c>
      <c r="C209" s="82">
        <f>VLOOKUP(A209,'Data shares'!$C$2:$CX$220,100,0)</f>
        <v>-70250</v>
      </c>
      <c r="D209" s="141">
        <f>VLOOKUP(A209,'Data shares'!$C$2:$CY$543,101,0)</f>
        <v>-1.6E-2</v>
      </c>
      <c r="E209" s="86">
        <f>VLOOKUP($A209,'Data shares'!$C:$FA,74)</f>
        <v>3181500</v>
      </c>
      <c r="F209" s="86">
        <f>VLOOKUP($A209,'Data shares'!$C:$FA,76)</f>
        <v>-35000</v>
      </c>
      <c r="G209" s="87">
        <f>VLOOKUP(A209,'Data shares'!$C$2:$CA$220,77,0)</f>
        <v>-1.09E-2</v>
      </c>
      <c r="H209" s="86">
        <f>VLOOKUP($A209,'Data shares'!$C:$FA,90)</f>
        <v>668750</v>
      </c>
      <c r="I209" s="86">
        <f>VLOOKUP($A209,'Data shares'!$C:$FA,92)</f>
        <v>-33750</v>
      </c>
      <c r="J209" s="87">
        <f>VLOOKUP($A209,'Data shares'!$C:$FA,93)</f>
        <v>-4.8000000000000001E-2</v>
      </c>
      <c r="K209" s="86">
        <f>VLOOKUP($A209,'Data shares'!$C:$FA,94)</f>
        <v>469750</v>
      </c>
      <c r="L209" s="86">
        <f>VLOOKUP($A209,'Data shares'!$C:$FA,96)</f>
        <v>-1500</v>
      </c>
      <c r="M209" s="87">
        <f>VLOOKUP($A209,'Data shares'!$C:$FA,97)</f>
        <v>-3.2000000000000002E-3</v>
      </c>
      <c r="N209" s="86">
        <f>VLOOKUP($A209,'Data shares'!$C:$FA,78)</f>
        <v>3129750</v>
      </c>
      <c r="O209" s="87">
        <f>VLOOKUP($A209,'Data shares'!$C:$FA,81)</f>
        <v>-1.12E-2</v>
      </c>
    </row>
    <row r="210" spans="1:15" x14ac:dyDescent="0.25">
      <c r="A210" s="100" t="str">
        <f>'Data Vlaue (Cr)'!C205</f>
        <v>TORNTPOWER</v>
      </c>
      <c r="B210" s="82">
        <f>VLOOKUP(A210,'Data shares'!$C$2:$CV$220,98,0)</f>
        <v>5094050</v>
      </c>
      <c r="C210" s="82">
        <f>VLOOKUP(A210,'Data shares'!$C$2:$CX$220,100,0)</f>
        <v>157250</v>
      </c>
      <c r="D210" s="141">
        <f>VLOOKUP(A210,'Data shares'!$C$2:$CY$543,101,0)</f>
        <v>3.1899999999999998E-2</v>
      </c>
      <c r="E210" s="86">
        <f>VLOOKUP($A210,'Data shares'!$C:$FA,74)</f>
        <v>3147975</v>
      </c>
      <c r="F210" s="86">
        <f>VLOOKUP($A210,'Data shares'!$C:$FA,76)</f>
        <v>-66725</v>
      </c>
      <c r="G210" s="87">
        <f>VLOOKUP(A210,'Data shares'!$C$2:$CA$220,77,0)</f>
        <v>-2.0799999999999999E-2</v>
      </c>
      <c r="H210" s="86">
        <f>VLOOKUP($A210,'Data shares'!$C:$FA,90)</f>
        <v>1126675</v>
      </c>
      <c r="I210" s="86">
        <f>VLOOKUP($A210,'Data shares'!$C:$FA,92)</f>
        <v>157250</v>
      </c>
      <c r="J210" s="87">
        <f>VLOOKUP($A210,'Data shares'!$C:$FA,93)</f>
        <v>0.16220000000000001</v>
      </c>
      <c r="K210" s="86">
        <f>VLOOKUP($A210,'Data shares'!$C:$FA,94)</f>
        <v>819400</v>
      </c>
      <c r="L210" s="86">
        <f>VLOOKUP($A210,'Data shares'!$C:$FA,96)</f>
        <v>66725</v>
      </c>
      <c r="M210" s="87">
        <f>VLOOKUP($A210,'Data shares'!$C:$FA,97)</f>
        <v>8.8700000000000001E-2</v>
      </c>
      <c r="N210" s="86">
        <f>VLOOKUP($A210,'Data shares'!$C:$FA,78)</f>
        <v>3147975</v>
      </c>
      <c r="O210" s="87">
        <f>VLOOKUP($A210,'Data shares'!$C:$FA,81)</f>
        <v>-2.0799999999999999E-2</v>
      </c>
    </row>
    <row r="211" spans="1:15" x14ac:dyDescent="0.25">
      <c r="A211" s="100" t="str">
        <f>'Data Vlaue (Cr)'!C206</f>
        <v>TRENT</v>
      </c>
      <c r="B211" s="82">
        <f>VLOOKUP(A211,'Data shares'!$C$2:$CV$220,98,0)</f>
        <v>13600800</v>
      </c>
      <c r="C211" s="82">
        <f>VLOOKUP(A211,'Data shares'!$C$2:$CX$220,100,0)</f>
        <v>280200</v>
      </c>
      <c r="D211" s="141">
        <f>VLOOKUP(A211,'Data shares'!$C$2:$CY$543,101,0)</f>
        <v>2.1000000000000001E-2</v>
      </c>
      <c r="E211" s="86">
        <f>VLOOKUP($A211,'Data shares'!$C:$FA,74)</f>
        <v>8166200</v>
      </c>
      <c r="F211" s="86">
        <f>VLOOKUP($A211,'Data shares'!$C:$FA,76)</f>
        <v>57500</v>
      </c>
      <c r="G211" s="87">
        <f>VLOOKUP(A211,'Data shares'!$C$2:$CA$220,77,0)</f>
        <v>7.1000000000000004E-3</v>
      </c>
      <c r="H211" s="86">
        <f>VLOOKUP($A211,'Data shares'!$C:$FA,90)</f>
        <v>2923600</v>
      </c>
      <c r="I211" s="86">
        <f>VLOOKUP($A211,'Data shares'!$C:$FA,92)</f>
        <v>173900</v>
      </c>
      <c r="J211" s="87">
        <f>VLOOKUP($A211,'Data shares'!$C:$FA,93)</f>
        <v>6.3200000000000006E-2</v>
      </c>
      <c r="K211" s="86">
        <f>VLOOKUP($A211,'Data shares'!$C:$FA,94)</f>
        <v>2511000</v>
      </c>
      <c r="L211" s="86">
        <f>VLOOKUP($A211,'Data shares'!$C:$FA,96)</f>
        <v>48800</v>
      </c>
      <c r="M211" s="87">
        <f>VLOOKUP($A211,'Data shares'!$C:$FA,97)</f>
        <v>1.9800000000000002E-2</v>
      </c>
      <c r="N211" s="86">
        <f>VLOOKUP($A211,'Data shares'!$C:$FA,78)</f>
        <v>7003100</v>
      </c>
      <c r="O211" s="87">
        <f>VLOOKUP($A211,'Data shares'!$C:$FA,81)</f>
        <v>-6.9999999999999999E-4</v>
      </c>
    </row>
    <row r="212" spans="1:15" x14ac:dyDescent="0.25">
      <c r="A212" s="100" t="str">
        <f>'Data Vlaue (Cr)'!C207</f>
        <v>TVSMOTOR</v>
      </c>
      <c r="B212" s="82">
        <f>VLOOKUP(A212,'Data shares'!$C$2:$CV$220,98,0)</f>
        <v>11033575</v>
      </c>
      <c r="C212" s="82">
        <f>VLOOKUP(A212,'Data shares'!$C$2:$CX$220,100,0)</f>
        <v>84700</v>
      </c>
      <c r="D212" s="141">
        <f>VLOOKUP(A212,'Data shares'!$C$2:$CY$543,101,0)</f>
        <v>7.7000000000000002E-3</v>
      </c>
      <c r="E212" s="86">
        <f>VLOOKUP($A212,'Data shares'!$C:$FA,74)</f>
        <v>8250025</v>
      </c>
      <c r="F212" s="86">
        <f>VLOOKUP($A212,'Data shares'!$C:$FA,76)</f>
        <v>2450</v>
      </c>
      <c r="G212" s="87">
        <f>VLOOKUP(A212,'Data shares'!$C$2:$CA$220,77,0)</f>
        <v>2.9999999999999997E-4</v>
      </c>
      <c r="H212" s="86">
        <f>VLOOKUP($A212,'Data shares'!$C:$FA,90)</f>
        <v>1636600</v>
      </c>
      <c r="I212" s="86">
        <f>VLOOKUP($A212,'Data shares'!$C:$FA,92)</f>
        <v>58975</v>
      </c>
      <c r="J212" s="87">
        <f>VLOOKUP($A212,'Data shares'!$C:$FA,93)</f>
        <v>3.7400000000000003E-2</v>
      </c>
      <c r="K212" s="86">
        <f>VLOOKUP($A212,'Data shares'!$C:$FA,94)</f>
        <v>1146950</v>
      </c>
      <c r="L212" s="86">
        <f>VLOOKUP($A212,'Data shares'!$C:$FA,96)</f>
        <v>23275</v>
      </c>
      <c r="M212" s="87">
        <f>VLOOKUP($A212,'Data shares'!$C:$FA,97)</f>
        <v>2.07E-2</v>
      </c>
      <c r="N212" s="86">
        <f>VLOOKUP($A212,'Data shares'!$C:$FA,78)</f>
        <v>7656950</v>
      </c>
      <c r="O212" s="87">
        <f>VLOOKUP($A212,'Data shares'!$C:$FA,81)</f>
        <v>-4.4600000000000001E-2</v>
      </c>
    </row>
    <row r="213" spans="1:15" x14ac:dyDescent="0.25">
      <c r="A213" s="100" t="str">
        <f>'Data Vlaue (Cr)'!C208</f>
        <v>ULTRACEMCO</v>
      </c>
      <c r="B213" s="82">
        <f>VLOOKUP(A213,'Data shares'!$C$2:$CV$220,98,0)</f>
        <v>3534650</v>
      </c>
      <c r="C213" s="82">
        <f>VLOOKUP(A213,'Data shares'!$C$2:$CX$220,100,0)</f>
        <v>128150</v>
      </c>
      <c r="D213" s="141">
        <f>VLOOKUP(A213,'Data shares'!$C$2:$CY$543,101,0)</f>
        <v>3.7600000000000001E-2</v>
      </c>
      <c r="E213" s="86">
        <f>VLOOKUP($A213,'Data shares'!$C:$FA,74)</f>
        <v>2408850</v>
      </c>
      <c r="F213" s="86">
        <f>VLOOKUP($A213,'Data shares'!$C:$FA,76)</f>
        <v>47500</v>
      </c>
      <c r="G213" s="87">
        <f>VLOOKUP(A213,'Data shares'!$C$2:$CA$220,77,0)</f>
        <v>2.01E-2</v>
      </c>
      <c r="H213" s="86">
        <f>VLOOKUP($A213,'Data shares'!$C:$FA,90)</f>
        <v>696500</v>
      </c>
      <c r="I213" s="86">
        <f>VLOOKUP($A213,'Data shares'!$C:$FA,92)</f>
        <v>54950</v>
      </c>
      <c r="J213" s="87">
        <f>VLOOKUP($A213,'Data shares'!$C:$FA,93)</f>
        <v>8.5699999999999998E-2</v>
      </c>
      <c r="K213" s="86">
        <f>VLOOKUP($A213,'Data shares'!$C:$FA,94)</f>
        <v>429300</v>
      </c>
      <c r="L213" s="86">
        <f>VLOOKUP($A213,'Data shares'!$C:$FA,96)</f>
        <v>25700</v>
      </c>
      <c r="M213" s="87">
        <f>VLOOKUP($A213,'Data shares'!$C:$FA,97)</f>
        <v>6.3700000000000007E-2</v>
      </c>
      <c r="N213" s="86">
        <f>VLOOKUP($A213,'Data shares'!$C:$FA,78)</f>
        <v>1961450</v>
      </c>
      <c r="O213" s="87">
        <f>VLOOKUP($A213,'Data shares'!$C:$FA,81)</f>
        <v>-2.3300000000000001E-2</v>
      </c>
    </row>
    <row r="214" spans="1:15" x14ac:dyDescent="0.25">
      <c r="A214" s="100" t="str">
        <f>'Data Vlaue (Cr)'!C209</f>
        <v>UNIONBANK</v>
      </c>
      <c r="B214" s="82">
        <f>VLOOKUP(A214,'Data shares'!$C$2:$CV$220,98,0)</f>
        <v>179115150</v>
      </c>
      <c r="C214" s="82">
        <f>VLOOKUP(A214,'Data shares'!$C$2:$CX$220,100,0)</f>
        <v>3668325</v>
      </c>
      <c r="D214" s="141">
        <f>VLOOKUP(A214,'Data shares'!$C$2:$CY$543,101,0)</f>
        <v>2.0899999999999998E-2</v>
      </c>
      <c r="E214" s="86">
        <f>VLOOKUP($A214,'Data shares'!$C:$FA,74)</f>
        <v>114660600</v>
      </c>
      <c r="F214" s="86">
        <f>VLOOKUP($A214,'Data shares'!$C:$FA,76)</f>
        <v>1318650</v>
      </c>
      <c r="G214" s="87">
        <f>VLOOKUP(A214,'Data shares'!$C$2:$CA$220,77,0)</f>
        <v>1.1599999999999999E-2</v>
      </c>
      <c r="H214" s="86">
        <f>VLOOKUP($A214,'Data shares'!$C:$FA,90)</f>
        <v>36028350</v>
      </c>
      <c r="I214" s="86">
        <f>VLOOKUP($A214,'Data shares'!$C:$FA,92)</f>
        <v>1597425</v>
      </c>
      <c r="J214" s="87">
        <f>VLOOKUP($A214,'Data shares'!$C:$FA,93)</f>
        <v>4.6399999999999997E-2</v>
      </c>
      <c r="K214" s="86">
        <f>VLOOKUP($A214,'Data shares'!$C:$FA,94)</f>
        <v>28426200</v>
      </c>
      <c r="L214" s="86">
        <f>VLOOKUP($A214,'Data shares'!$C:$FA,96)</f>
        <v>752250</v>
      </c>
      <c r="M214" s="87">
        <f>VLOOKUP($A214,'Data shares'!$C:$FA,97)</f>
        <v>2.7199999999999998E-2</v>
      </c>
      <c r="N214" s="86">
        <f>VLOOKUP($A214,'Data shares'!$C:$FA,78)</f>
        <v>97013700</v>
      </c>
      <c r="O214" s="87">
        <f>VLOOKUP($A214,'Data shares'!$C:$FA,81)</f>
        <v>-1.2999999999999999E-3</v>
      </c>
    </row>
    <row r="215" spans="1:15" x14ac:dyDescent="0.25">
      <c r="A215" s="100" t="str">
        <f>'Data Vlaue (Cr)'!C210</f>
        <v>UNITDSPR</v>
      </c>
      <c r="B215" s="82">
        <f>VLOOKUP(A215,'Data shares'!$C$2:$CV$220,98,0)</f>
        <v>20594400</v>
      </c>
      <c r="C215" s="82">
        <f>VLOOKUP(A215,'Data shares'!$C$2:$CX$220,100,0)</f>
        <v>-7600</v>
      </c>
      <c r="D215" s="141">
        <f>VLOOKUP(A215,'Data shares'!$C$2:$CY$543,101,0)</f>
        <v>-4.0000000000000002E-4</v>
      </c>
      <c r="E215" s="86">
        <f>VLOOKUP($A215,'Data shares'!$C:$FA,74)</f>
        <v>12946800</v>
      </c>
      <c r="F215" s="86">
        <f>VLOOKUP($A215,'Data shares'!$C:$FA,76)</f>
        <v>-334800</v>
      </c>
      <c r="G215" s="87">
        <f>VLOOKUP(A215,'Data shares'!$C$2:$CA$220,77,0)</f>
        <v>-2.52E-2</v>
      </c>
      <c r="H215" s="86">
        <f>VLOOKUP($A215,'Data shares'!$C:$FA,90)</f>
        <v>4622000</v>
      </c>
      <c r="I215" s="86">
        <f>VLOOKUP($A215,'Data shares'!$C:$FA,92)</f>
        <v>-60400</v>
      </c>
      <c r="J215" s="87">
        <f>VLOOKUP($A215,'Data shares'!$C:$FA,93)</f>
        <v>-1.29E-2</v>
      </c>
      <c r="K215" s="86">
        <f>VLOOKUP($A215,'Data shares'!$C:$FA,94)</f>
        <v>3025600</v>
      </c>
      <c r="L215" s="86">
        <f>VLOOKUP($A215,'Data shares'!$C:$FA,96)</f>
        <v>387600</v>
      </c>
      <c r="M215" s="87">
        <f>VLOOKUP($A215,'Data shares'!$C:$FA,97)</f>
        <v>0.1469</v>
      </c>
      <c r="N215" s="86">
        <f>VLOOKUP($A215,'Data shares'!$C:$FA,78)</f>
        <v>12375200</v>
      </c>
      <c r="O215" s="87">
        <f>VLOOKUP($A215,'Data shares'!$C:$FA,81)</f>
        <v>-3.85E-2</v>
      </c>
    </row>
    <row r="216" spans="1:15" s="89" customFormat="1" ht="16.5" customHeight="1" x14ac:dyDescent="0.2">
      <c r="A216" s="100" t="str">
        <f>'Data Vlaue (Cr)'!C211</f>
        <v>UNOMINDA</v>
      </c>
      <c r="B216" s="82">
        <f>VLOOKUP(A216,'Data shares'!$C$2:$CV$220,98,0)</f>
        <v>7115350</v>
      </c>
      <c r="C216" s="82">
        <f>VLOOKUP(A216,'Data shares'!$C$2:$CX$220,100,0)</f>
        <v>184800</v>
      </c>
      <c r="D216" s="141">
        <f>VLOOKUP(A216,'Data shares'!$C$2:$CY$543,101,0)</f>
        <v>2.6700000000000002E-2</v>
      </c>
      <c r="E216" s="86">
        <f>VLOOKUP($A216,'Data shares'!$C:$FA,74)</f>
        <v>4633750</v>
      </c>
      <c r="F216" s="86">
        <f>VLOOKUP($A216,'Data shares'!$C:$FA,76)</f>
        <v>44550</v>
      </c>
      <c r="G216" s="87">
        <f>VLOOKUP(A216,'Data shares'!$C$2:$CA$220,77,0)</f>
        <v>9.7000000000000003E-3</v>
      </c>
      <c r="H216" s="86">
        <f>VLOOKUP($A216,'Data shares'!$C:$FA,90)</f>
        <v>1764950</v>
      </c>
      <c r="I216" s="86">
        <f>VLOOKUP($A216,'Data shares'!$C:$FA,92)</f>
        <v>115500</v>
      </c>
      <c r="J216" s="87">
        <f>VLOOKUP($A216,'Data shares'!$C:$FA,93)</f>
        <v>7.0000000000000007E-2</v>
      </c>
      <c r="K216" s="86">
        <f>VLOOKUP($A216,'Data shares'!$C:$FA,94)</f>
        <v>716650</v>
      </c>
      <c r="L216" s="86">
        <f>VLOOKUP($A216,'Data shares'!$C:$FA,96)</f>
        <v>24750</v>
      </c>
      <c r="M216" s="87">
        <f>VLOOKUP($A216,'Data shares'!$C:$FA,97)</f>
        <v>3.5799999999999998E-2</v>
      </c>
      <c r="N216" s="86">
        <f>VLOOKUP($A216,'Data shares'!$C:$FA,78)</f>
        <v>4539700</v>
      </c>
      <c r="O216" s="87">
        <f>VLOOKUP($A216,'Data shares'!$C:$FA,81)</f>
        <v>3.8E-3</v>
      </c>
    </row>
    <row r="217" spans="1:15" s="89" customFormat="1" ht="16.5" customHeight="1" x14ac:dyDescent="0.2">
      <c r="A217" s="100" t="str">
        <f>'Data Vlaue (Cr)'!C212</f>
        <v>UPL</v>
      </c>
      <c r="B217" s="82">
        <f>VLOOKUP(A217,'Data shares'!$C$2:$CV$220,98,0)</f>
        <v>47319310</v>
      </c>
      <c r="C217" s="82">
        <f>VLOOKUP(A217,'Data shares'!$C$2:$CX$220,100,0)</f>
        <v>-349590</v>
      </c>
      <c r="D217" s="141">
        <f>VLOOKUP(A217,'Data shares'!$C$2:$CY$543,101,0)</f>
        <v>-7.3000000000000001E-3</v>
      </c>
      <c r="E217" s="86">
        <f>VLOOKUP($A217,'Data shares'!$C:$FA,74)</f>
        <v>30086420</v>
      </c>
      <c r="F217" s="86">
        <f>VLOOKUP($A217,'Data shares'!$C:$FA,76)</f>
        <v>-411920</v>
      </c>
      <c r="G217" s="87">
        <f>VLOOKUP(A217,'Data shares'!$C$2:$CA$220,77,0)</f>
        <v>-1.35E-2</v>
      </c>
      <c r="H217" s="86">
        <f>VLOOKUP($A217,'Data shares'!$C:$FA,90)</f>
        <v>9867110</v>
      </c>
      <c r="I217" s="86">
        <f>VLOOKUP($A217,'Data shares'!$C:$FA,92)</f>
        <v>-269645</v>
      </c>
      <c r="J217" s="87">
        <f>VLOOKUP($A217,'Data shares'!$C:$FA,93)</f>
        <v>-2.6599999999999999E-2</v>
      </c>
      <c r="K217" s="86">
        <f>VLOOKUP($A217,'Data shares'!$C:$FA,94)</f>
        <v>7365780</v>
      </c>
      <c r="L217" s="86">
        <f>VLOOKUP($A217,'Data shares'!$C:$FA,96)</f>
        <v>331975</v>
      </c>
      <c r="M217" s="87">
        <f>VLOOKUP($A217,'Data shares'!$C:$FA,97)</f>
        <v>4.7199999999999999E-2</v>
      </c>
      <c r="N217" s="86">
        <f>VLOOKUP($A217,'Data shares'!$C:$FA,78)</f>
        <v>29204315</v>
      </c>
      <c r="O217" s="87">
        <f>VLOOKUP($A217,'Data shares'!$C:$FA,81)</f>
        <v>-1.72E-2</v>
      </c>
    </row>
    <row r="218" spans="1:15" x14ac:dyDescent="0.25">
      <c r="A218" s="100" t="str">
        <f>'Data Vlaue (Cr)'!C213</f>
        <v>VBL</v>
      </c>
      <c r="B218" s="82">
        <f>VLOOKUP(A218,'Data shares'!$C$2:$CV$220,98,0)</f>
        <v>74008125</v>
      </c>
      <c r="C218" s="82">
        <f>VLOOKUP(A218,'Data shares'!$C$2:$CX$220,100,0)</f>
        <v>1182375</v>
      </c>
      <c r="D218" s="141">
        <f>VLOOKUP(A218,'Data shares'!$C$2:$CY$543,101,0)</f>
        <v>1.6199999999999999E-2</v>
      </c>
      <c r="E218" s="86">
        <f>VLOOKUP($A218,'Data shares'!$C:$FA,74)</f>
        <v>47617875</v>
      </c>
      <c r="F218" s="86">
        <f>VLOOKUP($A218,'Data shares'!$C:$FA,76)</f>
        <v>-1198125</v>
      </c>
      <c r="G218" s="87">
        <f>VLOOKUP(A218,'Data shares'!$C$2:$CA$220,77,0)</f>
        <v>-2.4500000000000001E-2</v>
      </c>
      <c r="H218" s="86">
        <f>VLOOKUP($A218,'Data shares'!$C:$FA,90)</f>
        <v>16292250</v>
      </c>
      <c r="I218" s="86">
        <f>VLOOKUP($A218,'Data shares'!$C:$FA,92)</f>
        <v>1278000</v>
      </c>
      <c r="J218" s="87">
        <f>VLOOKUP($A218,'Data shares'!$C:$FA,93)</f>
        <v>8.5099999999999995E-2</v>
      </c>
      <c r="K218" s="86">
        <f>VLOOKUP($A218,'Data shares'!$C:$FA,94)</f>
        <v>10098000</v>
      </c>
      <c r="L218" s="86">
        <f>VLOOKUP($A218,'Data shares'!$C:$FA,96)</f>
        <v>1102500</v>
      </c>
      <c r="M218" s="87">
        <f>VLOOKUP($A218,'Data shares'!$C:$FA,97)</f>
        <v>0.1226</v>
      </c>
      <c r="N218" s="86">
        <f>VLOOKUP($A218,'Data shares'!$C:$FA,78)</f>
        <v>45625500</v>
      </c>
      <c r="O218" s="87">
        <f>VLOOKUP($A218,'Data shares'!$C:$FA,81)</f>
        <v>-3.5999999999999997E-2</v>
      </c>
    </row>
    <row r="219" spans="1:15" x14ac:dyDescent="0.25">
      <c r="A219" s="100" t="str">
        <f>'Data Vlaue (Cr)'!C214</f>
        <v>VEDL</v>
      </c>
      <c r="B219" s="82">
        <f>VLOOKUP(A219,'Data shares'!$C$2:$CV$220,98,0)</f>
        <v>113772950</v>
      </c>
      <c r="C219" s="82">
        <f>VLOOKUP(A219,'Data shares'!$C$2:$CX$220,100,0)</f>
        <v>4447050</v>
      </c>
      <c r="D219" s="141">
        <f>VLOOKUP(A219,'Data shares'!$C$2:$CY$543,101,0)</f>
        <v>4.07E-2</v>
      </c>
      <c r="E219" s="86">
        <f>VLOOKUP($A219,'Data shares'!$C:$FA,74)</f>
        <v>52016800</v>
      </c>
      <c r="F219" s="86">
        <f>VLOOKUP($A219,'Data shares'!$C:$FA,76)</f>
        <v>1237400</v>
      </c>
      <c r="G219" s="87">
        <f>VLOOKUP(A219,'Data shares'!$C$2:$CA$220,77,0)</f>
        <v>2.4400000000000002E-2</v>
      </c>
      <c r="H219" s="86">
        <f>VLOOKUP($A219,'Data shares'!$C:$FA,90)</f>
        <v>31131650</v>
      </c>
      <c r="I219" s="86">
        <f>VLOOKUP($A219,'Data shares'!$C:$FA,92)</f>
        <v>1842300</v>
      </c>
      <c r="J219" s="87">
        <f>VLOOKUP($A219,'Data shares'!$C:$FA,93)</f>
        <v>6.2899999999999998E-2</v>
      </c>
      <c r="K219" s="86">
        <f>VLOOKUP($A219,'Data shares'!$C:$FA,94)</f>
        <v>30624500</v>
      </c>
      <c r="L219" s="86">
        <f>VLOOKUP($A219,'Data shares'!$C:$FA,96)</f>
        <v>1367350</v>
      </c>
      <c r="M219" s="87">
        <f>VLOOKUP($A219,'Data shares'!$C:$FA,97)</f>
        <v>4.6699999999999998E-2</v>
      </c>
      <c r="N219" s="86">
        <f>VLOOKUP($A219,'Data shares'!$C:$FA,78)</f>
        <v>48738150</v>
      </c>
      <c r="O219" s="87">
        <f>VLOOKUP($A219,'Data shares'!$C:$FA,81)</f>
        <v>1.15E-2</v>
      </c>
    </row>
    <row r="220" spans="1:15" x14ac:dyDescent="0.25">
      <c r="A220" s="100" t="str">
        <f>'Data Vlaue (Cr)'!C215</f>
        <v>VMM</v>
      </c>
      <c r="B220" s="82">
        <f>VLOOKUP(A220,'Data shares'!$C$2:$CV$220,98,0)</f>
        <v>38121000</v>
      </c>
      <c r="C220" s="82">
        <f>VLOOKUP(A220,'Data shares'!$C$2:$CX$220,100,0)</f>
        <v>5499900</v>
      </c>
      <c r="D220" s="141">
        <f>VLOOKUP(A220,'Data shares'!$C$2:$CY$543,101,0)</f>
        <v>0.1686</v>
      </c>
      <c r="E220" s="86">
        <f>VLOOKUP($A220,'Data shares'!$C:$FA,74)</f>
        <v>27601350</v>
      </c>
      <c r="F220" s="86">
        <f>VLOOKUP($A220,'Data shares'!$C:$FA,76)</f>
        <v>4272850</v>
      </c>
      <c r="G220" s="87">
        <f>VLOOKUP(A220,'Data shares'!$C$2:$CA$220,77,0)</f>
        <v>0.1832</v>
      </c>
      <c r="H220" s="86">
        <f>VLOOKUP($A220,'Data shares'!$C:$FA,90)</f>
        <v>6523250</v>
      </c>
      <c r="I220" s="86">
        <f>VLOOKUP($A220,'Data shares'!$C:$FA,92)</f>
        <v>1062150</v>
      </c>
      <c r="J220" s="87">
        <f>VLOOKUP($A220,'Data shares'!$C:$FA,93)</f>
        <v>0.19450000000000001</v>
      </c>
      <c r="K220" s="86">
        <f>VLOOKUP($A220,'Data shares'!$C:$FA,94)</f>
        <v>3996400</v>
      </c>
      <c r="L220" s="86">
        <f>VLOOKUP($A220,'Data shares'!$C:$FA,96)</f>
        <v>164900</v>
      </c>
      <c r="M220" s="87">
        <f>VLOOKUP($A220,'Data shares'!$C:$FA,97)</f>
        <v>4.2999999999999997E-2</v>
      </c>
      <c r="N220" s="86">
        <f>VLOOKUP($A220,'Data shares'!$C:$FA,78)</f>
        <v>26738050</v>
      </c>
      <c r="O220" s="87">
        <f>VLOOKUP($A220,'Data shares'!$C:$FA,81)</f>
        <v>0.1757</v>
      </c>
    </row>
    <row r="221" spans="1:15" x14ac:dyDescent="0.25">
      <c r="A221" s="100" t="str">
        <f>'Data Vlaue (Cr)'!C216</f>
        <v>VOLTAS</v>
      </c>
      <c r="B221" s="82">
        <f>VLOOKUP(A221,'Data shares'!$C$2:$CV$220,98,0)</f>
        <v>20668125</v>
      </c>
      <c r="C221" s="82">
        <f>VLOOKUP(A221,'Data shares'!$C$2:$CX$220,100,0)</f>
        <v>-45375</v>
      </c>
      <c r="D221" s="141">
        <f>VLOOKUP(A221,'Data shares'!$C$2:$CY$543,101,0)</f>
        <v>-2.2000000000000001E-3</v>
      </c>
      <c r="E221" s="86">
        <f>VLOOKUP($A221,'Data shares'!$C:$FA,74)</f>
        <v>12342000</v>
      </c>
      <c r="F221" s="86">
        <f>VLOOKUP($A221,'Data shares'!$C:$FA,76)</f>
        <v>61500</v>
      </c>
      <c r="G221" s="87">
        <f>VLOOKUP(A221,'Data shares'!$C$2:$CA$220,77,0)</f>
        <v>5.0000000000000001E-3</v>
      </c>
      <c r="H221" s="86">
        <f>VLOOKUP($A221,'Data shares'!$C:$FA,90)</f>
        <v>4279500</v>
      </c>
      <c r="I221" s="86">
        <f>VLOOKUP($A221,'Data shares'!$C:$FA,92)</f>
        <v>-440250</v>
      </c>
      <c r="J221" s="87">
        <f>VLOOKUP($A221,'Data shares'!$C:$FA,93)</f>
        <v>-9.3299999999999994E-2</v>
      </c>
      <c r="K221" s="86">
        <f>VLOOKUP($A221,'Data shares'!$C:$FA,94)</f>
        <v>4046625</v>
      </c>
      <c r="L221" s="86">
        <f>VLOOKUP($A221,'Data shares'!$C:$FA,96)</f>
        <v>333375</v>
      </c>
      <c r="M221" s="87">
        <f>VLOOKUP($A221,'Data shares'!$C:$FA,97)</f>
        <v>8.9800000000000005E-2</v>
      </c>
      <c r="N221" s="86">
        <f>VLOOKUP($A221,'Data shares'!$C:$FA,78)</f>
        <v>10682250</v>
      </c>
      <c r="O221" s="87">
        <f>VLOOKUP($A221,'Data shares'!$C:$FA,81)</f>
        <v>-1.8E-3</v>
      </c>
    </row>
    <row r="222" spans="1:15" x14ac:dyDescent="0.25">
      <c r="A222" s="100" t="str">
        <f>'Data Vlaue (Cr)'!C217</f>
        <v>WAAREEENER</v>
      </c>
      <c r="B222" s="82">
        <f>VLOOKUP(A222,'Data shares'!$C$2:$CV$220,98,0)</f>
        <v>8510425</v>
      </c>
      <c r="C222" s="82">
        <f>VLOOKUP(A222,'Data shares'!$C$2:$CX$220,100,0)</f>
        <v>-146650</v>
      </c>
      <c r="D222" s="141">
        <f>VLOOKUP(A222,'Data shares'!$C$2:$CY$543,101,0)</f>
        <v>-1.6899999999999998E-2</v>
      </c>
      <c r="E222" s="86">
        <f>VLOOKUP($A222,'Data shares'!$C:$FA,74)</f>
        <v>4788000</v>
      </c>
      <c r="F222" s="86">
        <f>VLOOKUP($A222,'Data shares'!$C:$FA,76)</f>
        <v>-95900</v>
      </c>
      <c r="G222" s="87">
        <f>VLOOKUP(A222,'Data shares'!$C$2:$CA$220,77,0)</f>
        <v>-1.9599999999999999E-2</v>
      </c>
      <c r="H222" s="86">
        <f>VLOOKUP($A222,'Data shares'!$C:$FA,90)</f>
        <v>2144100</v>
      </c>
      <c r="I222" s="86">
        <f>VLOOKUP($A222,'Data shares'!$C:$FA,92)</f>
        <v>67550</v>
      </c>
      <c r="J222" s="87">
        <f>VLOOKUP($A222,'Data shares'!$C:$FA,93)</f>
        <v>3.2500000000000001E-2</v>
      </c>
      <c r="K222" s="86">
        <f>VLOOKUP($A222,'Data shares'!$C:$FA,94)</f>
        <v>1578325</v>
      </c>
      <c r="L222" s="86">
        <f>VLOOKUP($A222,'Data shares'!$C:$FA,96)</f>
        <v>-118300</v>
      </c>
      <c r="M222" s="87">
        <f>VLOOKUP($A222,'Data shares'!$C:$FA,97)</f>
        <v>-6.9699999999999998E-2</v>
      </c>
      <c r="N222" s="86">
        <f>VLOOKUP($A222,'Data shares'!$C:$FA,78)</f>
        <v>4396175</v>
      </c>
      <c r="O222" s="87">
        <f>VLOOKUP($A222,'Data shares'!$C:$FA,81)</f>
        <v>-4.4299999999999999E-2</v>
      </c>
    </row>
    <row r="223" spans="1:15" x14ac:dyDescent="0.25">
      <c r="A223" s="100" t="str">
        <f>'Data Vlaue (Cr)'!C218</f>
        <v>WIPRO</v>
      </c>
      <c r="B223" s="82">
        <f>VLOOKUP(A223,'Data shares'!$C$2:$CV$220,98,0)</f>
        <v>575652000</v>
      </c>
      <c r="C223" s="82">
        <f>VLOOKUP(A223,'Data shares'!$C$2:$CX$220,100,0)</f>
        <v>83310000</v>
      </c>
      <c r="D223" s="141">
        <f>VLOOKUP(A223,'Data shares'!$C$2:$CY$543,101,0)</f>
        <v>0.16919999999999999</v>
      </c>
      <c r="E223" s="86">
        <f>VLOOKUP($A223,'Data shares'!$C:$FA,74)</f>
        <v>321855000</v>
      </c>
      <c r="F223" s="86">
        <f>VLOOKUP($A223,'Data shares'!$C:$FA,76)</f>
        <v>35715000</v>
      </c>
      <c r="G223" s="87">
        <f>VLOOKUP(A223,'Data shares'!$C$2:$CA$220,77,0)</f>
        <v>0.12479999999999999</v>
      </c>
      <c r="H223" s="86">
        <f>VLOOKUP($A223,'Data shares'!$C:$FA,90)</f>
        <v>170253000</v>
      </c>
      <c r="I223" s="86">
        <f>VLOOKUP($A223,'Data shares'!$C:$FA,92)</f>
        <v>33708000</v>
      </c>
      <c r="J223" s="87">
        <f>VLOOKUP($A223,'Data shares'!$C:$FA,93)</f>
        <v>0.24690000000000001</v>
      </c>
      <c r="K223" s="86">
        <f>VLOOKUP($A223,'Data shares'!$C:$FA,94)</f>
        <v>83544000</v>
      </c>
      <c r="L223" s="86">
        <f>VLOOKUP($A223,'Data shares'!$C:$FA,96)</f>
        <v>13887000</v>
      </c>
      <c r="M223" s="87">
        <f>VLOOKUP($A223,'Data shares'!$C:$FA,97)</f>
        <v>0.19939999999999999</v>
      </c>
      <c r="N223" s="86">
        <f>VLOOKUP($A223,'Data shares'!$C:$FA,78)</f>
        <v>250206000</v>
      </c>
      <c r="O223" s="87">
        <f>VLOOKUP($A223,'Data shares'!$C:$FA,81)</f>
        <v>7.9799999999999996E-2</v>
      </c>
    </row>
    <row r="224" spans="1:15" x14ac:dyDescent="0.25">
      <c r="A224" s="100" t="str">
        <f>'Data Vlaue (Cr)'!C219</f>
        <v>YESBANK</v>
      </c>
      <c r="B224" s="82">
        <f>VLOOKUP(A224,'Data shares'!$C$2:$CV$220,98,0)</f>
        <v>2058198000</v>
      </c>
      <c r="C224" s="82">
        <f>VLOOKUP(A224,'Data shares'!$C$2:$CX$220,100,0)</f>
        <v>278531600</v>
      </c>
      <c r="D224" s="141">
        <f>VLOOKUP(A224,'Data shares'!$C$2:$CY$543,101,0)</f>
        <v>0.1565</v>
      </c>
      <c r="E224" s="86">
        <f>VLOOKUP($A224,'Data shares'!$C:$FA,74)</f>
        <v>1261758100</v>
      </c>
      <c r="F224" s="86">
        <f>VLOOKUP($A224,'Data shares'!$C:$FA,76)</f>
        <v>71716600</v>
      </c>
      <c r="G224" s="87">
        <f>VLOOKUP(A224,'Data shares'!$C$2:$CA$220,77,0)</f>
        <v>6.0299999999999999E-2</v>
      </c>
      <c r="H224" s="86">
        <f>VLOOKUP($A224,'Data shares'!$C:$FA,90)</f>
        <v>488176700</v>
      </c>
      <c r="I224" s="86">
        <f>VLOOKUP($A224,'Data shares'!$C:$FA,92)</f>
        <v>170832300</v>
      </c>
      <c r="J224" s="87">
        <f>VLOOKUP($A224,'Data shares'!$C:$FA,93)</f>
        <v>0.5383</v>
      </c>
      <c r="K224" s="86">
        <f>VLOOKUP($A224,'Data shares'!$C:$FA,94)</f>
        <v>308263200</v>
      </c>
      <c r="L224" s="86">
        <f>VLOOKUP($A224,'Data shares'!$C:$FA,96)</f>
        <v>35982700</v>
      </c>
      <c r="M224" s="87">
        <f>VLOOKUP($A224,'Data shares'!$C:$FA,97)</f>
        <v>0.13220000000000001</v>
      </c>
      <c r="N224" s="86">
        <f>VLOOKUP($A224,'Data shares'!$C:$FA,78)</f>
        <v>1090832500</v>
      </c>
      <c r="O224" s="87">
        <f>VLOOKUP($A224,'Data shares'!$C:$FA,81)</f>
        <v>4.8800000000000003E-2</v>
      </c>
    </row>
    <row r="225" spans="1:15" x14ac:dyDescent="0.25">
      <c r="A225" s="100" t="str">
        <f>'Data Vlaue (Cr)'!C220</f>
        <v>ZYDUSLIFE</v>
      </c>
      <c r="B225" s="82">
        <f>VLOOKUP(A225,'Data shares'!$C$2:$CV$220,98,0)</f>
        <v>14497200</v>
      </c>
      <c r="C225" s="82">
        <f>VLOOKUP(A225,'Data shares'!$C$2:$CX$220,100,0)</f>
        <v>-260100</v>
      </c>
      <c r="D225" s="141">
        <f>VLOOKUP(A225,'Data shares'!$C$2:$CY$543,101,0)</f>
        <v>-1.7600000000000001E-2</v>
      </c>
      <c r="E225" s="86">
        <f>VLOOKUP($A225,'Data shares'!$C:$FA,74)</f>
        <v>9289800</v>
      </c>
      <c r="F225" s="86">
        <f>VLOOKUP($A225,'Data shares'!$C:$FA,76)</f>
        <v>24300</v>
      </c>
      <c r="G225" s="87">
        <f>VLOOKUP(A225,'Data shares'!$C$2:$CA$220,77,0)</f>
        <v>2.5999999999999999E-3</v>
      </c>
      <c r="H225" s="86">
        <f>VLOOKUP($A225,'Data shares'!$C:$FA,90)</f>
        <v>2948400</v>
      </c>
      <c r="I225" s="86">
        <f>VLOOKUP($A225,'Data shares'!$C:$FA,92)</f>
        <v>-130500</v>
      </c>
      <c r="J225" s="87">
        <f>VLOOKUP($A225,'Data shares'!$C:$FA,93)</f>
        <v>-4.24E-2</v>
      </c>
      <c r="K225" s="86">
        <f>VLOOKUP($A225,'Data shares'!$C:$FA,94)</f>
        <v>2259000</v>
      </c>
      <c r="L225" s="86">
        <f>VLOOKUP($A225,'Data shares'!$C:$FA,96)</f>
        <v>-153900</v>
      </c>
      <c r="M225" s="87">
        <f>VLOOKUP($A225,'Data shares'!$C:$FA,97)</f>
        <v>-6.3799999999999996E-2</v>
      </c>
      <c r="N225" s="86">
        <f>VLOOKUP($A225,'Data shares'!$C:$FA,78)</f>
        <v>8996400</v>
      </c>
      <c r="O225" s="87">
        <f>VLOOKUP($A225,'Data shares'!$C:$FA,81)</f>
        <v>-4.5999999999999999E-3</v>
      </c>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82"/>
      <c r="C227" s="82"/>
      <c r="D227" s="141"/>
      <c r="E227" s="86"/>
      <c r="F227" s="86"/>
      <c r="G227" s="87"/>
      <c r="H227" s="86"/>
      <c r="I227" s="86"/>
      <c r="J227" s="87"/>
      <c r="K227" s="86"/>
      <c r="L227" s="86"/>
      <c r="M227" s="87"/>
      <c r="N227" s="86"/>
      <c r="O227" s="87"/>
    </row>
    <row r="228" spans="1:15" x14ac:dyDescent="0.25">
      <c r="A228" s="100"/>
      <c r="B228" s="82"/>
      <c r="C228" s="82"/>
      <c r="D228" s="141"/>
      <c r="E228" s="86"/>
      <c r="F228" s="86"/>
      <c r="G228" s="87"/>
      <c r="H228" s="86"/>
      <c r="I228" s="86"/>
      <c r="J228" s="87"/>
      <c r="K228" s="86"/>
      <c r="L228" s="86"/>
      <c r="M228" s="87"/>
      <c r="N228" s="86"/>
      <c r="O228" s="87"/>
    </row>
    <row r="229" spans="1:15" x14ac:dyDescent="0.25">
      <c r="A229" s="100"/>
      <c r="B229" s="82"/>
      <c r="C229" s="82"/>
      <c r="D229" s="141"/>
      <c r="E229" s="86"/>
      <c r="F229" s="86"/>
      <c r="G229" s="87"/>
      <c r="H229" s="86"/>
      <c r="I229" s="86"/>
      <c r="J229" s="87"/>
      <c r="K229" s="86"/>
      <c r="L229" s="86"/>
      <c r="M229" s="87"/>
      <c r="N229" s="86"/>
      <c r="O229" s="87"/>
    </row>
    <row r="230" spans="1:15" x14ac:dyDescent="0.25">
      <c r="A230" s="100"/>
      <c r="B230" s="82"/>
      <c r="C230" s="82"/>
      <c r="D230" s="141"/>
      <c r="E230" s="86"/>
      <c r="F230" s="86"/>
      <c r="G230" s="87"/>
      <c r="H230" s="86"/>
      <c r="I230" s="86"/>
      <c r="J230" s="87"/>
      <c r="K230" s="86"/>
      <c r="L230" s="86"/>
      <c r="M230" s="87"/>
      <c r="N230" s="86"/>
      <c r="O230" s="87"/>
    </row>
    <row r="231" spans="1:15" x14ac:dyDescent="0.25">
      <c r="A231" s="100"/>
      <c r="B231" s="82"/>
      <c r="C231" s="82"/>
      <c r="D231" s="141"/>
      <c r="E231" s="86"/>
      <c r="F231" s="86"/>
      <c r="G231" s="87"/>
      <c r="H231" s="86"/>
      <c r="I231" s="86"/>
      <c r="J231" s="87"/>
      <c r="K231" s="86"/>
      <c r="L231" s="86"/>
      <c r="M231" s="87"/>
      <c r="N231" s="86"/>
      <c r="O231" s="87"/>
    </row>
    <row r="232" spans="1:15" x14ac:dyDescent="0.25">
      <c r="A232" s="100"/>
      <c r="B232" s="17"/>
      <c r="C232" s="17"/>
      <c r="D232" s="17"/>
      <c r="E232" s="17"/>
      <c r="F232" s="17"/>
      <c r="G232" s="17"/>
      <c r="H232" s="17"/>
      <c r="I232" s="17"/>
      <c r="J232" s="17"/>
      <c r="K232" s="17"/>
      <c r="L232" s="17"/>
      <c r="M232" s="17"/>
      <c r="N232" s="17"/>
      <c r="O232" s="17"/>
    </row>
    <row r="233" spans="1:15" x14ac:dyDescent="0.25">
      <c r="A233" s="98"/>
      <c r="B233" s="17"/>
      <c r="C233" s="17"/>
      <c r="D233" s="17"/>
      <c r="E233" s="17"/>
      <c r="F233" s="17"/>
      <c r="G233" s="17"/>
      <c r="H233" s="17"/>
      <c r="I233" s="17"/>
      <c r="J233" s="17"/>
      <c r="K233" s="17"/>
      <c r="L233" s="17"/>
      <c r="M233" s="17"/>
      <c r="N233" s="17"/>
      <c r="O233" s="17"/>
    </row>
    <row r="234" spans="1:15" x14ac:dyDescent="0.25">
      <c r="A234" s="118" t="s">
        <v>391</v>
      </c>
      <c r="B234" s="119">
        <f>SUM(B7:B227)</f>
        <v>26786799692</v>
      </c>
      <c r="C234" s="119">
        <f>SUM(C7:C227)</f>
        <v>798262231</v>
      </c>
      <c r="D234" s="120">
        <f>C234*100/(B234-C234)</f>
        <v>3.0715935138632617</v>
      </c>
      <c r="E234" s="119">
        <f>SUM(E7:E227)</f>
        <v>16992915307</v>
      </c>
      <c r="F234" s="119">
        <f>SUM(F7:F227)</f>
        <v>165483279</v>
      </c>
      <c r="G234" s="120">
        <f>F234*100/(E234-F234)</f>
        <v>0.9834137420650052</v>
      </c>
      <c r="H234" s="119">
        <f>SUM(H7:H227)</f>
        <v>5750613040</v>
      </c>
      <c r="I234" s="119">
        <f>SUM(I7:I227)</f>
        <v>391075718</v>
      </c>
      <c r="J234" s="120">
        <f>I234*100/(H234-I234)</f>
        <v>7.2968186338529613</v>
      </c>
      <c r="K234" s="119">
        <f>SUM(K7:K227)</f>
        <v>4043271345</v>
      </c>
      <c r="L234" s="119">
        <f>SUM(L7:L227)</f>
        <v>241703234</v>
      </c>
      <c r="M234" s="120">
        <f>L234*100/(K234-L234)</f>
        <v>6.3579877288169939</v>
      </c>
      <c r="N234" s="119">
        <f>SUM(N7:N227)</f>
        <v>15057335055</v>
      </c>
      <c r="O234" s="120">
        <f>(N234-FII!V3)/N234*100</f>
        <v>-1.5719165585108246</v>
      </c>
    </row>
    <row r="235" spans="1:15" x14ac:dyDescent="0.25">
      <c r="A235" s="118" t="s">
        <v>409</v>
      </c>
      <c r="B235" s="121">
        <f>B234/10000000</f>
        <v>2678.6799692</v>
      </c>
      <c r="C235" s="121">
        <f>C234/10000000</f>
        <v>79.826223100000007</v>
      </c>
      <c r="D235" s="120">
        <f>D234</f>
        <v>3.0715935138632617</v>
      </c>
      <c r="E235" s="121">
        <f>E234/10000000</f>
        <v>1699.2915307000001</v>
      </c>
      <c r="F235" s="121">
        <f>F234/10000000</f>
        <v>16.5483279</v>
      </c>
      <c r="G235" s="120">
        <f>G234</f>
        <v>0.9834137420650052</v>
      </c>
      <c r="H235" s="121">
        <f>H234/10000000</f>
        <v>575.06130399999995</v>
      </c>
      <c r="I235" s="121">
        <f>I234/10000000</f>
        <v>39.107571800000002</v>
      </c>
      <c r="J235" s="120">
        <f>J234</f>
        <v>7.2968186338529613</v>
      </c>
      <c r="K235" s="121">
        <f>K234/10000000</f>
        <v>404.3271345</v>
      </c>
      <c r="L235" s="121">
        <f>L234/10000000</f>
        <v>24.170323400000001</v>
      </c>
      <c r="M235" s="120">
        <f>M234</f>
        <v>6.3579877288169939</v>
      </c>
      <c r="N235" s="121">
        <f>N234/10000000</f>
        <v>1505.7335055000001</v>
      </c>
      <c r="O235" s="120">
        <f>O234</f>
        <v>-1.5719165585108246</v>
      </c>
    </row>
    <row r="243" spans="1:4" x14ac:dyDescent="0.25">
      <c r="A243" s="274" t="s">
        <v>410</v>
      </c>
      <c r="B243" s="274"/>
      <c r="C243" s="274"/>
      <c r="D243" s="274"/>
    </row>
    <row r="244" spans="1:4" x14ac:dyDescent="0.25">
      <c r="A244" s="35" t="s">
        <v>401</v>
      </c>
      <c r="B244" s="35" t="s">
        <v>402</v>
      </c>
      <c r="C244" s="35" t="s">
        <v>369</v>
      </c>
      <c r="D244" s="35" t="s">
        <v>407</v>
      </c>
    </row>
    <row r="245" spans="1:4" x14ac:dyDescent="0.25">
      <c r="A245" s="36" t="s">
        <v>403</v>
      </c>
      <c r="B245" s="37">
        <f>E235</f>
        <v>1699.2915307000001</v>
      </c>
      <c r="C245" s="37">
        <f>F235</f>
        <v>16.5483279</v>
      </c>
      <c r="D245" s="39">
        <f>C245/B245</f>
        <v>9.7383689620245094E-3</v>
      </c>
    </row>
    <row r="246" spans="1:4" x14ac:dyDescent="0.25">
      <c r="A246" s="36" t="s">
        <v>404</v>
      </c>
      <c r="B246" s="37">
        <f>H235</f>
        <v>575.06130399999995</v>
      </c>
      <c r="C246" s="37">
        <f>I235</f>
        <v>39.107571800000002</v>
      </c>
      <c r="D246" s="39">
        <f>C246/B246</f>
        <v>6.8005917852542563E-2</v>
      </c>
    </row>
    <row r="247" spans="1:4" x14ac:dyDescent="0.25">
      <c r="A247" s="36" t="s">
        <v>405</v>
      </c>
      <c r="B247" s="37">
        <f>K235</f>
        <v>404.3271345</v>
      </c>
      <c r="C247" s="37">
        <f>L235</f>
        <v>24.170323400000001</v>
      </c>
      <c r="D247" s="39">
        <f>C247/B247</f>
        <v>5.9779127685530099E-2</v>
      </c>
    </row>
    <row r="248" spans="1:4" x14ac:dyDescent="0.25">
      <c r="A248" s="36" t="s">
        <v>406</v>
      </c>
      <c r="B248" s="40">
        <f>SUM(B245:B247)</f>
        <v>2678.6799692</v>
      </c>
      <c r="C248" s="40">
        <f>SUM(C245:C247)</f>
        <v>79.826223100000007</v>
      </c>
      <c r="D248" s="41">
        <f>C248/B248</f>
        <v>2.980058238306104E-2</v>
      </c>
    </row>
  </sheetData>
  <mergeCells count="9">
    <mergeCell ref="A243:D243"/>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workbookViewId="0">
      <pane ySplit="6" topLeftCell="A7" activePane="bottomLeft" state="frozen"/>
      <selection pane="bottomLeft" activeCell="A7" sqref="A7:A225"/>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80" t="s">
        <v>334</v>
      </c>
      <c r="B3" s="281"/>
      <c r="C3" s="281"/>
      <c r="D3" s="282"/>
      <c r="E3" s="283"/>
      <c r="F3" s="283"/>
      <c r="G3" s="283"/>
      <c r="H3" s="283"/>
      <c r="I3" s="283"/>
      <c r="J3" s="283"/>
      <c r="K3" s="283"/>
      <c r="L3" s="283"/>
      <c r="M3" s="283"/>
      <c r="N3" s="283"/>
      <c r="O3" s="284"/>
    </row>
    <row r="4" spans="1:15" x14ac:dyDescent="0.25">
      <c r="A4" s="285" t="s">
        <v>330</v>
      </c>
      <c r="B4" s="287" t="s">
        <v>309</v>
      </c>
      <c r="C4" s="288"/>
      <c r="D4" s="288"/>
      <c r="E4" s="288"/>
      <c r="F4" s="288"/>
      <c r="G4" s="288"/>
      <c r="H4" s="288"/>
      <c r="I4" s="288"/>
      <c r="J4" s="288"/>
      <c r="K4" s="288"/>
      <c r="L4" s="288"/>
      <c r="M4" s="288"/>
      <c r="N4" s="288"/>
      <c r="O4" s="289"/>
    </row>
    <row r="5" spans="1:15" x14ac:dyDescent="0.25">
      <c r="A5" s="286"/>
      <c r="B5" s="290" t="s">
        <v>314</v>
      </c>
      <c r="C5" s="290"/>
      <c r="D5" s="291"/>
      <c r="E5" s="290" t="s">
        <v>335</v>
      </c>
      <c r="F5" s="290"/>
      <c r="G5" s="291"/>
      <c r="H5" s="290" t="s">
        <v>336</v>
      </c>
      <c r="I5" s="290"/>
      <c r="J5" s="291"/>
      <c r="K5" s="290" t="s">
        <v>337</v>
      </c>
      <c r="L5" s="290"/>
      <c r="M5" s="291"/>
      <c r="N5" s="290" t="s">
        <v>338</v>
      </c>
      <c r="O5" s="291"/>
    </row>
    <row r="6" spans="1:15" x14ac:dyDescent="0.25">
      <c r="A6" s="3" t="s">
        <v>318</v>
      </c>
      <c r="B6" s="3">
        <f>'Sectorwise OI'!D6</f>
        <v>46129</v>
      </c>
      <c r="C6" s="76" t="s">
        <v>333</v>
      </c>
      <c r="D6" s="76" t="s">
        <v>328</v>
      </c>
      <c r="E6" s="3">
        <f>B6</f>
        <v>46129</v>
      </c>
      <c r="F6" s="76" t="s">
        <v>333</v>
      </c>
      <c r="G6" s="76" t="s">
        <v>328</v>
      </c>
      <c r="H6" s="3">
        <f>E6</f>
        <v>46129</v>
      </c>
      <c r="I6" s="76" t="s">
        <v>333</v>
      </c>
      <c r="J6" s="76" t="s">
        <v>328</v>
      </c>
      <c r="K6" s="3">
        <f>E6</f>
        <v>46129</v>
      </c>
      <c r="L6" s="76" t="s">
        <v>333</v>
      </c>
      <c r="M6" s="76" t="s">
        <v>328</v>
      </c>
      <c r="N6" s="76" t="s">
        <v>339</v>
      </c>
      <c r="O6" s="76" t="s">
        <v>328</v>
      </c>
    </row>
    <row r="7" spans="1:15" x14ac:dyDescent="0.25">
      <c r="A7" s="97" t="str">
        <f>'Data Vlaue (Cr)'!C2</f>
        <v>360ONE</v>
      </c>
      <c r="B7" s="142">
        <f>VLOOKUP(A7,'Data Vlaue (Cr)'!C2:CW220,99,0)</f>
        <v>1100</v>
      </c>
      <c r="C7" s="90">
        <f>VLOOKUP(A7,'Data Vlaue (Cr)'!C2:CY220,101,0)</f>
        <v>97</v>
      </c>
      <c r="D7" s="139">
        <f>VLOOKUP(A7,'Data Vlaue (Cr)'!C2:CZ220,102,0)</f>
        <v>9.6600000000000005E-2</v>
      </c>
      <c r="E7" s="91">
        <f>VLOOKUP($A7,'Data Vlaue (Cr)'!$C:$FB,75)</f>
        <v>658</v>
      </c>
      <c r="F7" s="91">
        <f>VLOOKUP($A7,'Data Vlaue (Cr)'!$C:$FB,77)</f>
        <v>27</v>
      </c>
      <c r="G7" s="92">
        <f>VLOOKUP(A7,'Data Vlaue (Cr)'!C2:CB220,78,0)</f>
        <v>4.24E-2</v>
      </c>
      <c r="H7" s="91">
        <f>VLOOKUP($A7,'Data Vlaue (Cr)'!$C:$FB,91)</f>
        <v>198</v>
      </c>
      <c r="I7" s="91">
        <f>VLOOKUP($A7,'Data Vlaue (Cr)'!$C:$FB,93)</f>
        <v>35</v>
      </c>
      <c r="J7" s="92">
        <f>VLOOKUP($A7,'Data Vlaue (Cr)'!$C:$FB,94)</f>
        <v>0.21079999999999999</v>
      </c>
      <c r="K7" s="91">
        <f>VLOOKUP($A7,'Data Vlaue (Cr)'!$C:$FB,95)</f>
        <v>243</v>
      </c>
      <c r="L7" s="91">
        <f>VLOOKUP($A7,'Data Vlaue (Cr)'!$C:$FB,97)</f>
        <v>36</v>
      </c>
      <c r="M7" s="92">
        <f>VLOOKUP($A7,'Data Vlaue (Cr)'!$C:$FB,98)</f>
        <v>0.17119999999999999</v>
      </c>
      <c r="N7" s="91">
        <f>VLOOKUP($A7,'Data Vlaue (Cr)'!$C:$FB,79)</f>
        <v>600</v>
      </c>
      <c r="O7" s="92">
        <f>VLOOKUP($A7,'Data Vlaue (Cr)'!$C:$FB,82)</f>
        <v>4.58E-2</v>
      </c>
    </row>
    <row r="8" spans="1:15" x14ac:dyDescent="0.25">
      <c r="A8" s="97" t="str">
        <f>'Data Vlaue (Cr)'!C3</f>
        <v>ABB</v>
      </c>
      <c r="B8" s="142">
        <f>VLOOKUP(A8,'Data Vlaue (Cr)'!C3:CW221,99,0)</f>
        <v>3191</v>
      </c>
      <c r="C8" s="90">
        <f>VLOOKUP(A8,'Data Vlaue (Cr)'!C3:CY221,101,0)</f>
        <v>81</v>
      </c>
      <c r="D8" s="139">
        <f>VLOOKUP(A8,'Data Vlaue (Cr)'!C3:CZ221,102,0)</f>
        <v>2.5999999999999999E-2</v>
      </c>
      <c r="E8" s="91">
        <f>VLOOKUP($A8,'Data Vlaue (Cr)'!$C:$FB,75)</f>
        <v>1691</v>
      </c>
      <c r="F8" s="91">
        <f>VLOOKUP($A8,'Data Vlaue (Cr)'!$C:$FB,77)</f>
        <v>7</v>
      </c>
      <c r="G8" s="92">
        <f>VLOOKUP(A8,'Data Vlaue (Cr)'!C3:CB221,78,0)</f>
        <v>4.4000000000000003E-3</v>
      </c>
      <c r="H8" s="91">
        <f>VLOOKUP($A8,'Data Vlaue (Cr)'!$C:$FB,91)</f>
        <v>703</v>
      </c>
      <c r="I8" s="91">
        <f>VLOOKUP($A8,'Data Vlaue (Cr)'!$C:$FB,93)</f>
        <v>14</v>
      </c>
      <c r="J8" s="92">
        <f>VLOOKUP($A8,'Data Vlaue (Cr)'!$C:$FB,94)</f>
        <v>2.07E-2</v>
      </c>
      <c r="K8" s="91">
        <f>VLOOKUP($A8,'Data Vlaue (Cr)'!$C:$FB,95)</f>
        <v>796</v>
      </c>
      <c r="L8" s="91">
        <f>VLOOKUP($A8,'Data Vlaue (Cr)'!$C:$FB,97)</f>
        <v>59</v>
      </c>
      <c r="M8" s="92">
        <f>VLOOKUP($A8,'Data Vlaue (Cr)'!$C:$FB,98)</f>
        <v>8.0399999999999999E-2</v>
      </c>
      <c r="N8" s="91">
        <f>VLOOKUP($A8,'Data Vlaue (Cr)'!$C:$FB,79)</f>
        <v>1581</v>
      </c>
      <c r="O8" s="92">
        <f>VLOOKUP($A8,'Data Vlaue (Cr)'!$C:$FB,82)</f>
        <v>-1.1000000000000001E-3</v>
      </c>
    </row>
    <row r="9" spans="1:15" x14ac:dyDescent="0.25">
      <c r="A9" s="97" t="str">
        <f>'Data Vlaue (Cr)'!C4</f>
        <v>ABCAPITAL</v>
      </c>
      <c r="B9" s="142">
        <f>VLOOKUP(A9,'Data Vlaue (Cr)'!C4:CW222,99,0)</f>
        <v>2388</v>
      </c>
      <c r="C9" s="90">
        <f>VLOOKUP(A9,'Data Vlaue (Cr)'!C4:CY222,101,0)</f>
        <v>198</v>
      </c>
      <c r="D9" s="139">
        <f>VLOOKUP(A9,'Data Vlaue (Cr)'!C4:CZ222,102,0)</f>
        <v>9.0399999999999994E-2</v>
      </c>
      <c r="E9" s="91">
        <f>VLOOKUP($A9,'Data Vlaue (Cr)'!$C:$FB,75)</f>
        <v>1484</v>
      </c>
      <c r="F9" s="91">
        <f>VLOOKUP($A9,'Data Vlaue (Cr)'!$C:$FB,77)</f>
        <v>-17</v>
      </c>
      <c r="G9" s="92">
        <f>VLOOKUP(A9,'Data Vlaue (Cr)'!C4:CB222,78,0)</f>
        <v>-1.11E-2</v>
      </c>
      <c r="H9" s="91">
        <f>VLOOKUP($A9,'Data Vlaue (Cr)'!$C:$FB,91)</f>
        <v>560</v>
      </c>
      <c r="I9" s="91">
        <f>VLOOKUP($A9,'Data Vlaue (Cr)'!$C:$FB,93)</f>
        <v>173</v>
      </c>
      <c r="J9" s="92">
        <f>VLOOKUP($A9,'Data Vlaue (Cr)'!$C:$FB,94)</f>
        <v>0.44679999999999997</v>
      </c>
      <c r="K9" s="91">
        <f>VLOOKUP($A9,'Data Vlaue (Cr)'!$C:$FB,95)</f>
        <v>344</v>
      </c>
      <c r="L9" s="91">
        <f>VLOOKUP($A9,'Data Vlaue (Cr)'!$C:$FB,97)</f>
        <v>42</v>
      </c>
      <c r="M9" s="92">
        <f>VLOOKUP($A9,'Data Vlaue (Cr)'!$C:$FB,98)</f>
        <v>0.1376</v>
      </c>
      <c r="N9" s="91">
        <f>VLOOKUP($A9,'Data Vlaue (Cr)'!$C:$FB,79)</f>
        <v>1450</v>
      </c>
      <c r="O9" s="92">
        <f>VLOOKUP($A9,'Data Vlaue (Cr)'!$C:$FB,82)</f>
        <v>-1.46E-2</v>
      </c>
    </row>
    <row r="10" spans="1:15" x14ac:dyDescent="0.25">
      <c r="A10" s="97" t="str">
        <f>'Data Vlaue (Cr)'!C5</f>
        <v>ADANIENSOL</v>
      </c>
      <c r="B10" s="142">
        <f>VLOOKUP(A10,'Data Vlaue (Cr)'!C5:CW223,99,0)</f>
        <v>3781</v>
      </c>
      <c r="C10" s="90">
        <f>VLOOKUP(A10,'Data Vlaue (Cr)'!C5:CY223,101,0)</f>
        <v>250</v>
      </c>
      <c r="D10" s="139">
        <f>VLOOKUP(A10,'Data Vlaue (Cr)'!C5:CZ223,102,0)</f>
        <v>7.0699999999999999E-2</v>
      </c>
      <c r="E10" s="91">
        <f>VLOOKUP($A10,'Data Vlaue (Cr)'!$C:$FB,75)</f>
        <v>2930</v>
      </c>
      <c r="F10" s="91">
        <f>VLOOKUP($A10,'Data Vlaue (Cr)'!$C:$FB,77)</f>
        <v>202</v>
      </c>
      <c r="G10" s="92">
        <f>VLOOKUP(A10,'Data Vlaue (Cr)'!C5:CB223,78,0)</f>
        <v>7.4099999999999999E-2</v>
      </c>
      <c r="H10" s="91">
        <f>VLOOKUP($A10,'Data Vlaue (Cr)'!$C:$FB,91)</f>
        <v>504</v>
      </c>
      <c r="I10" s="91">
        <f>VLOOKUP($A10,'Data Vlaue (Cr)'!$C:$FB,93)</f>
        <v>32</v>
      </c>
      <c r="J10" s="92">
        <f>VLOOKUP($A10,'Data Vlaue (Cr)'!$C:$FB,94)</f>
        <v>6.88E-2</v>
      </c>
      <c r="K10" s="91">
        <f>VLOOKUP($A10,'Data Vlaue (Cr)'!$C:$FB,95)</f>
        <v>346</v>
      </c>
      <c r="L10" s="91">
        <f>VLOOKUP($A10,'Data Vlaue (Cr)'!$C:$FB,97)</f>
        <v>15</v>
      </c>
      <c r="M10" s="92">
        <f>VLOOKUP($A10,'Data Vlaue (Cr)'!$C:$FB,98)</f>
        <v>4.5499999999999999E-2</v>
      </c>
      <c r="N10" s="91">
        <f>VLOOKUP($A10,'Data Vlaue (Cr)'!$C:$FB,79)</f>
        <v>2520</v>
      </c>
      <c r="O10" s="92">
        <f>VLOOKUP($A10,'Data Vlaue (Cr)'!$C:$FB,82)</f>
        <v>8.5800000000000001E-2</v>
      </c>
    </row>
    <row r="11" spans="1:15" x14ac:dyDescent="0.25">
      <c r="A11" s="97" t="str">
        <f>'Data Vlaue (Cr)'!C6</f>
        <v>ADANIENT</v>
      </c>
      <c r="B11" s="142">
        <f>VLOOKUP(A11,'Data Vlaue (Cr)'!C6:CW224,99,0)</f>
        <v>6984</v>
      </c>
      <c r="C11" s="90">
        <f>VLOOKUP(A11,'Data Vlaue (Cr)'!C6:CY224,101,0)</f>
        <v>143</v>
      </c>
      <c r="D11" s="139">
        <f>VLOOKUP(A11,'Data Vlaue (Cr)'!C6:CZ224,102,0)</f>
        <v>2.0899999999999998E-2</v>
      </c>
      <c r="E11" s="91">
        <f>VLOOKUP($A11,'Data Vlaue (Cr)'!$C:$FB,75)</f>
        <v>3852</v>
      </c>
      <c r="F11" s="91">
        <f>VLOOKUP($A11,'Data Vlaue (Cr)'!$C:$FB,77)</f>
        <v>56</v>
      </c>
      <c r="G11" s="92">
        <f>VLOOKUP(A11,'Data Vlaue (Cr)'!C6:CB224,78,0)</f>
        <v>1.4800000000000001E-2</v>
      </c>
      <c r="H11" s="91">
        <f>VLOOKUP($A11,'Data Vlaue (Cr)'!$C:$FB,91)</f>
        <v>1618</v>
      </c>
      <c r="I11" s="91">
        <f>VLOOKUP($A11,'Data Vlaue (Cr)'!$C:$FB,93)</f>
        <v>85</v>
      </c>
      <c r="J11" s="92">
        <f>VLOOKUP($A11,'Data Vlaue (Cr)'!$C:$FB,94)</f>
        <v>5.57E-2</v>
      </c>
      <c r="K11" s="91">
        <f>VLOOKUP($A11,'Data Vlaue (Cr)'!$C:$FB,95)</f>
        <v>1515</v>
      </c>
      <c r="L11" s="91">
        <f>VLOOKUP($A11,'Data Vlaue (Cr)'!$C:$FB,97)</f>
        <v>2</v>
      </c>
      <c r="M11" s="92">
        <f>VLOOKUP($A11,'Data Vlaue (Cr)'!$C:$FB,98)</f>
        <v>1.1999999999999999E-3</v>
      </c>
      <c r="N11" s="91">
        <f>VLOOKUP($A11,'Data Vlaue (Cr)'!$C:$FB,79)</f>
        <v>3487</v>
      </c>
      <c r="O11" s="92">
        <f>VLOOKUP($A11,'Data Vlaue (Cr)'!$C:$FB,82)</f>
        <v>1.1999999999999999E-3</v>
      </c>
    </row>
    <row r="12" spans="1:15" x14ac:dyDescent="0.25">
      <c r="A12" s="97" t="str">
        <f>'Data Vlaue (Cr)'!C7</f>
        <v>ADANIGREEN</v>
      </c>
      <c r="B12" s="142">
        <f>VLOOKUP(A12,'Data Vlaue (Cr)'!C7:CW225,99,0)</f>
        <v>4081</v>
      </c>
      <c r="C12" s="90">
        <f>VLOOKUP(A12,'Data Vlaue (Cr)'!C7:CY225,101,0)</f>
        <v>53</v>
      </c>
      <c r="D12" s="139">
        <f>VLOOKUP(A12,'Data Vlaue (Cr)'!C7:CZ225,102,0)</f>
        <v>1.2999999999999999E-2</v>
      </c>
      <c r="E12" s="91">
        <f>VLOOKUP($A12,'Data Vlaue (Cr)'!$C:$FB,75)</f>
        <v>2393</v>
      </c>
      <c r="F12" s="91">
        <f>VLOOKUP($A12,'Data Vlaue (Cr)'!$C:$FB,77)</f>
        <v>16</v>
      </c>
      <c r="G12" s="92">
        <f>VLOOKUP(A12,'Data Vlaue (Cr)'!C7:CB225,78,0)</f>
        <v>6.7000000000000002E-3</v>
      </c>
      <c r="H12" s="91">
        <f>VLOOKUP($A12,'Data Vlaue (Cr)'!$C:$FB,91)</f>
        <v>916</v>
      </c>
      <c r="I12" s="91">
        <f>VLOOKUP($A12,'Data Vlaue (Cr)'!$C:$FB,93)</f>
        <v>28</v>
      </c>
      <c r="J12" s="92">
        <f>VLOOKUP($A12,'Data Vlaue (Cr)'!$C:$FB,94)</f>
        <v>3.1399999999999997E-2</v>
      </c>
      <c r="K12" s="91">
        <f>VLOOKUP($A12,'Data Vlaue (Cr)'!$C:$FB,95)</f>
        <v>772</v>
      </c>
      <c r="L12" s="91">
        <f>VLOOKUP($A12,'Data Vlaue (Cr)'!$C:$FB,97)</f>
        <v>9</v>
      </c>
      <c r="M12" s="92">
        <f>VLOOKUP($A12,'Data Vlaue (Cr)'!$C:$FB,98)</f>
        <v>1.14E-2</v>
      </c>
      <c r="N12" s="91">
        <f>VLOOKUP($A12,'Data Vlaue (Cr)'!$C:$FB,79)</f>
        <v>2308</v>
      </c>
      <c r="O12" s="92">
        <f>VLOOKUP($A12,'Data Vlaue (Cr)'!$C:$FB,82)</f>
        <v>1.5E-3</v>
      </c>
    </row>
    <row r="13" spans="1:15" x14ac:dyDescent="0.25">
      <c r="A13" s="97" t="str">
        <f>'Data Vlaue (Cr)'!C8</f>
        <v>ADANIPORTS</v>
      </c>
      <c r="B13" s="142">
        <f>VLOOKUP(A13,'Data Vlaue (Cr)'!C8:CW226,99,0)</f>
        <v>5847</v>
      </c>
      <c r="C13" s="90">
        <f>VLOOKUP(A13,'Data Vlaue (Cr)'!C8:CY226,101,0)</f>
        <v>277</v>
      </c>
      <c r="D13" s="139">
        <f>VLOOKUP(A13,'Data Vlaue (Cr)'!C8:CZ226,102,0)</f>
        <v>4.9799999999999997E-2</v>
      </c>
      <c r="E13" s="91">
        <f>VLOOKUP($A13,'Data Vlaue (Cr)'!$C:$FB,75)</f>
        <v>3122</v>
      </c>
      <c r="F13" s="91">
        <f>VLOOKUP($A13,'Data Vlaue (Cr)'!$C:$FB,77)</f>
        <v>-12</v>
      </c>
      <c r="G13" s="92">
        <f>VLOOKUP(A13,'Data Vlaue (Cr)'!C8:CB226,78,0)</f>
        <v>-3.8999999999999998E-3</v>
      </c>
      <c r="H13" s="91">
        <f>VLOOKUP($A13,'Data Vlaue (Cr)'!$C:$FB,91)</f>
        <v>1480</v>
      </c>
      <c r="I13" s="91">
        <f>VLOOKUP($A13,'Data Vlaue (Cr)'!$C:$FB,93)</f>
        <v>156</v>
      </c>
      <c r="J13" s="92">
        <f>VLOOKUP($A13,'Data Vlaue (Cr)'!$C:$FB,94)</f>
        <v>0.1181</v>
      </c>
      <c r="K13" s="91">
        <f>VLOOKUP($A13,'Data Vlaue (Cr)'!$C:$FB,95)</f>
        <v>1244</v>
      </c>
      <c r="L13" s="91">
        <f>VLOOKUP($A13,'Data Vlaue (Cr)'!$C:$FB,97)</f>
        <v>133</v>
      </c>
      <c r="M13" s="92">
        <f>VLOOKUP($A13,'Data Vlaue (Cr)'!$C:$FB,98)</f>
        <v>0.11990000000000001</v>
      </c>
      <c r="N13" s="91">
        <f>VLOOKUP($A13,'Data Vlaue (Cr)'!$C:$FB,79)</f>
        <v>2664</v>
      </c>
      <c r="O13" s="92">
        <f>VLOOKUP($A13,'Data Vlaue (Cr)'!$C:$FB,82)</f>
        <v>-1.03E-2</v>
      </c>
    </row>
    <row r="14" spans="1:15" x14ac:dyDescent="0.25">
      <c r="A14" s="97" t="str">
        <f>'Data Vlaue (Cr)'!C9</f>
        <v>ADANIPOWER</v>
      </c>
      <c r="B14" s="142">
        <f>VLOOKUP(A14,'Data Vlaue (Cr)'!C9:CW227,99,0)</f>
        <v>2686</v>
      </c>
      <c r="C14" s="90">
        <f>VLOOKUP(A14,'Data Vlaue (Cr)'!C9:CY227,101,0)</f>
        <v>368</v>
      </c>
      <c r="D14" s="139">
        <f>VLOOKUP(A14,'Data Vlaue (Cr)'!C9:CZ227,102,0)</f>
        <v>0.15890000000000001</v>
      </c>
      <c r="E14" s="91">
        <f>VLOOKUP($A14,'Data Vlaue (Cr)'!$C:$FB,75)</f>
        <v>1660</v>
      </c>
      <c r="F14" s="91">
        <f>VLOOKUP($A14,'Data Vlaue (Cr)'!$C:$FB,77)</f>
        <v>252</v>
      </c>
      <c r="G14" s="92">
        <f>VLOOKUP(A14,'Data Vlaue (Cr)'!C9:CB227,78,0)</f>
        <v>0.1794</v>
      </c>
      <c r="H14" s="91">
        <f>VLOOKUP($A14,'Data Vlaue (Cr)'!$C:$FB,91)</f>
        <v>589</v>
      </c>
      <c r="I14" s="91">
        <f>VLOOKUP($A14,'Data Vlaue (Cr)'!$C:$FB,93)</f>
        <v>33</v>
      </c>
      <c r="J14" s="92">
        <f>VLOOKUP($A14,'Data Vlaue (Cr)'!$C:$FB,94)</f>
        <v>5.9900000000000002E-2</v>
      </c>
      <c r="K14" s="91">
        <f>VLOOKUP($A14,'Data Vlaue (Cr)'!$C:$FB,95)</f>
        <v>437</v>
      </c>
      <c r="L14" s="91">
        <f>VLOOKUP($A14,'Data Vlaue (Cr)'!$C:$FB,97)</f>
        <v>82</v>
      </c>
      <c r="M14" s="92">
        <f>VLOOKUP($A14,'Data Vlaue (Cr)'!$C:$FB,98)</f>
        <v>0.23250000000000001</v>
      </c>
      <c r="N14" s="91">
        <f>VLOOKUP($A14,'Data Vlaue (Cr)'!$C:$FB,79)</f>
        <v>1538</v>
      </c>
      <c r="O14" s="92">
        <f>VLOOKUP($A14,'Data Vlaue (Cr)'!$C:$FB,82)</f>
        <v>0.1827</v>
      </c>
    </row>
    <row r="15" spans="1:15" x14ac:dyDescent="0.25">
      <c r="A15" s="97" t="str">
        <f>'Data Vlaue (Cr)'!C10</f>
        <v>ALKEM</v>
      </c>
      <c r="B15" s="142">
        <f>VLOOKUP(A15,'Data Vlaue (Cr)'!C10:CW228,99,0)</f>
        <v>896</v>
      </c>
      <c r="C15" s="90">
        <f>VLOOKUP(A15,'Data Vlaue (Cr)'!C10:CY228,101,0)</f>
        <v>28</v>
      </c>
      <c r="D15" s="139">
        <f>VLOOKUP(A15,'Data Vlaue (Cr)'!C10:CZ228,102,0)</f>
        <v>3.1899999999999998E-2</v>
      </c>
      <c r="E15" s="91">
        <f>VLOOKUP($A15,'Data Vlaue (Cr)'!$C:$FB,75)</f>
        <v>655</v>
      </c>
      <c r="F15" s="91">
        <f>VLOOKUP($A15,'Data Vlaue (Cr)'!$C:$FB,77)</f>
        <v>10</v>
      </c>
      <c r="G15" s="92">
        <f>VLOOKUP(A15,'Data Vlaue (Cr)'!C10:CB228,78,0)</f>
        <v>1.52E-2</v>
      </c>
      <c r="H15" s="91">
        <f>VLOOKUP($A15,'Data Vlaue (Cr)'!$C:$FB,91)</f>
        <v>156</v>
      </c>
      <c r="I15" s="91">
        <f>VLOOKUP($A15,'Data Vlaue (Cr)'!$C:$FB,93)</f>
        <v>17</v>
      </c>
      <c r="J15" s="92">
        <f>VLOOKUP($A15,'Data Vlaue (Cr)'!$C:$FB,94)</f>
        <v>0.1211</v>
      </c>
      <c r="K15" s="91">
        <f>VLOOKUP($A15,'Data Vlaue (Cr)'!$C:$FB,95)</f>
        <v>85</v>
      </c>
      <c r="L15" s="91">
        <f>VLOOKUP($A15,'Data Vlaue (Cr)'!$C:$FB,97)</f>
        <v>1</v>
      </c>
      <c r="M15" s="92">
        <f>VLOOKUP($A15,'Data Vlaue (Cr)'!$C:$FB,98)</f>
        <v>1.1599999999999999E-2</v>
      </c>
      <c r="N15" s="91">
        <f>VLOOKUP($A15,'Data Vlaue (Cr)'!$C:$FB,79)</f>
        <v>649</v>
      </c>
      <c r="O15" s="92">
        <f>VLOOKUP($A15,'Data Vlaue (Cr)'!$C:$FB,82)</f>
        <v>1.43E-2</v>
      </c>
    </row>
    <row r="16" spans="1:15" x14ac:dyDescent="0.25">
      <c r="A16" s="97" t="str">
        <f>'Data Vlaue (Cr)'!C11</f>
        <v>AMBER</v>
      </c>
      <c r="B16" s="142">
        <f>VLOOKUP(A16,'Data Vlaue (Cr)'!C11:CW229,99,0)</f>
        <v>2433</v>
      </c>
      <c r="C16" s="90">
        <f>VLOOKUP(A16,'Data Vlaue (Cr)'!C11:CY229,101,0)</f>
        <v>47</v>
      </c>
      <c r="D16" s="139">
        <f>VLOOKUP(A16,'Data Vlaue (Cr)'!C11:CZ229,102,0)</f>
        <v>1.9599999999999999E-2</v>
      </c>
      <c r="E16" s="91">
        <f>VLOOKUP($A16,'Data Vlaue (Cr)'!$C:$FB,75)</f>
        <v>1013</v>
      </c>
      <c r="F16" s="91">
        <f>VLOOKUP($A16,'Data Vlaue (Cr)'!$C:$FB,77)</f>
        <v>-39</v>
      </c>
      <c r="G16" s="92">
        <f>VLOOKUP(A16,'Data Vlaue (Cr)'!C11:CB229,78,0)</f>
        <v>-3.73E-2</v>
      </c>
      <c r="H16" s="91">
        <f>VLOOKUP($A16,'Data Vlaue (Cr)'!$C:$FB,91)</f>
        <v>798</v>
      </c>
      <c r="I16" s="91">
        <f>VLOOKUP($A16,'Data Vlaue (Cr)'!$C:$FB,93)</f>
        <v>32</v>
      </c>
      <c r="J16" s="92">
        <f>VLOOKUP($A16,'Data Vlaue (Cr)'!$C:$FB,94)</f>
        <v>4.2099999999999999E-2</v>
      </c>
      <c r="K16" s="91">
        <f>VLOOKUP($A16,'Data Vlaue (Cr)'!$C:$FB,95)</f>
        <v>622</v>
      </c>
      <c r="L16" s="91">
        <f>VLOOKUP($A16,'Data Vlaue (Cr)'!$C:$FB,97)</f>
        <v>54</v>
      </c>
      <c r="M16" s="92">
        <f>VLOOKUP($A16,'Data Vlaue (Cr)'!$C:$FB,98)</f>
        <v>9.4899999999999998E-2</v>
      </c>
      <c r="N16" s="91">
        <f>VLOOKUP($A16,'Data Vlaue (Cr)'!$C:$FB,79)</f>
        <v>951</v>
      </c>
      <c r="O16" s="92">
        <f>VLOOKUP($A16,'Data Vlaue (Cr)'!$C:$FB,82)</f>
        <v>-4.2099999999999999E-2</v>
      </c>
    </row>
    <row r="17" spans="1:15" x14ac:dyDescent="0.25">
      <c r="A17" s="97" t="str">
        <f>'Data Vlaue (Cr)'!C12</f>
        <v>AMBUJACEM</v>
      </c>
      <c r="B17" s="142">
        <f>VLOOKUP(A17,'Data Vlaue (Cr)'!C12:CW230,99,0)</f>
        <v>3683</v>
      </c>
      <c r="C17" s="90">
        <f>VLOOKUP(A17,'Data Vlaue (Cr)'!C12:CY230,101,0)</f>
        <v>-11</v>
      </c>
      <c r="D17" s="139">
        <f>VLOOKUP(A17,'Data Vlaue (Cr)'!C12:CZ230,102,0)</f>
        <v>-2.8999999999999998E-3</v>
      </c>
      <c r="E17" s="91">
        <f>VLOOKUP($A17,'Data Vlaue (Cr)'!$C:$FB,75)</f>
        <v>2737</v>
      </c>
      <c r="F17" s="91">
        <f>VLOOKUP($A17,'Data Vlaue (Cr)'!$C:$FB,77)</f>
        <v>-9</v>
      </c>
      <c r="G17" s="92">
        <f>VLOOKUP(A17,'Data Vlaue (Cr)'!C12:CB230,78,0)</f>
        <v>-3.3999999999999998E-3</v>
      </c>
      <c r="H17" s="91">
        <f>VLOOKUP($A17,'Data Vlaue (Cr)'!$C:$FB,91)</f>
        <v>487</v>
      </c>
      <c r="I17" s="91">
        <f>VLOOKUP($A17,'Data Vlaue (Cr)'!$C:$FB,93)</f>
        <v>-1</v>
      </c>
      <c r="J17" s="92">
        <f>VLOOKUP($A17,'Data Vlaue (Cr)'!$C:$FB,94)</f>
        <v>-1.5E-3</v>
      </c>
      <c r="K17" s="91">
        <f>VLOOKUP($A17,'Data Vlaue (Cr)'!$C:$FB,95)</f>
        <v>459</v>
      </c>
      <c r="L17" s="91">
        <f>VLOOKUP($A17,'Data Vlaue (Cr)'!$C:$FB,97)</f>
        <v>0</v>
      </c>
      <c r="M17" s="92">
        <f>VLOOKUP($A17,'Data Vlaue (Cr)'!$C:$FB,98)</f>
        <v>-8.0000000000000004E-4</v>
      </c>
      <c r="N17" s="91">
        <f>VLOOKUP($A17,'Data Vlaue (Cr)'!$C:$FB,79)</f>
        <v>2352</v>
      </c>
      <c r="O17" s="92">
        <f>VLOOKUP($A17,'Data Vlaue (Cr)'!$C:$FB,82)</f>
        <v>-8.0000000000000002E-3</v>
      </c>
    </row>
    <row r="18" spans="1:15" x14ac:dyDescent="0.25">
      <c r="A18" s="97" t="str">
        <f>'Data Vlaue (Cr)'!C13</f>
        <v>ANGELONE</v>
      </c>
      <c r="B18" s="142">
        <f>VLOOKUP(A18,'Data Vlaue (Cr)'!C13:CW231,99,0)</f>
        <v>3355</v>
      </c>
      <c r="C18" s="90">
        <f>VLOOKUP(A18,'Data Vlaue (Cr)'!C13:CY231,101,0)</f>
        <v>704</v>
      </c>
      <c r="D18" s="139">
        <f>VLOOKUP(A18,'Data Vlaue (Cr)'!C13:CZ231,102,0)</f>
        <v>0.26540000000000002</v>
      </c>
      <c r="E18" s="91">
        <f>VLOOKUP($A18,'Data Vlaue (Cr)'!$C:$FB,75)</f>
        <v>1027</v>
      </c>
      <c r="F18" s="91">
        <f>VLOOKUP($A18,'Data Vlaue (Cr)'!$C:$FB,77)</f>
        <v>33</v>
      </c>
      <c r="G18" s="92">
        <f>VLOOKUP(A18,'Data Vlaue (Cr)'!C13:CB231,78,0)</f>
        <v>3.3000000000000002E-2</v>
      </c>
      <c r="H18" s="91">
        <f>VLOOKUP($A18,'Data Vlaue (Cr)'!$C:$FB,91)</f>
        <v>1046</v>
      </c>
      <c r="I18" s="91">
        <f>VLOOKUP($A18,'Data Vlaue (Cr)'!$C:$FB,93)</f>
        <v>82</v>
      </c>
      <c r="J18" s="92">
        <f>VLOOKUP($A18,'Data Vlaue (Cr)'!$C:$FB,94)</f>
        <v>8.4699999999999998E-2</v>
      </c>
      <c r="K18" s="91">
        <f>VLOOKUP($A18,'Data Vlaue (Cr)'!$C:$FB,95)</f>
        <v>1283</v>
      </c>
      <c r="L18" s="91">
        <f>VLOOKUP($A18,'Data Vlaue (Cr)'!$C:$FB,97)</f>
        <v>589</v>
      </c>
      <c r="M18" s="92">
        <f>VLOOKUP($A18,'Data Vlaue (Cr)'!$C:$FB,98)</f>
        <v>0.84950000000000003</v>
      </c>
      <c r="N18" s="91">
        <f>VLOOKUP($A18,'Data Vlaue (Cr)'!$C:$FB,79)</f>
        <v>851</v>
      </c>
      <c r="O18" s="92">
        <f>VLOOKUP($A18,'Data Vlaue (Cr)'!$C:$FB,82)</f>
        <v>1.2699999999999999E-2</v>
      </c>
    </row>
    <row r="19" spans="1:15" x14ac:dyDescent="0.25">
      <c r="A19" s="97" t="str">
        <f>'Data Vlaue (Cr)'!C14</f>
        <v>APLAPOLLO</v>
      </c>
      <c r="B19" s="142">
        <f>VLOOKUP(A19,'Data Vlaue (Cr)'!C14:CW232,99,0)</f>
        <v>1526</v>
      </c>
      <c r="C19" s="90">
        <f>VLOOKUP(A19,'Data Vlaue (Cr)'!C14:CY232,101,0)</f>
        <v>21</v>
      </c>
      <c r="D19" s="139">
        <f>VLOOKUP(A19,'Data Vlaue (Cr)'!C14:CZ232,102,0)</f>
        <v>1.37E-2</v>
      </c>
      <c r="E19" s="91">
        <f>VLOOKUP($A19,'Data Vlaue (Cr)'!$C:$FB,75)</f>
        <v>1071</v>
      </c>
      <c r="F19" s="91">
        <f>VLOOKUP($A19,'Data Vlaue (Cr)'!$C:$FB,77)</f>
        <v>-7</v>
      </c>
      <c r="G19" s="92">
        <f>VLOOKUP(A19,'Data Vlaue (Cr)'!C14:CB232,78,0)</f>
        <v>-6.1999999999999998E-3</v>
      </c>
      <c r="H19" s="91">
        <f>VLOOKUP($A19,'Data Vlaue (Cr)'!$C:$FB,91)</f>
        <v>271</v>
      </c>
      <c r="I19" s="91">
        <f>VLOOKUP($A19,'Data Vlaue (Cr)'!$C:$FB,93)</f>
        <v>20</v>
      </c>
      <c r="J19" s="92">
        <f>VLOOKUP($A19,'Data Vlaue (Cr)'!$C:$FB,94)</f>
        <v>8.1100000000000005E-2</v>
      </c>
      <c r="K19" s="91">
        <f>VLOOKUP($A19,'Data Vlaue (Cr)'!$C:$FB,95)</f>
        <v>183</v>
      </c>
      <c r="L19" s="91">
        <f>VLOOKUP($A19,'Data Vlaue (Cr)'!$C:$FB,97)</f>
        <v>7</v>
      </c>
      <c r="M19" s="92">
        <f>VLOOKUP($A19,'Data Vlaue (Cr)'!$C:$FB,98)</f>
        <v>3.9399999999999998E-2</v>
      </c>
      <c r="N19" s="91">
        <f>VLOOKUP($A19,'Data Vlaue (Cr)'!$C:$FB,79)</f>
        <v>951</v>
      </c>
      <c r="O19" s="92">
        <f>VLOOKUP($A19,'Data Vlaue (Cr)'!$C:$FB,82)</f>
        <v>-8.8999999999999999E-3</v>
      </c>
    </row>
    <row r="20" spans="1:15" x14ac:dyDescent="0.25">
      <c r="A20" s="97" t="str">
        <f>'Data Vlaue (Cr)'!C15</f>
        <v>APOLLOHOSP</v>
      </c>
      <c r="B20" s="142">
        <f>VLOOKUP(A20,'Data Vlaue (Cr)'!C15:CW233,99,0)</f>
        <v>3130</v>
      </c>
      <c r="C20" s="90">
        <f>VLOOKUP(A20,'Data Vlaue (Cr)'!C15:CY233,101,0)</f>
        <v>15</v>
      </c>
      <c r="D20" s="139">
        <f>VLOOKUP(A20,'Data Vlaue (Cr)'!C15:CZ233,102,0)</f>
        <v>4.8999999999999998E-3</v>
      </c>
      <c r="E20" s="91">
        <f>VLOOKUP($A20,'Data Vlaue (Cr)'!$C:$FB,75)</f>
        <v>1845</v>
      </c>
      <c r="F20" s="91">
        <f>VLOOKUP($A20,'Data Vlaue (Cr)'!$C:$FB,77)</f>
        <v>-44</v>
      </c>
      <c r="G20" s="92">
        <f>VLOOKUP(A20,'Data Vlaue (Cr)'!C15:CB233,78,0)</f>
        <v>-2.3400000000000001E-2</v>
      </c>
      <c r="H20" s="91">
        <f>VLOOKUP($A20,'Data Vlaue (Cr)'!$C:$FB,91)</f>
        <v>672</v>
      </c>
      <c r="I20" s="91">
        <f>VLOOKUP($A20,'Data Vlaue (Cr)'!$C:$FB,93)</f>
        <v>5</v>
      </c>
      <c r="J20" s="92">
        <f>VLOOKUP($A20,'Data Vlaue (Cr)'!$C:$FB,94)</f>
        <v>7.1999999999999998E-3</v>
      </c>
      <c r="K20" s="91">
        <f>VLOOKUP($A20,'Data Vlaue (Cr)'!$C:$FB,95)</f>
        <v>613</v>
      </c>
      <c r="L20" s="91">
        <f>VLOOKUP($A20,'Data Vlaue (Cr)'!$C:$FB,97)</f>
        <v>55</v>
      </c>
      <c r="M20" s="92">
        <f>VLOOKUP($A20,'Data Vlaue (Cr)'!$C:$FB,98)</f>
        <v>9.8199999999999996E-2</v>
      </c>
      <c r="N20" s="91">
        <f>VLOOKUP($A20,'Data Vlaue (Cr)'!$C:$FB,79)</f>
        <v>1756</v>
      </c>
      <c r="O20" s="92">
        <f>VLOOKUP($A20,'Data Vlaue (Cr)'!$C:$FB,82)</f>
        <v>-2.4199999999999999E-2</v>
      </c>
    </row>
    <row r="21" spans="1:15" x14ac:dyDescent="0.25">
      <c r="A21" s="97" t="str">
        <f>'Data Vlaue (Cr)'!C16</f>
        <v>ASHOKLEY</v>
      </c>
      <c r="B21" s="142">
        <f>VLOOKUP(A21,'Data Vlaue (Cr)'!C16:CW234,99,0)</f>
        <v>5222</v>
      </c>
      <c r="C21" s="90">
        <f>VLOOKUP(A21,'Data Vlaue (Cr)'!C16:CY234,101,0)</f>
        <v>82</v>
      </c>
      <c r="D21" s="139">
        <f>VLOOKUP(A21,'Data Vlaue (Cr)'!C16:CZ234,102,0)</f>
        <v>1.5900000000000001E-2</v>
      </c>
      <c r="E21" s="91">
        <f>VLOOKUP($A21,'Data Vlaue (Cr)'!$C:$FB,75)</f>
        <v>2414</v>
      </c>
      <c r="F21" s="91">
        <f>VLOOKUP($A21,'Data Vlaue (Cr)'!$C:$FB,77)</f>
        <v>10</v>
      </c>
      <c r="G21" s="92">
        <f>VLOOKUP(A21,'Data Vlaue (Cr)'!C16:CB234,78,0)</f>
        <v>4.1000000000000003E-3</v>
      </c>
      <c r="H21" s="91">
        <f>VLOOKUP($A21,'Data Vlaue (Cr)'!$C:$FB,91)</f>
        <v>1617</v>
      </c>
      <c r="I21" s="91">
        <f>VLOOKUP($A21,'Data Vlaue (Cr)'!$C:$FB,93)</f>
        <v>61</v>
      </c>
      <c r="J21" s="92">
        <f>VLOOKUP($A21,'Data Vlaue (Cr)'!$C:$FB,94)</f>
        <v>3.9300000000000002E-2</v>
      </c>
      <c r="K21" s="91">
        <f>VLOOKUP($A21,'Data Vlaue (Cr)'!$C:$FB,95)</f>
        <v>1192</v>
      </c>
      <c r="L21" s="91">
        <f>VLOOKUP($A21,'Data Vlaue (Cr)'!$C:$FB,97)</f>
        <v>11</v>
      </c>
      <c r="M21" s="92">
        <f>VLOOKUP($A21,'Data Vlaue (Cr)'!$C:$FB,98)</f>
        <v>9.4000000000000004E-3</v>
      </c>
      <c r="N21" s="91">
        <f>VLOOKUP($A21,'Data Vlaue (Cr)'!$C:$FB,79)</f>
        <v>2172</v>
      </c>
      <c r="O21" s="92">
        <f>VLOOKUP($A21,'Data Vlaue (Cr)'!$C:$FB,82)</f>
        <v>-2.3699999999999999E-2</v>
      </c>
    </row>
    <row r="22" spans="1:15" x14ac:dyDescent="0.25">
      <c r="A22" s="97" t="str">
        <f>'Data Vlaue (Cr)'!C17</f>
        <v>ASIANPAINT</v>
      </c>
      <c r="B22" s="142">
        <f>VLOOKUP(A22,'Data Vlaue (Cr)'!C17:CW235,99,0)</f>
        <v>5960</v>
      </c>
      <c r="C22" s="90">
        <f>VLOOKUP(A22,'Data Vlaue (Cr)'!C17:CY235,101,0)</f>
        <v>107</v>
      </c>
      <c r="D22" s="139">
        <f>VLOOKUP(A22,'Data Vlaue (Cr)'!C17:CZ235,102,0)</f>
        <v>1.83E-2</v>
      </c>
      <c r="E22" s="91">
        <f>VLOOKUP($A22,'Data Vlaue (Cr)'!$C:$FB,75)</f>
        <v>3592</v>
      </c>
      <c r="F22" s="91">
        <f>VLOOKUP($A22,'Data Vlaue (Cr)'!$C:$FB,77)</f>
        <v>-82</v>
      </c>
      <c r="G22" s="92">
        <f>VLOOKUP(A22,'Data Vlaue (Cr)'!C17:CB235,78,0)</f>
        <v>-2.23E-2</v>
      </c>
      <c r="H22" s="91">
        <f>VLOOKUP($A22,'Data Vlaue (Cr)'!$C:$FB,91)</f>
        <v>1100</v>
      </c>
      <c r="I22" s="91">
        <f>VLOOKUP($A22,'Data Vlaue (Cr)'!$C:$FB,93)</f>
        <v>168</v>
      </c>
      <c r="J22" s="92">
        <f>VLOOKUP($A22,'Data Vlaue (Cr)'!$C:$FB,94)</f>
        <v>0.1807</v>
      </c>
      <c r="K22" s="91">
        <f>VLOOKUP($A22,'Data Vlaue (Cr)'!$C:$FB,95)</f>
        <v>1269</v>
      </c>
      <c r="L22" s="91">
        <f>VLOOKUP($A22,'Data Vlaue (Cr)'!$C:$FB,97)</f>
        <v>21</v>
      </c>
      <c r="M22" s="92">
        <f>VLOOKUP($A22,'Data Vlaue (Cr)'!$C:$FB,98)</f>
        <v>1.6500000000000001E-2</v>
      </c>
      <c r="N22" s="91">
        <f>VLOOKUP($A22,'Data Vlaue (Cr)'!$C:$FB,79)</f>
        <v>3088</v>
      </c>
      <c r="O22" s="92">
        <f>VLOOKUP($A22,'Data Vlaue (Cr)'!$C:$FB,82)</f>
        <v>-7.7200000000000005E-2</v>
      </c>
    </row>
    <row r="23" spans="1:15" x14ac:dyDescent="0.25">
      <c r="A23" s="97" t="str">
        <f>'Data Vlaue (Cr)'!C18</f>
        <v>ASTRAL</v>
      </c>
      <c r="B23" s="142">
        <f>VLOOKUP(A23,'Data Vlaue (Cr)'!C18:CW236,99,0)</f>
        <v>3221</v>
      </c>
      <c r="C23" s="90">
        <f>VLOOKUP(A23,'Data Vlaue (Cr)'!C18:CY236,101,0)</f>
        <v>41</v>
      </c>
      <c r="D23" s="139">
        <f>VLOOKUP(A23,'Data Vlaue (Cr)'!C18:CZ236,102,0)</f>
        <v>1.2699999999999999E-2</v>
      </c>
      <c r="E23" s="91">
        <f>VLOOKUP($A23,'Data Vlaue (Cr)'!$C:$FB,75)</f>
        <v>2183</v>
      </c>
      <c r="F23" s="91">
        <f>VLOOKUP($A23,'Data Vlaue (Cr)'!$C:$FB,77)</f>
        <v>76</v>
      </c>
      <c r="G23" s="92">
        <f>VLOOKUP(A23,'Data Vlaue (Cr)'!C18:CB236,78,0)</f>
        <v>3.61E-2</v>
      </c>
      <c r="H23" s="91">
        <f>VLOOKUP($A23,'Data Vlaue (Cr)'!$C:$FB,91)</f>
        <v>654</v>
      </c>
      <c r="I23" s="91">
        <f>VLOOKUP($A23,'Data Vlaue (Cr)'!$C:$FB,93)</f>
        <v>-55</v>
      </c>
      <c r="J23" s="92">
        <f>VLOOKUP($A23,'Data Vlaue (Cr)'!$C:$FB,94)</f>
        <v>-7.7499999999999999E-2</v>
      </c>
      <c r="K23" s="91">
        <f>VLOOKUP($A23,'Data Vlaue (Cr)'!$C:$FB,95)</f>
        <v>384</v>
      </c>
      <c r="L23" s="91">
        <f>VLOOKUP($A23,'Data Vlaue (Cr)'!$C:$FB,97)</f>
        <v>19</v>
      </c>
      <c r="M23" s="92">
        <f>VLOOKUP($A23,'Data Vlaue (Cr)'!$C:$FB,98)</f>
        <v>5.2900000000000003E-2</v>
      </c>
      <c r="N23" s="91">
        <f>VLOOKUP($A23,'Data Vlaue (Cr)'!$C:$FB,79)</f>
        <v>1646</v>
      </c>
      <c r="O23" s="92">
        <f>VLOOKUP($A23,'Data Vlaue (Cr)'!$C:$FB,82)</f>
        <v>1.8100000000000002E-2</v>
      </c>
    </row>
    <row r="24" spans="1:15" x14ac:dyDescent="0.25">
      <c r="A24" s="97" t="str">
        <f>'Data Vlaue (Cr)'!C19</f>
        <v>AUBANK</v>
      </c>
      <c r="B24" s="142">
        <f>VLOOKUP(A24,'Data Vlaue (Cr)'!C19:CW237,99,0)</f>
        <v>3670</v>
      </c>
      <c r="C24" s="90">
        <f>VLOOKUP(A24,'Data Vlaue (Cr)'!C19:CY237,101,0)</f>
        <v>-24</v>
      </c>
      <c r="D24" s="139">
        <f>VLOOKUP(A24,'Data Vlaue (Cr)'!C19:CZ237,102,0)</f>
        <v>-6.6E-3</v>
      </c>
      <c r="E24" s="91">
        <f>VLOOKUP($A24,'Data Vlaue (Cr)'!$C:$FB,75)</f>
        <v>2456</v>
      </c>
      <c r="F24" s="91">
        <f>VLOOKUP($A24,'Data Vlaue (Cr)'!$C:$FB,77)</f>
        <v>-15</v>
      </c>
      <c r="G24" s="92">
        <f>VLOOKUP(A24,'Data Vlaue (Cr)'!C19:CB237,78,0)</f>
        <v>-6.0000000000000001E-3</v>
      </c>
      <c r="H24" s="91">
        <f>VLOOKUP($A24,'Data Vlaue (Cr)'!$C:$FB,91)</f>
        <v>675</v>
      </c>
      <c r="I24" s="91">
        <f>VLOOKUP($A24,'Data Vlaue (Cr)'!$C:$FB,93)</f>
        <v>11</v>
      </c>
      <c r="J24" s="92">
        <f>VLOOKUP($A24,'Data Vlaue (Cr)'!$C:$FB,94)</f>
        <v>1.6299999999999999E-2</v>
      </c>
      <c r="K24" s="91">
        <f>VLOOKUP($A24,'Data Vlaue (Cr)'!$C:$FB,95)</f>
        <v>539</v>
      </c>
      <c r="L24" s="91">
        <f>VLOOKUP($A24,'Data Vlaue (Cr)'!$C:$FB,97)</f>
        <v>-21</v>
      </c>
      <c r="M24" s="92">
        <f>VLOOKUP($A24,'Data Vlaue (Cr)'!$C:$FB,98)</f>
        <v>-3.6700000000000003E-2</v>
      </c>
      <c r="N24" s="91">
        <f>VLOOKUP($A24,'Data Vlaue (Cr)'!$C:$FB,79)</f>
        <v>2309</v>
      </c>
      <c r="O24" s="92">
        <f>VLOOKUP($A24,'Data Vlaue (Cr)'!$C:$FB,82)</f>
        <v>-1.2999999999999999E-2</v>
      </c>
    </row>
    <row r="25" spans="1:15" x14ac:dyDescent="0.25">
      <c r="A25" s="97" t="str">
        <f>'Data Vlaue (Cr)'!C20</f>
        <v>AUROPHARMA</v>
      </c>
      <c r="B25" s="142">
        <f>VLOOKUP(A25,'Data Vlaue (Cr)'!C20:CW238,99,0)</f>
        <v>3828</v>
      </c>
      <c r="C25" s="90">
        <f>VLOOKUP(A25,'Data Vlaue (Cr)'!C20:CY238,101,0)</f>
        <v>-12</v>
      </c>
      <c r="D25" s="139">
        <f>VLOOKUP(A25,'Data Vlaue (Cr)'!C20:CZ238,102,0)</f>
        <v>-3.2000000000000002E-3</v>
      </c>
      <c r="E25" s="91">
        <f>VLOOKUP($A25,'Data Vlaue (Cr)'!$C:$FB,75)</f>
        <v>2917</v>
      </c>
      <c r="F25" s="91">
        <f>VLOOKUP($A25,'Data Vlaue (Cr)'!$C:$FB,77)</f>
        <v>-4</v>
      </c>
      <c r="G25" s="92">
        <f>VLOOKUP(A25,'Data Vlaue (Cr)'!C20:CB238,78,0)</f>
        <v>-1.4E-3</v>
      </c>
      <c r="H25" s="91">
        <f>VLOOKUP($A25,'Data Vlaue (Cr)'!$C:$FB,91)</f>
        <v>535</v>
      </c>
      <c r="I25" s="91">
        <f>VLOOKUP($A25,'Data Vlaue (Cr)'!$C:$FB,93)</f>
        <v>1</v>
      </c>
      <c r="J25" s="92">
        <f>VLOOKUP($A25,'Data Vlaue (Cr)'!$C:$FB,94)</f>
        <v>1.4E-3</v>
      </c>
      <c r="K25" s="91">
        <f>VLOOKUP($A25,'Data Vlaue (Cr)'!$C:$FB,95)</f>
        <v>375</v>
      </c>
      <c r="L25" s="91">
        <f>VLOOKUP($A25,'Data Vlaue (Cr)'!$C:$FB,97)</f>
        <v>-9</v>
      </c>
      <c r="M25" s="92">
        <f>VLOOKUP($A25,'Data Vlaue (Cr)'!$C:$FB,98)</f>
        <v>-2.2700000000000001E-2</v>
      </c>
      <c r="N25" s="91">
        <f>VLOOKUP($A25,'Data Vlaue (Cr)'!$C:$FB,79)</f>
        <v>2825</v>
      </c>
      <c r="O25" s="92">
        <f>VLOOKUP($A25,'Data Vlaue (Cr)'!$C:$FB,82)</f>
        <v>-3.0000000000000001E-3</v>
      </c>
    </row>
    <row r="26" spans="1:15" x14ac:dyDescent="0.25">
      <c r="A26" s="97" t="str">
        <f>'Data Vlaue (Cr)'!C21</f>
        <v>AXISBANK</v>
      </c>
      <c r="B26" s="142">
        <f>VLOOKUP(A26,'Data Vlaue (Cr)'!C21:CW239,99,0)</f>
        <v>12984</v>
      </c>
      <c r="C26" s="90">
        <f>VLOOKUP(A26,'Data Vlaue (Cr)'!C21:CY239,101,0)</f>
        <v>149</v>
      </c>
      <c r="D26" s="139">
        <f>VLOOKUP(A26,'Data Vlaue (Cr)'!C21:CZ239,102,0)</f>
        <v>1.1599999999999999E-2</v>
      </c>
      <c r="E26" s="91">
        <f>VLOOKUP($A26,'Data Vlaue (Cr)'!$C:$FB,75)</f>
        <v>8803</v>
      </c>
      <c r="F26" s="91">
        <f>VLOOKUP($A26,'Data Vlaue (Cr)'!$C:$FB,77)</f>
        <v>89</v>
      </c>
      <c r="G26" s="92">
        <f>VLOOKUP(A26,'Data Vlaue (Cr)'!C21:CB239,78,0)</f>
        <v>1.0200000000000001E-2</v>
      </c>
      <c r="H26" s="91">
        <f>VLOOKUP($A26,'Data Vlaue (Cr)'!$C:$FB,91)</f>
        <v>2276</v>
      </c>
      <c r="I26" s="91">
        <f>VLOOKUP($A26,'Data Vlaue (Cr)'!$C:$FB,93)</f>
        <v>0</v>
      </c>
      <c r="J26" s="92">
        <f>VLOOKUP($A26,'Data Vlaue (Cr)'!$C:$FB,94)</f>
        <v>1E-4</v>
      </c>
      <c r="K26" s="91">
        <f>VLOOKUP($A26,'Data Vlaue (Cr)'!$C:$FB,95)</f>
        <v>1906</v>
      </c>
      <c r="L26" s="91">
        <f>VLOOKUP($A26,'Data Vlaue (Cr)'!$C:$FB,97)</f>
        <v>60</v>
      </c>
      <c r="M26" s="92">
        <f>VLOOKUP($A26,'Data Vlaue (Cr)'!$C:$FB,98)</f>
        <v>3.2300000000000002E-2</v>
      </c>
      <c r="N26" s="91">
        <f>VLOOKUP($A26,'Data Vlaue (Cr)'!$C:$FB,79)</f>
        <v>6409</v>
      </c>
      <c r="O26" s="92">
        <f>VLOOKUP($A26,'Data Vlaue (Cr)'!$C:$FB,82)</f>
        <v>-8.9999999999999998E-4</v>
      </c>
    </row>
    <row r="27" spans="1:15" x14ac:dyDescent="0.25">
      <c r="A27" s="97" t="str">
        <f>'Data Vlaue (Cr)'!C22</f>
        <v>BAJAJ-AUTO</v>
      </c>
      <c r="B27" s="142">
        <f>VLOOKUP(A27,'Data Vlaue (Cr)'!C22:CW240,99,0)</f>
        <v>5356</v>
      </c>
      <c r="C27" s="90">
        <f>VLOOKUP(A27,'Data Vlaue (Cr)'!C22:CY240,101,0)</f>
        <v>176</v>
      </c>
      <c r="D27" s="139">
        <f>VLOOKUP(A27,'Data Vlaue (Cr)'!C22:CZ240,102,0)</f>
        <v>3.39E-2</v>
      </c>
      <c r="E27" s="91">
        <f>VLOOKUP($A27,'Data Vlaue (Cr)'!$C:$FB,75)</f>
        <v>2992</v>
      </c>
      <c r="F27" s="91">
        <f>VLOOKUP($A27,'Data Vlaue (Cr)'!$C:$FB,77)</f>
        <v>32</v>
      </c>
      <c r="G27" s="92">
        <f>VLOOKUP(A27,'Data Vlaue (Cr)'!C22:CB240,78,0)</f>
        <v>1.09E-2</v>
      </c>
      <c r="H27" s="91">
        <f>VLOOKUP($A27,'Data Vlaue (Cr)'!$C:$FB,91)</f>
        <v>1252</v>
      </c>
      <c r="I27" s="91">
        <f>VLOOKUP($A27,'Data Vlaue (Cr)'!$C:$FB,93)</f>
        <v>141</v>
      </c>
      <c r="J27" s="92">
        <f>VLOOKUP($A27,'Data Vlaue (Cr)'!$C:$FB,94)</f>
        <v>0.127</v>
      </c>
      <c r="K27" s="91">
        <f>VLOOKUP($A27,'Data Vlaue (Cr)'!$C:$FB,95)</f>
        <v>1112</v>
      </c>
      <c r="L27" s="91">
        <f>VLOOKUP($A27,'Data Vlaue (Cr)'!$C:$FB,97)</f>
        <v>2</v>
      </c>
      <c r="M27" s="92">
        <f>VLOOKUP($A27,'Data Vlaue (Cr)'!$C:$FB,98)</f>
        <v>2.2000000000000001E-3</v>
      </c>
      <c r="N27" s="91">
        <f>VLOOKUP($A27,'Data Vlaue (Cr)'!$C:$FB,79)</f>
        <v>2712</v>
      </c>
      <c r="O27" s="92">
        <f>VLOOKUP($A27,'Data Vlaue (Cr)'!$C:$FB,82)</f>
        <v>7.1999999999999998E-3</v>
      </c>
    </row>
    <row r="28" spans="1:15" x14ac:dyDescent="0.25">
      <c r="A28" s="97" t="str">
        <f>'Data Vlaue (Cr)'!C23</f>
        <v>BAJAJFINSV</v>
      </c>
      <c r="B28" s="142">
        <f>VLOOKUP(A28,'Data Vlaue (Cr)'!C23:CW241,99,0)</f>
        <v>3362</v>
      </c>
      <c r="C28" s="90">
        <f>VLOOKUP(A28,'Data Vlaue (Cr)'!C23:CY241,101,0)</f>
        <v>-17</v>
      </c>
      <c r="D28" s="139">
        <f>VLOOKUP(A28,'Data Vlaue (Cr)'!C23:CZ241,102,0)</f>
        <v>-4.8999999999999998E-3</v>
      </c>
      <c r="E28" s="91">
        <f>VLOOKUP($A28,'Data Vlaue (Cr)'!$C:$FB,75)</f>
        <v>2061</v>
      </c>
      <c r="F28" s="91">
        <f>VLOOKUP($A28,'Data Vlaue (Cr)'!$C:$FB,77)</f>
        <v>-19</v>
      </c>
      <c r="G28" s="92">
        <f>VLOOKUP(A28,'Data Vlaue (Cr)'!C23:CB241,78,0)</f>
        <v>-9.1000000000000004E-3</v>
      </c>
      <c r="H28" s="91">
        <f>VLOOKUP($A28,'Data Vlaue (Cr)'!$C:$FB,91)</f>
        <v>644</v>
      </c>
      <c r="I28" s="91">
        <f>VLOOKUP($A28,'Data Vlaue (Cr)'!$C:$FB,93)</f>
        <v>-7</v>
      </c>
      <c r="J28" s="92">
        <f>VLOOKUP($A28,'Data Vlaue (Cr)'!$C:$FB,94)</f>
        <v>-1.04E-2</v>
      </c>
      <c r="K28" s="91">
        <f>VLOOKUP($A28,'Data Vlaue (Cr)'!$C:$FB,95)</f>
        <v>658</v>
      </c>
      <c r="L28" s="91">
        <f>VLOOKUP($A28,'Data Vlaue (Cr)'!$C:$FB,97)</f>
        <v>9</v>
      </c>
      <c r="M28" s="92">
        <f>VLOOKUP($A28,'Data Vlaue (Cr)'!$C:$FB,98)</f>
        <v>1.41E-2</v>
      </c>
      <c r="N28" s="91">
        <f>VLOOKUP($A28,'Data Vlaue (Cr)'!$C:$FB,79)</f>
        <v>1739</v>
      </c>
      <c r="O28" s="92">
        <f>VLOOKUP($A28,'Data Vlaue (Cr)'!$C:$FB,82)</f>
        <v>-1.2200000000000001E-2</v>
      </c>
    </row>
    <row r="29" spans="1:15" x14ac:dyDescent="0.25">
      <c r="A29" s="97" t="str">
        <f>'Data Vlaue (Cr)'!C24</f>
        <v>BAJAJHLDNG</v>
      </c>
      <c r="B29" s="142">
        <f>VLOOKUP(A29,'Data Vlaue (Cr)'!C24:CW242,99,0)</f>
        <v>441</v>
      </c>
      <c r="C29" s="90">
        <f>VLOOKUP(A29,'Data Vlaue (Cr)'!C24:CY242,101,0)</f>
        <v>-8</v>
      </c>
      <c r="D29" s="139">
        <f>VLOOKUP(A29,'Data Vlaue (Cr)'!C24:CZ242,102,0)</f>
        <v>-1.84E-2</v>
      </c>
      <c r="E29" s="91">
        <f>VLOOKUP($A29,'Data Vlaue (Cr)'!$C:$FB,75)</f>
        <v>304</v>
      </c>
      <c r="F29" s="91">
        <f>VLOOKUP($A29,'Data Vlaue (Cr)'!$C:$FB,77)</f>
        <v>-2</v>
      </c>
      <c r="G29" s="92">
        <f>VLOOKUP(A29,'Data Vlaue (Cr)'!C24:CB242,78,0)</f>
        <v>-7.1000000000000004E-3</v>
      </c>
      <c r="H29" s="91">
        <f>VLOOKUP($A29,'Data Vlaue (Cr)'!$C:$FB,91)</f>
        <v>88</v>
      </c>
      <c r="I29" s="91">
        <f>VLOOKUP($A29,'Data Vlaue (Cr)'!$C:$FB,93)</f>
        <v>-8</v>
      </c>
      <c r="J29" s="92">
        <f>VLOOKUP($A29,'Data Vlaue (Cr)'!$C:$FB,94)</f>
        <v>-8.77E-2</v>
      </c>
      <c r="K29" s="91">
        <f>VLOOKUP($A29,'Data Vlaue (Cr)'!$C:$FB,95)</f>
        <v>49</v>
      </c>
      <c r="L29" s="91">
        <f>VLOOKUP($A29,'Data Vlaue (Cr)'!$C:$FB,97)</f>
        <v>2</v>
      </c>
      <c r="M29" s="92">
        <f>VLOOKUP($A29,'Data Vlaue (Cr)'!$C:$FB,98)</f>
        <v>5.16E-2</v>
      </c>
      <c r="N29" s="91">
        <f>VLOOKUP($A29,'Data Vlaue (Cr)'!$C:$FB,79)</f>
        <v>270</v>
      </c>
      <c r="O29" s="92">
        <f>VLOOKUP($A29,'Data Vlaue (Cr)'!$C:$FB,82)</f>
        <v>-4.5999999999999999E-3</v>
      </c>
    </row>
    <row r="30" spans="1:15" x14ac:dyDescent="0.25">
      <c r="A30" s="97" t="str">
        <f>'Data Vlaue (Cr)'!C25</f>
        <v>BAJFINANCE</v>
      </c>
      <c r="B30" s="142">
        <f>VLOOKUP(A30,'Data Vlaue (Cr)'!C25:CW243,99,0)</f>
        <v>10020</v>
      </c>
      <c r="C30" s="90">
        <f>VLOOKUP(A30,'Data Vlaue (Cr)'!C25:CY243,101,0)</f>
        <v>68</v>
      </c>
      <c r="D30" s="139">
        <f>VLOOKUP(A30,'Data Vlaue (Cr)'!C25:CZ243,102,0)</f>
        <v>6.8999999999999999E-3</v>
      </c>
      <c r="E30" s="91">
        <f>VLOOKUP($A30,'Data Vlaue (Cr)'!$C:$FB,75)</f>
        <v>6465</v>
      </c>
      <c r="F30" s="91">
        <f>VLOOKUP($A30,'Data Vlaue (Cr)'!$C:$FB,77)</f>
        <v>-7</v>
      </c>
      <c r="G30" s="92">
        <f>VLOOKUP(A30,'Data Vlaue (Cr)'!C25:CB243,78,0)</f>
        <v>-1.1000000000000001E-3</v>
      </c>
      <c r="H30" s="91">
        <f>VLOOKUP($A30,'Data Vlaue (Cr)'!$C:$FB,91)</f>
        <v>1998</v>
      </c>
      <c r="I30" s="91">
        <f>VLOOKUP($A30,'Data Vlaue (Cr)'!$C:$FB,93)</f>
        <v>55</v>
      </c>
      <c r="J30" s="92">
        <f>VLOOKUP($A30,'Data Vlaue (Cr)'!$C:$FB,94)</f>
        <v>2.8299999999999999E-2</v>
      </c>
      <c r="K30" s="91">
        <f>VLOOKUP($A30,'Data Vlaue (Cr)'!$C:$FB,95)</f>
        <v>1556</v>
      </c>
      <c r="L30" s="91">
        <f>VLOOKUP($A30,'Data Vlaue (Cr)'!$C:$FB,97)</f>
        <v>20</v>
      </c>
      <c r="M30" s="92">
        <f>VLOOKUP($A30,'Data Vlaue (Cr)'!$C:$FB,98)</f>
        <v>1.32E-2</v>
      </c>
      <c r="N30" s="91">
        <f>VLOOKUP($A30,'Data Vlaue (Cr)'!$C:$FB,79)</f>
        <v>5963</v>
      </c>
      <c r="O30" s="92">
        <f>VLOOKUP($A30,'Data Vlaue (Cr)'!$C:$FB,82)</f>
        <v>-8.2000000000000007E-3</v>
      </c>
    </row>
    <row r="31" spans="1:15" x14ac:dyDescent="0.25">
      <c r="A31" s="97" t="str">
        <f>'Data Vlaue (Cr)'!C26</f>
        <v>BANDHANBNK</v>
      </c>
      <c r="B31" s="142">
        <f>VLOOKUP(A31,'Data Vlaue (Cr)'!C26:CW244,99,0)</f>
        <v>2372</v>
      </c>
      <c r="C31" s="90">
        <f>VLOOKUP(A31,'Data Vlaue (Cr)'!C26:CY244,101,0)</f>
        <v>19</v>
      </c>
      <c r="D31" s="139">
        <f>VLOOKUP(A31,'Data Vlaue (Cr)'!C26:CZ244,102,0)</f>
        <v>8.0000000000000002E-3</v>
      </c>
      <c r="E31" s="91">
        <f>VLOOKUP($A31,'Data Vlaue (Cr)'!$C:$FB,75)</f>
        <v>1559</v>
      </c>
      <c r="F31" s="91">
        <f>VLOOKUP($A31,'Data Vlaue (Cr)'!$C:$FB,77)</f>
        <v>-4</v>
      </c>
      <c r="G31" s="92">
        <f>VLOOKUP(A31,'Data Vlaue (Cr)'!C26:CB244,78,0)</f>
        <v>-2.7000000000000001E-3</v>
      </c>
      <c r="H31" s="91">
        <f>VLOOKUP($A31,'Data Vlaue (Cr)'!$C:$FB,91)</f>
        <v>460</v>
      </c>
      <c r="I31" s="91">
        <f>VLOOKUP($A31,'Data Vlaue (Cr)'!$C:$FB,93)</f>
        <v>15</v>
      </c>
      <c r="J31" s="92">
        <f>VLOOKUP($A31,'Data Vlaue (Cr)'!$C:$FB,94)</f>
        <v>3.4000000000000002E-2</v>
      </c>
      <c r="K31" s="91">
        <f>VLOOKUP($A31,'Data Vlaue (Cr)'!$C:$FB,95)</f>
        <v>353</v>
      </c>
      <c r="L31" s="91">
        <f>VLOOKUP($A31,'Data Vlaue (Cr)'!$C:$FB,97)</f>
        <v>8</v>
      </c>
      <c r="M31" s="92">
        <f>VLOOKUP($A31,'Data Vlaue (Cr)'!$C:$FB,98)</f>
        <v>2.3E-2</v>
      </c>
      <c r="N31" s="91">
        <f>VLOOKUP($A31,'Data Vlaue (Cr)'!$C:$FB,79)</f>
        <v>1286</v>
      </c>
      <c r="O31" s="92">
        <f>VLOOKUP($A31,'Data Vlaue (Cr)'!$C:$FB,82)</f>
        <v>-0.126</v>
      </c>
    </row>
    <row r="32" spans="1:15" x14ac:dyDescent="0.25">
      <c r="A32" s="97" t="str">
        <f>'Data Vlaue (Cr)'!C27</f>
        <v>BANKBARODA</v>
      </c>
      <c r="B32" s="142">
        <f>VLOOKUP(A32,'Data Vlaue (Cr)'!C27:CW245,99,0)</f>
        <v>5173</v>
      </c>
      <c r="C32" s="90">
        <f>VLOOKUP(A32,'Data Vlaue (Cr)'!C27:CY245,101,0)</f>
        <v>33</v>
      </c>
      <c r="D32" s="139">
        <f>VLOOKUP(A32,'Data Vlaue (Cr)'!C27:CZ245,102,0)</f>
        <v>6.4000000000000003E-3</v>
      </c>
      <c r="E32" s="91">
        <f>VLOOKUP($A32,'Data Vlaue (Cr)'!$C:$FB,75)</f>
        <v>2905</v>
      </c>
      <c r="F32" s="91">
        <f>VLOOKUP($A32,'Data Vlaue (Cr)'!$C:$FB,77)</f>
        <v>10</v>
      </c>
      <c r="G32" s="92">
        <f>VLOOKUP(A32,'Data Vlaue (Cr)'!C27:CB245,78,0)</f>
        <v>3.3999999999999998E-3</v>
      </c>
      <c r="H32" s="91">
        <f>VLOOKUP($A32,'Data Vlaue (Cr)'!$C:$FB,91)</f>
        <v>1161</v>
      </c>
      <c r="I32" s="91">
        <f>VLOOKUP($A32,'Data Vlaue (Cr)'!$C:$FB,93)</f>
        <v>1</v>
      </c>
      <c r="J32" s="92">
        <f>VLOOKUP($A32,'Data Vlaue (Cr)'!$C:$FB,94)</f>
        <v>6.9999999999999999E-4</v>
      </c>
      <c r="K32" s="91">
        <f>VLOOKUP($A32,'Data Vlaue (Cr)'!$C:$FB,95)</f>
        <v>1107</v>
      </c>
      <c r="L32" s="91">
        <f>VLOOKUP($A32,'Data Vlaue (Cr)'!$C:$FB,97)</f>
        <v>22</v>
      </c>
      <c r="M32" s="92">
        <f>VLOOKUP($A32,'Data Vlaue (Cr)'!$C:$FB,98)</f>
        <v>2.0400000000000001E-2</v>
      </c>
      <c r="N32" s="91">
        <f>VLOOKUP($A32,'Data Vlaue (Cr)'!$C:$FB,79)</f>
        <v>2515</v>
      </c>
      <c r="O32" s="92">
        <f>VLOOKUP($A32,'Data Vlaue (Cr)'!$C:$FB,82)</f>
        <v>-6.8000000000000005E-2</v>
      </c>
    </row>
    <row r="33" spans="1:15" x14ac:dyDescent="0.25">
      <c r="A33" s="97" t="str">
        <f>'Data Vlaue (Cr)'!C28</f>
        <v>BANKINDIA</v>
      </c>
      <c r="B33" s="142">
        <f>VLOOKUP(A33,'Data Vlaue (Cr)'!C28:CW246,99,0)</f>
        <v>1550</v>
      </c>
      <c r="C33" s="90">
        <f>VLOOKUP(A33,'Data Vlaue (Cr)'!C28:CY246,101,0)</f>
        <v>26</v>
      </c>
      <c r="D33" s="139">
        <f>VLOOKUP(A33,'Data Vlaue (Cr)'!C28:CZ246,102,0)</f>
        <v>1.7399999999999999E-2</v>
      </c>
      <c r="E33" s="91">
        <f>VLOOKUP($A33,'Data Vlaue (Cr)'!$C:$FB,75)</f>
        <v>838</v>
      </c>
      <c r="F33" s="91">
        <f>VLOOKUP($A33,'Data Vlaue (Cr)'!$C:$FB,77)</f>
        <v>1</v>
      </c>
      <c r="G33" s="92">
        <f>VLOOKUP(A33,'Data Vlaue (Cr)'!C28:CB246,78,0)</f>
        <v>1.8E-3</v>
      </c>
      <c r="H33" s="91">
        <f>VLOOKUP($A33,'Data Vlaue (Cr)'!$C:$FB,91)</f>
        <v>380</v>
      </c>
      <c r="I33" s="91">
        <f>VLOOKUP($A33,'Data Vlaue (Cr)'!$C:$FB,93)</f>
        <v>31</v>
      </c>
      <c r="J33" s="92">
        <f>VLOOKUP($A33,'Data Vlaue (Cr)'!$C:$FB,94)</f>
        <v>8.9800000000000005E-2</v>
      </c>
      <c r="K33" s="91">
        <f>VLOOKUP($A33,'Data Vlaue (Cr)'!$C:$FB,95)</f>
        <v>332</v>
      </c>
      <c r="L33" s="91">
        <f>VLOOKUP($A33,'Data Vlaue (Cr)'!$C:$FB,97)</f>
        <v>-6</v>
      </c>
      <c r="M33" s="92">
        <f>VLOOKUP($A33,'Data Vlaue (Cr)'!$C:$FB,98)</f>
        <v>-1.8700000000000001E-2</v>
      </c>
      <c r="N33" s="91">
        <f>VLOOKUP($A33,'Data Vlaue (Cr)'!$C:$FB,79)</f>
        <v>771</v>
      </c>
      <c r="O33" s="92">
        <f>VLOOKUP($A33,'Data Vlaue (Cr)'!$C:$FB,82)</f>
        <v>-1.9199999999999998E-2</v>
      </c>
    </row>
    <row r="34" spans="1:15" x14ac:dyDescent="0.25">
      <c r="A34" s="97" t="str">
        <f>'Data Vlaue (Cr)'!C29</f>
        <v>BANKNIFTY</v>
      </c>
      <c r="B34" s="142">
        <f>VLOOKUP(A34,'Data Vlaue (Cr)'!C29:CW247,99,0)</f>
        <v>232980</v>
      </c>
      <c r="C34" s="90">
        <f>VLOOKUP(A34,'Data Vlaue (Cr)'!C29:CY247,101,0)</f>
        <v>13698</v>
      </c>
      <c r="D34" s="139">
        <f>VLOOKUP(A34,'Data Vlaue (Cr)'!C29:CZ247,102,0)</f>
        <v>6.25E-2</v>
      </c>
      <c r="E34" s="91">
        <f>VLOOKUP($A34,'Data Vlaue (Cr)'!$C:$FB,75)</f>
        <v>14747</v>
      </c>
      <c r="F34" s="91">
        <f>VLOOKUP($A34,'Data Vlaue (Cr)'!$C:$FB,77)</f>
        <v>-207</v>
      </c>
      <c r="G34" s="92">
        <f>VLOOKUP(A34,'Data Vlaue (Cr)'!C29:CB247,78,0)</f>
        <v>-1.3899999999999999E-2</v>
      </c>
      <c r="H34" s="91">
        <f>VLOOKUP($A34,'Data Vlaue (Cr)'!$C:$FB,91)</f>
        <v>112916</v>
      </c>
      <c r="I34" s="91">
        <f>VLOOKUP($A34,'Data Vlaue (Cr)'!$C:$FB,93)</f>
        <v>3402</v>
      </c>
      <c r="J34" s="92">
        <f>VLOOKUP($A34,'Data Vlaue (Cr)'!$C:$FB,94)</f>
        <v>3.1099999999999999E-2</v>
      </c>
      <c r="K34" s="91">
        <f>VLOOKUP($A34,'Data Vlaue (Cr)'!$C:$FB,95)</f>
        <v>105317</v>
      </c>
      <c r="L34" s="91">
        <f>VLOOKUP($A34,'Data Vlaue (Cr)'!$C:$FB,97)</f>
        <v>10504</v>
      </c>
      <c r="M34" s="92">
        <f>VLOOKUP($A34,'Data Vlaue (Cr)'!$C:$FB,98)</f>
        <v>0.1108</v>
      </c>
      <c r="N34" s="91">
        <f>VLOOKUP($A34,'Data Vlaue (Cr)'!$C:$FB,79)</f>
        <v>11220</v>
      </c>
      <c r="O34" s="92">
        <f>VLOOKUP($A34,'Data Vlaue (Cr)'!$C:$FB,82)</f>
        <v>-4.3200000000000002E-2</v>
      </c>
    </row>
    <row r="35" spans="1:15" x14ac:dyDescent="0.25">
      <c r="A35" s="97" t="str">
        <f>'Data Vlaue (Cr)'!C30</f>
        <v>BDL</v>
      </c>
      <c r="B35" s="142">
        <f>VLOOKUP(A35,'Data Vlaue (Cr)'!C30:CW248,99,0)</f>
        <v>1370</v>
      </c>
      <c r="C35" s="90">
        <f>VLOOKUP(A35,'Data Vlaue (Cr)'!C30:CY248,101,0)</f>
        <v>-4</v>
      </c>
      <c r="D35" s="139">
        <f>VLOOKUP(A35,'Data Vlaue (Cr)'!C30:CZ248,102,0)</f>
        <v>-2.5999999999999999E-3</v>
      </c>
      <c r="E35" s="91">
        <f>VLOOKUP($A35,'Data Vlaue (Cr)'!$C:$FB,75)</f>
        <v>545</v>
      </c>
      <c r="F35" s="91">
        <f>VLOOKUP($A35,'Data Vlaue (Cr)'!$C:$FB,77)</f>
        <v>-9</v>
      </c>
      <c r="G35" s="92">
        <f>VLOOKUP(A35,'Data Vlaue (Cr)'!C30:CB248,78,0)</f>
        <v>-1.7100000000000001E-2</v>
      </c>
      <c r="H35" s="91">
        <f>VLOOKUP($A35,'Data Vlaue (Cr)'!$C:$FB,91)</f>
        <v>458</v>
      </c>
      <c r="I35" s="91">
        <f>VLOOKUP($A35,'Data Vlaue (Cr)'!$C:$FB,93)</f>
        <v>-13</v>
      </c>
      <c r="J35" s="92">
        <f>VLOOKUP($A35,'Data Vlaue (Cr)'!$C:$FB,94)</f>
        <v>-2.69E-2</v>
      </c>
      <c r="K35" s="91">
        <f>VLOOKUP($A35,'Data Vlaue (Cr)'!$C:$FB,95)</f>
        <v>368</v>
      </c>
      <c r="L35" s="91">
        <f>VLOOKUP($A35,'Data Vlaue (Cr)'!$C:$FB,97)</f>
        <v>19</v>
      </c>
      <c r="M35" s="92">
        <f>VLOOKUP($A35,'Data Vlaue (Cr)'!$C:$FB,98)</f>
        <v>5.33E-2</v>
      </c>
      <c r="N35" s="91">
        <f>VLOOKUP($A35,'Data Vlaue (Cr)'!$C:$FB,79)</f>
        <v>430</v>
      </c>
      <c r="O35" s="92">
        <f>VLOOKUP($A35,'Data Vlaue (Cr)'!$C:$FB,82)</f>
        <v>-3.1300000000000001E-2</v>
      </c>
    </row>
    <row r="36" spans="1:15" x14ac:dyDescent="0.25">
      <c r="A36" s="97" t="str">
        <f>'Data Vlaue (Cr)'!C31</f>
        <v>BEL</v>
      </c>
      <c r="B36" s="142">
        <f>VLOOKUP(A36,'Data Vlaue (Cr)'!C31:CW249,99,0)</f>
        <v>8295</v>
      </c>
      <c r="C36" s="90">
        <f>VLOOKUP(A36,'Data Vlaue (Cr)'!C31:CY249,101,0)</f>
        <v>123</v>
      </c>
      <c r="D36" s="139">
        <f>VLOOKUP(A36,'Data Vlaue (Cr)'!C31:CZ249,102,0)</f>
        <v>1.5100000000000001E-2</v>
      </c>
      <c r="E36" s="91">
        <f>VLOOKUP($A36,'Data Vlaue (Cr)'!$C:$FB,75)</f>
        <v>4895</v>
      </c>
      <c r="F36" s="91">
        <f>VLOOKUP($A36,'Data Vlaue (Cr)'!$C:$FB,77)</f>
        <v>-2</v>
      </c>
      <c r="G36" s="92">
        <f>VLOOKUP(A36,'Data Vlaue (Cr)'!C31:CB249,78,0)</f>
        <v>-5.0000000000000001E-4</v>
      </c>
      <c r="H36" s="91">
        <f>VLOOKUP($A36,'Data Vlaue (Cr)'!$C:$FB,91)</f>
        <v>1941</v>
      </c>
      <c r="I36" s="91">
        <f>VLOOKUP($A36,'Data Vlaue (Cr)'!$C:$FB,93)</f>
        <v>30</v>
      </c>
      <c r="J36" s="92">
        <f>VLOOKUP($A36,'Data Vlaue (Cr)'!$C:$FB,94)</f>
        <v>1.5599999999999999E-2</v>
      </c>
      <c r="K36" s="91">
        <f>VLOOKUP($A36,'Data Vlaue (Cr)'!$C:$FB,95)</f>
        <v>1459</v>
      </c>
      <c r="L36" s="91">
        <f>VLOOKUP($A36,'Data Vlaue (Cr)'!$C:$FB,97)</f>
        <v>96</v>
      </c>
      <c r="M36" s="92">
        <f>VLOOKUP($A36,'Data Vlaue (Cr)'!$C:$FB,98)</f>
        <v>7.0199999999999999E-2</v>
      </c>
      <c r="N36" s="91">
        <f>VLOOKUP($A36,'Data Vlaue (Cr)'!$C:$FB,79)</f>
        <v>4204</v>
      </c>
      <c r="O36" s="92">
        <f>VLOOKUP($A36,'Data Vlaue (Cr)'!$C:$FB,82)</f>
        <v>-8.2000000000000007E-3</v>
      </c>
    </row>
    <row r="37" spans="1:15" x14ac:dyDescent="0.25">
      <c r="A37" s="97" t="str">
        <f>'Data Vlaue (Cr)'!C32</f>
        <v>BHARATFORG</v>
      </c>
      <c r="B37" s="142">
        <f>VLOOKUP(A37,'Data Vlaue (Cr)'!C32:CW250,99,0)</f>
        <v>2473</v>
      </c>
      <c r="C37" s="90">
        <f>VLOOKUP(A37,'Data Vlaue (Cr)'!C32:CY250,101,0)</f>
        <v>28</v>
      </c>
      <c r="D37" s="139">
        <f>VLOOKUP(A37,'Data Vlaue (Cr)'!C32:CZ250,102,0)</f>
        <v>1.14E-2</v>
      </c>
      <c r="E37" s="91">
        <f>VLOOKUP($A37,'Data Vlaue (Cr)'!$C:$FB,75)</f>
        <v>1502</v>
      </c>
      <c r="F37" s="91">
        <f>VLOOKUP($A37,'Data Vlaue (Cr)'!$C:$FB,77)</f>
        <v>46</v>
      </c>
      <c r="G37" s="92">
        <f>VLOOKUP(A37,'Data Vlaue (Cr)'!C32:CB250,78,0)</f>
        <v>3.15E-2</v>
      </c>
      <c r="H37" s="91">
        <f>VLOOKUP($A37,'Data Vlaue (Cr)'!$C:$FB,91)</f>
        <v>602</v>
      </c>
      <c r="I37" s="91">
        <f>VLOOKUP($A37,'Data Vlaue (Cr)'!$C:$FB,93)</f>
        <v>-12</v>
      </c>
      <c r="J37" s="92">
        <f>VLOOKUP($A37,'Data Vlaue (Cr)'!$C:$FB,94)</f>
        <v>-1.9099999999999999E-2</v>
      </c>
      <c r="K37" s="91">
        <f>VLOOKUP($A37,'Data Vlaue (Cr)'!$C:$FB,95)</f>
        <v>369</v>
      </c>
      <c r="L37" s="91">
        <f>VLOOKUP($A37,'Data Vlaue (Cr)'!$C:$FB,97)</f>
        <v>-6</v>
      </c>
      <c r="M37" s="92">
        <f>VLOOKUP($A37,'Data Vlaue (Cr)'!$C:$FB,98)</f>
        <v>-1.7100000000000001E-2</v>
      </c>
      <c r="N37" s="91">
        <f>VLOOKUP($A37,'Data Vlaue (Cr)'!$C:$FB,79)</f>
        <v>1435</v>
      </c>
      <c r="O37" s="92">
        <f>VLOOKUP($A37,'Data Vlaue (Cr)'!$C:$FB,82)</f>
        <v>7.6E-3</v>
      </c>
    </row>
    <row r="38" spans="1:15" x14ac:dyDescent="0.25">
      <c r="A38" s="97" t="str">
        <f>'Data Vlaue (Cr)'!C33</f>
        <v>BHARTIARTL</v>
      </c>
      <c r="B38" s="142">
        <f>VLOOKUP(A38,'Data Vlaue (Cr)'!C33:CW251,99,0)</f>
        <v>15298</v>
      </c>
      <c r="C38" s="90">
        <f>VLOOKUP(A38,'Data Vlaue (Cr)'!C33:CY251,101,0)</f>
        <v>140</v>
      </c>
      <c r="D38" s="139">
        <f>VLOOKUP(A38,'Data Vlaue (Cr)'!C33:CZ251,102,0)</f>
        <v>9.2999999999999992E-3</v>
      </c>
      <c r="E38" s="91">
        <f>VLOOKUP($A38,'Data Vlaue (Cr)'!$C:$FB,75)</f>
        <v>11220</v>
      </c>
      <c r="F38" s="91">
        <f>VLOOKUP($A38,'Data Vlaue (Cr)'!$C:$FB,77)</f>
        <v>-18</v>
      </c>
      <c r="G38" s="92">
        <f>VLOOKUP(A38,'Data Vlaue (Cr)'!C33:CB251,78,0)</f>
        <v>-1.6000000000000001E-3</v>
      </c>
      <c r="H38" s="91">
        <f>VLOOKUP($A38,'Data Vlaue (Cr)'!$C:$FB,91)</f>
        <v>2533</v>
      </c>
      <c r="I38" s="91">
        <f>VLOOKUP($A38,'Data Vlaue (Cr)'!$C:$FB,93)</f>
        <v>106</v>
      </c>
      <c r="J38" s="92">
        <f>VLOOKUP($A38,'Data Vlaue (Cr)'!$C:$FB,94)</f>
        <v>4.36E-2</v>
      </c>
      <c r="K38" s="91">
        <f>VLOOKUP($A38,'Data Vlaue (Cr)'!$C:$FB,95)</f>
        <v>1544</v>
      </c>
      <c r="L38" s="91">
        <f>VLOOKUP($A38,'Data Vlaue (Cr)'!$C:$FB,97)</f>
        <v>53</v>
      </c>
      <c r="M38" s="92">
        <f>VLOOKUP($A38,'Data Vlaue (Cr)'!$C:$FB,98)</f>
        <v>3.5299999999999998E-2</v>
      </c>
      <c r="N38" s="91">
        <f>VLOOKUP($A38,'Data Vlaue (Cr)'!$C:$FB,79)</f>
        <v>8358</v>
      </c>
      <c r="O38" s="92">
        <f>VLOOKUP($A38,'Data Vlaue (Cr)'!$C:$FB,82)</f>
        <v>-1.35E-2</v>
      </c>
    </row>
    <row r="39" spans="1:15" x14ac:dyDescent="0.25">
      <c r="A39" s="97" t="str">
        <f>'Data Vlaue (Cr)'!C34</f>
        <v>BHEL</v>
      </c>
      <c r="B39" s="142">
        <f>VLOOKUP(A39,'Data Vlaue (Cr)'!C34:CW252,99,0)</f>
        <v>5783</v>
      </c>
      <c r="C39" s="90">
        <f>VLOOKUP(A39,'Data Vlaue (Cr)'!C34:CY252,101,0)</f>
        <v>38</v>
      </c>
      <c r="D39" s="139">
        <f>VLOOKUP(A39,'Data Vlaue (Cr)'!C34:CZ252,102,0)</f>
        <v>6.4999999999999997E-3</v>
      </c>
      <c r="E39" s="91">
        <f>VLOOKUP($A39,'Data Vlaue (Cr)'!$C:$FB,75)</f>
        <v>3165</v>
      </c>
      <c r="F39" s="91">
        <f>VLOOKUP($A39,'Data Vlaue (Cr)'!$C:$FB,77)</f>
        <v>-13</v>
      </c>
      <c r="G39" s="92">
        <f>VLOOKUP(A39,'Data Vlaue (Cr)'!C34:CB252,78,0)</f>
        <v>-4.0000000000000001E-3</v>
      </c>
      <c r="H39" s="91">
        <f>VLOOKUP($A39,'Data Vlaue (Cr)'!$C:$FB,91)</f>
        <v>1389</v>
      </c>
      <c r="I39" s="91">
        <f>VLOOKUP($A39,'Data Vlaue (Cr)'!$C:$FB,93)</f>
        <v>47</v>
      </c>
      <c r="J39" s="92">
        <f>VLOOKUP($A39,'Data Vlaue (Cr)'!$C:$FB,94)</f>
        <v>3.4799999999999998E-2</v>
      </c>
      <c r="K39" s="91">
        <f>VLOOKUP($A39,'Data Vlaue (Cr)'!$C:$FB,95)</f>
        <v>1229</v>
      </c>
      <c r="L39" s="91">
        <f>VLOOKUP($A39,'Data Vlaue (Cr)'!$C:$FB,97)</f>
        <v>4</v>
      </c>
      <c r="M39" s="92">
        <f>VLOOKUP($A39,'Data Vlaue (Cr)'!$C:$FB,98)</f>
        <v>3.0000000000000001E-3</v>
      </c>
      <c r="N39" s="91">
        <f>VLOOKUP($A39,'Data Vlaue (Cr)'!$C:$FB,79)</f>
        <v>3006</v>
      </c>
      <c r="O39" s="92">
        <f>VLOOKUP($A39,'Data Vlaue (Cr)'!$C:$FB,82)</f>
        <v>-1.32E-2</v>
      </c>
    </row>
    <row r="40" spans="1:15" x14ac:dyDescent="0.25">
      <c r="A40" s="97" t="str">
        <f>'Data Vlaue (Cr)'!C35</f>
        <v>BIOCON</v>
      </c>
      <c r="B40" s="142">
        <f>VLOOKUP(A40,'Data Vlaue (Cr)'!C35:CW253,99,0)</f>
        <v>2748</v>
      </c>
      <c r="C40" s="90">
        <f>VLOOKUP(A40,'Data Vlaue (Cr)'!C35:CY253,101,0)</f>
        <v>-24</v>
      </c>
      <c r="D40" s="139">
        <f>VLOOKUP(A40,'Data Vlaue (Cr)'!C35:CZ253,102,0)</f>
        <v>-8.5000000000000006E-3</v>
      </c>
      <c r="E40" s="91">
        <f>VLOOKUP($A40,'Data Vlaue (Cr)'!$C:$FB,75)</f>
        <v>1321</v>
      </c>
      <c r="F40" s="91">
        <f>VLOOKUP($A40,'Data Vlaue (Cr)'!$C:$FB,77)</f>
        <v>-49</v>
      </c>
      <c r="G40" s="92">
        <f>VLOOKUP(A40,'Data Vlaue (Cr)'!C35:CB253,78,0)</f>
        <v>-3.5799999999999998E-2</v>
      </c>
      <c r="H40" s="91">
        <f>VLOOKUP($A40,'Data Vlaue (Cr)'!$C:$FB,91)</f>
        <v>871</v>
      </c>
      <c r="I40" s="91">
        <f>VLOOKUP($A40,'Data Vlaue (Cr)'!$C:$FB,93)</f>
        <v>14</v>
      </c>
      <c r="J40" s="92">
        <f>VLOOKUP($A40,'Data Vlaue (Cr)'!$C:$FB,94)</f>
        <v>1.6299999999999999E-2</v>
      </c>
      <c r="K40" s="91">
        <f>VLOOKUP($A40,'Data Vlaue (Cr)'!$C:$FB,95)</f>
        <v>557</v>
      </c>
      <c r="L40" s="91">
        <f>VLOOKUP($A40,'Data Vlaue (Cr)'!$C:$FB,97)</f>
        <v>11</v>
      </c>
      <c r="M40" s="92">
        <f>VLOOKUP($A40,'Data Vlaue (Cr)'!$C:$FB,98)</f>
        <v>2.0899999999999998E-2</v>
      </c>
      <c r="N40" s="91">
        <f>VLOOKUP($A40,'Data Vlaue (Cr)'!$C:$FB,79)</f>
        <v>1209</v>
      </c>
      <c r="O40" s="92">
        <f>VLOOKUP($A40,'Data Vlaue (Cr)'!$C:$FB,82)</f>
        <v>-5.0700000000000002E-2</v>
      </c>
    </row>
    <row r="41" spans="1:15" x14ac:dyDescent="0.25">
      <c r="A41" s="97" t="str">
        <f>'Data Vlaue (Cr)'!C36</f>
        <v>BLUESTARCO</v>
      </c>
      <c r="B41" s="142">
        <f>VLOOKUP(A41,'Data Vlaue (Cr)'!C36:CW254,99,0)</f>
        <v>1130</v>
      </c>
      <c r="C41" s="90">
        <f>VLOOKUP(A41,'Data Vlaue (Cr)'!C36:CY254,101,0)</f>
        <v>62</v>
      </c>
      <c r="D41" s="139">
        <f>VLOOKUP(A41,'Data Vlaue (Cr)'!C36:CZ254,102,0)</f>
        <v>5.8299999999999998E-2</v>
      </c>
      <c r="E41" s="91">
        <f>VLOOKUP($A41,'Data Vlaue (Cr)'!$C:$FB,75)</f>
        <v>660</v>
      </c>
      <c r="F41" s="91">
        <f>VLOOKUP($A41,'Data Vlaue (Cr)'!$C:$FB,77)</f>
        <v>64</v>
      </c>
      <c r="G41" s="92">
        <f>VLOOKUP(A41,'Data Vlaue (Cr)'!C36:CB254,78,0)</f>
        <v>0.10730000000000001</v>
      </c>
      <c r="H41" s="91">
        <f>VLOOKUP($A41,'Data Vlaue (Cr)'!$C:$FB,91)</f>
        <v>289</v>
      </c>
      <c r="I41" s="91">
        <f>VLOOKUP($A41,'Data Vlaue (Cr)'!$C:$FB,93)</f>
        <v>-5</v>
      </c>
      <c r="J41" s="92">
        <f>VLOOKUP($A41,'Data Vlaue (Cr)'!$C:$FB,94)</f>
        <v>-1.5599999999999999E-2</v>
      </c>
      <c r="K41" s="91">
        <f>VLOOKUP($A41,'Data Vlaue (Cr)'!$C:$FB,95)</f>
        <v>181</v>
      </c>
      <c r="L41" s="91">
        <f>VLOOKUP($A41,'Data Vlaue (Cr)'!$C:$FB,97)</f>
        <v>3</v>
      </c>
      <c r="M41" s="92">
        <f>VLOOKUP($A41,'Data Vlaue (Cr)'!$C:$FB,98)</f>
        <v>1.6199999999999999E-2</v>
      </c>
      <c r="N41" s="91">
        <f>VLOOKUP($A41,'Data Vlaue (Cr)'!$C:$FB,79)</f>
        <v>479</v>
      </c>
      <c r="O41" s="92">
        <f>VLOOKUP($A41,'Data Vlaue (Cr)'!$C:$FB,82)</f>
        <v>0.03</v>
      </c>
    </row>
    <row r="42" spans="1:15" x14ac:dyDescent="0.25">
      <c r="A42" s="97" t="str">
        <f>'Data Vlaue (Cr)'!C37</f>
        <v>BOSCHLTD</v>
      </c>
      <c r="B42" s="142">
        <f>VLOOKUP(A42,'Data Vlaue (Cr)'!C37:CW255,99,0)</f>
        <v>2829</v>
      </c>
      <c r="C42" s="90">
        <f>VLOOKUP(A42,'Data Vlaue (Cr)'!C37:CY255,101,0)</f>
        <v>-22</v>
      </c>
      <c r="D42" s="139">
        <f>VLOOKUP(A42,'Data Vlaue (Cr)'!C37:CZ255,102,0)</f>
        <v>-7.7999999999999996E-3</v>
      </c>
      <c r="E42" s="91">
        <f>VLOOKUP($A42,'Data Vlaue (Cr)'!$C:$FB,75)</f>
        <v>1027</v>
      </c>
      <c r="F42" s="91">
        <f>VLOOKUP($A42,'Data Vlaue (Cr)'!$C:$FB,77)</f>
        <v>-16</v>
      </c>
      <c r="G42" s="92">
        <f>VLOOKUP(A42,'Data Vlaue (Cr)'!C37:CB255,78,0)</f>
        <v>-1.5800000000000002E-2</v>
      </c>
      <c r="H42" s="91">
        <f>VLOOKUP($A42,'Data Vlaue (Cr)'!$C:$FB,91)</f>
        <v>954</v>
      </c>
      <c r="I42" s="91">
        <f>VLOOKUP($A42,'Data Vlaue (Cr)'!$C:$FB,93)</f>
        <v>-3</v>
      </c>
      <c r="J42" s="92">
        <f>VLOOKUP($A42,'Data Vlaue (Cr)'!$C:$FB,94)</f>
        <v>-3.3999999999999998E-3</v>
      </c>
      <c r="K42" s="91">
        <f>VLOOKUP($A42,'Data Vlaue (Cr)'!$C:$FB,95)</f>
        <v>848</v>
      </c>
      <c r="L42" s="91">
        <f>VLOOKUP($A42,'Data Vlaue (Cr)'!$C:$FB,97)</f>
        <v>-2</v>
      </c>
      <c r="M42" s="92">
        <f>VLOOKUP($A42,'Data Vlaue (Cr)'!$C:$FB,98)</f>
        <v>-2.8999999999999998E-3</v>
      </c>
      <c r="N42" s="91">
        <f>VLOOKUP($A42,'Data Vlaue (Cr)'!$C:$FB,79)</f>
        <v>990</v>
      </c>
      <c r="O42" s="92">
        <f>VLOOKUP($A42,'Data Vlaue (Cr)'!$C:$FB,82)</f>
        <v>-1.84E-2</v>
      </c>
    </row>
    <row r="43" spans="1:15" x14ac:dyDescent="0.25">
      <c r="A43" s="97" t="str">
        <f>'Data Vlaue (Cr)'!C38</f>
        <v>BPCL</v>
      </c>
      <c r="B43" s="142">
        <f>VLOOKUP(A43,'Data Vlaue (Cr)'!C38:CW256,99,0)</f>
        <v>3054</v>
      </c>
      <c r="C43" s="90">
        <f>VLOOKUP(A43,'Data Vlaue (Cr)'!C38:CY256,101,0)</f>
        <v>20</v>
      </c>
      <c r="D43" s="139">
        <f>VLOOKUP(A43,'Data Vlaue (Cr)'!C38:CZ256,102,0)</f>
        <v>6.7000000000000002E-3</v>
      </c>
      <c r="E43" s="91">
        <f>VLOOKUP($A43,'Data Vlaue (Cr)'!$C:$FB,75)</f>
        <v>1713</v>
      </c>
      <c r="F43" s="91">
        <f>VLOOKUP($A43,'Data Vlaue (Cr)'!$C:$FB,77)</f>
        <v>-2</v>
      </c>
      <c r="G43" s="92">
        <f>VLOOKUP(A43,'Data Vlaue (Cr)'!C38:CB256,78,0)</f>
        <v>-1E-3</v>
      </c>
      <c r="H43" s="91">
        <f>VLOOKUP($A43,'Data Vlaue (Cr)'!$C:$FB,91)</f>
        <v>714</v>
      </c>
      <c r="I43" s="91">
        <f>VLOOKUP($A43,'Data Vlaue (Cr)'!$C:$FB,93)</f>
        <v>12</v>
      </c>
      <c r="J43" s="92">
        <f>VLOOKUP($A43,'Data Vlaue (Cr)'!$C:$FB,94)</f>
        <v>1.7399999999999999E-2</v>
      </c>
      <c r="K43" s="91">
        <f>VLOOKUP($A43,'Data Vlaue (Cr)'!$C:$FB,95)</f>
        <v>627</v>
      </c>
      <c r="L43" s="91">
        <f>VLOOKUP($A43,'Data Vlaue (Cr)'!$C:$FB,97)</f>
        <v>10</v>
      </c>
      <c r="M43" s="92">
        <f>VLOOKUP($A43,'Data Vlaue (Cr)'!$C:$FB,98)</f>
        <v>1.6E-2</v>
      </c>
      <c r="N43" s="91">
        <f>VLOOKUP($A43,'Data Vlaue (Cr)'!$C:$FB,79)</f>
        <v>1633</v>
      </c>
      <c r="O43" s="92">
        <f>VLOOKUP($A43,'Data Vlaue (Cr)'!$C:$FB,82)</f>
        <v>-2.3999999999999998E-3</v>
      </c>
    </row>
    <row r="44" spans="1:15" x14ac:dyDescent="0.25">
      <c r="A44" s="97" t="str">
        <f>'Data Vlaue (Cr)'!C39</f>
        <v>BRITANNIA</v>
      </c>
      <c r="B44" s="142">
        <f>VLOOKUP(A44,'Data Vlaue (Cr)'!C39:CW257,99,0)</f>
        <v>2274</v>
      </c>
      <c r="C44" s="90">
        <f>VLOOKUP(A44,'Data Vlaue (Cr)'!C39:CY257,101,0)</f>
        <v>55</v>
      </c>
      <c r="D44" s="139">
        <f>VLOOKUP(A44,'Data Vlaue (Cr)'!C39:CZ257,102,0)</f>
        <v>2.4899999999999999E-2</v>
      </c>
      <c r="E44" s="91">
        <f>VLOOKUP($A44,'Data Vlaue (Cr)'!$C:$FB,75)</f>
        <v>1601</v>
      </c>
      <c r="F44" s="91">
        <f>VLOOKUP($A44,'Data Vlaue (Cr)'!$C:$FB,77)</f>
        <v>24</v>
      </c>
      <c r="G44" s="92">
        <f>VLOOKUP(A44,'Data Vlaue (Cr)'!C39:CB257,78,0)</f>
        <v>1.5100000000000001E-2</v>
      </c>
      <c r="H44" s="91">
        <f>VLOOKUP($A44,'Data Vlaue (Cr)'!$C:$FB,91)</f>
        <v>327</v>
      </c>
      <c r="I44" s="91">
        <f>VLOOKUP($A44,'Data Vlaue (Cr)'!$C:$FB,93)</f>
        <v>-6</v>
      </c>
      <c r="J44" s="92">
        <f>VLOOKUP($A44,'Data Vlaue (Cr)'!$C:$FB,94)</f>
        <v>-1.83E-2</v>
      </c>
      <c r="K44" s="91">
        <f>VLOOKUP($A44,'Data Vlaue (Cr)'!$C:$FB,95)</f>
        <v>346</v>
      </c>
      <c r="L44" s="91">
        <f>VLOOKUP($A44,'Data Vlaue (Cr)'!$C:$FB,97)</f>
        <v>38</v>
      </c>
      <c r="M44" s="92">
        <f>VLOOKUP($A44,'Data Vlaue (Cr)'!$C:$FB,98)</f>
        <v>0.122</v>
      </c>
      <c r="N44" s="91">
        <f>VLOOKUP($A44,'Data Vlaue (Cr)'!$C:$FB,79)</f>
        <v>1544</v>
      </c>
      <c r="O44" s="92">
        <f>VLOOKUP($A44,'Data Vlaue (Cr)'!$C:$FB,82)</f>
        <v>1.6E-2</v>
      </c>
    </row>
    <row r="45" spans="1:15" x14ac:dyDescent="0.25">
      <c r="A45" s="97" t="str">
        <f>'Data Vlaue (Cr)'!C40</f>
        <v>BSE</v>
      </c>
      <c r="B45" s="142">
        <f>VLOOKUP(A45,'Data Vlaue (Cr)'!C40:CW258,99,0)</f>
        <v>9563</v>
      </c>
      <c r="C45" s="90">
        <f>VLOOKUP(A45,'Data Vlaue (Cr)'!C40:CY258,101,0)</f>
        <v>1003</v>
      </c>
      <c r="D45" s="139">
        <f>VLOOKUP(A45,'Data Vlaue (Cr)'!C40:CZ258,102,0)</f>
        <v>0.1171</v>
      </c>
      <c r="E45" s="91">
        <f>VLOOKUP($A45,'Data Vlaue (Cr)'!$C:$FB,75)</f>
        <v>2977</v>
      </c>
      <c r="F45" s="91">
        <f>VLOOKUP($A45,'Data Vlaue (Cr)'!$C:$FB,77)</f>
        <v>161</v>
      </c>
      <c r="G45" s="92">
        <f>VLOOKUP(A45,'Data Vlaue (Cr)'!C40:CB258,78,0)</f>
        <v>5.7200000000000001E-2</v>
      </c>
      <c r="H45" s="91">
        <f>VLOOKUP($A45,'Data Vlaue (Cr)'!$C:$FB,91)</f>
        <v>2833</v>
      </c>
      <c r="I45" s="91">
        <f>VLOOKUP($A45,'Data Vlaue (Cr)'!$C:$FB,93)</f>
        <v>327</v>
      </c>
      <c r="J45" s="92">
        <f>VLOOKUP($A45,'Data Vlaue (Cr)'!$C:$FB,94)</f>
        <v>0.13059999999999999</v>
      </c>
      <c r="K45" s="91">
        <f>VLOOKUP($A45,'Data Vlaue (Cr)'!$C:$FB,95)</f>
        <v>3753</v>
      </c>
      <c r="L45" s="91">
        <f>VLOOKUP($A45,'Data Vlaue (Cr)'!$C:$FB,97)</f>
        <v>515</v>
      </c>
      <c r="M45" s="92">
        <f>VLOOKUP($A45,'Data Vlaue (Cr)'!$C:$FB,98)</f>
        <v>0.15890000000000001</v>
      </c>
      <c r="N45" s="91">
        <f>VLOOKUP($A45,'Data Vlaue (Cr)'!$C:$FB,79)</f>
        <v>2592</v>
      </c>
      <c r="O45" s="92">
        <f>VLOOKUP($A45,'Data Vlaue (Cr)'!$C:$FB,82)</f>
        <v>2.0400000000000001E-2</v>
      </c>
    </row>
    <row r="46" spans="1:15" x14ac:dyDescent="0.25">
      <c r="A46" s="97" t="str">
        <f>'Data Vlaue (Cr)'!C41</f>
        <v>CAMS</v>
      </c>
      <c r="B46" s="142">
        <f>VLOOKUP(A46,'Data Vlaue (Cr)'!C41:CW259,99,0)</f>
        <v>988</v>
      </c>
      <c r="C46" s="90">
        <f>VLOOKUP(A46,'Data Vlaue (Cr)'!C41:CY259,101,0)</f>
        <v>79</v>
      </c>
      <c r="D46" s="139">
        <f>VLOOKUP(A46,'Data Vlaue (Cr)'!C41:CZ259,102,0)</f>
        <v>8.6999999999999994E-2</v>
      </c>
      <c r="E46" s="91">
        <f>VLOOKUP($A46,'Data Vlaue (Cr)'!$C:$FB,75)</f>
        <v>571</v>
      </c>
      <c r="F46" s="91">
        <f>VLOOKUP($A46,'Data Vlaue (Cr)'!$C:$FB,77)</f>
        <v>17</v>
      </c>
      <c r="G46" s="92">
        <f>VLOOKUP(A46,'Data Vlaue (Cr)'!C41:CB259,78,0)</f>
        <v>0.03</v>
      </c>
      <c r="H46" s="91">
        <f>VLOOKUP($A46,'Data Vlaue (Cr)'!$C:$FB,91)</f>
        <v>225</v>
      </c>
      <c r="I46" s="91">
        <f>VLOOKUP($A46,'Data Vlaue (Cr)'!$C:$FB,93)</f>
        <v>25</v>
      </c>
      <c r="J46" s="92">
        <f>VLOOKUP($A46,'Data Vlaue (Cr)'!$C:$FB,94)</f>
        <v>0.12429999999999999</v>
      </c>
      <c r="K46" s="91">
        <f>VLOOKUP($A46,'Data Vlaue (Cr)'!$C:$FB,95)</f>
        <v>192</v>
      </c>
      <c r="L46" s="91">
        <f>VLOOKUP($A46,'Data Vlaue (Cr)'!$C:$FB,97)</f>
        <v>38</v>
      </c>
      <c r="M46" s="92">
        <f>VLOOKUP($A46,'Data Vlaue (Cr)'!$C:$FB,98)</f>
        <v>0.2437</v>
      </c>
      <c r="N46" s="91">
        <f>VLOOKUP($A46,'Data Vlaue (Cr)'!$C:$FB,79)</f>
        <v>479</v>
      </c>
      <c r="O46" s="92">
        <f>VLOOKUP($A46,'Data Vlaue (Cr)'!$C:$FB,82)</f>
        <v>1.3100000000000001E-2</v>
      </c>
    </row>
    <row r="47" spans="1:15" x14ac:dyDescent="0.25">
      <c r="A47" s="97" t="str">
        <f>'Data Vlaue (Cr)'!C42</f>
        <v>CANBK</v>
      </c>
      <c r="B47" s="142">
        <f>VLOOKUP(A47,'Data Vlaue (Cr)'!C42:CW260,99,0)</f>
        <v>4900</v>
      </c>
      <c r="C47" s="90">
        <f>VLOOKUP(A47,'Data Vlaue (Cr)'!C42:CY260,101,0)</f>
        <v>25</v>
      </c>
      <c r="D47" s="139">
        <f>VLOOKUP(A47,'Data Vlaue (Cr)'!C42:CZ260,102,0)</f>
        <v>5.1999999999999998E-3</v>
      </c>
      <c r="E47" s="91">
        <f>VLOOKUP($A47,'Data Vlaue (Cr)'!$C:$FB,75)</f>
        <v>2830</v>
      </c>
      <c r="F47" s="91">
        <f>VLOOKUP($A47,'Data Vlaue (Cr)'!$C:$FB,77)</f>
        <v>1</v>
      </c>
      <c r="G47" s="92">
        <f>VLOOKUP(A47,'Data Vlaue (Cr)'!C42:CB260,78,0)</f>
        <v>4.0000000000000002E-4</v>
      </c>
      <c r="H47" s="91">
        <f>VLOOKUP($A47,'Data Vlaue (Cr)'!$C:$FB,91)</f>
        <v>1074</v>
      </c>
      <c r="I47" s="91">
        <f>VLOOKUP($A47,'Data Vlaue (Cr)'!$C:$FB,93)</f>
        <v>16</v>
      </c>
      <c r="J47" s="92">
        <f>VLOOKUP($A47,'Data Vlaue (Cr)'!$C:$FB,94)</f>
        <v>1.49E-2</v>
      </c>
      <c r="K47" s="91">
        <f>VLOOKUP($A47,'Data Vlaue (Cr)'!$C:$FB,95)</f>
        <v>996</v>
      </c>
      <c r="L47" s="91">
        <f>VLOOKUP($A47,'Data Vlaue (Cr)'!$C:$FB,97)</f>
        <v>8</v>
      </c>
      <c r="M47" s="92">
        <f>VLOOKUP($A47,'Data Vlaue (Cr)'!$C:$FB,98)</f>
        <v>8.6E-3</v>
      </c>
      <c r="N47" s="91">
        <f>VLOOKUP($A47,'Data Vlaue (Cr)'!$C:$FB,79)</f>
        <v>2389</v>
      </c>
      <c r="O47" s="92">
        <f>VLOOKUP($A47,'Data Vlaue (Cr)'!$C:$FB,82)</f>
        <v>-8.3000000000000004E-2</v>
      </c>
    </row>
    <row r="48" spans="1:15" x14ac:dyDescent="0.25">
      <c r="A48" s="97" t="str">
        <f>'Data Vlaue (Cr)'!C43</f>
        <v>CDSL</v>
      </c>
      <c r="B48" s="142">
        <f>VLOOKUP(A48,'Data Vlaue (Cr)'!C43:CW261,99,0)</f>
        <v>2826</v>
      </c>
      <c r="C48" s="90">
        <f>VLOOKUP(A48,'Data Vlaue (Cr)'!C43:CY261,101,0)</f>
        <v>70</v>
      </c>
      <c r="D48" s="139">
        <f>VLOOKUP(A48,'Data Vlaue (Cr)'!C43:CZ261,102,0)</f>
        <v>2.53E-2</v>
      </c>
      <c r="E48" s="91">
        <f>VLOOKUP($A48,'Data Vlaue (Cr)'!$C:$FB,75)</f>
        <v>1529</v>
      </c>
      <c r="F48" s="91">
        <f>VLOOKUP($A48,'Data Vlaue (Cr)'!$C:$FB,77)</f>
        <v>-9</v>
      </c>
      <c r="G48" s="92">
        <f>VLOOKUP(A48,'Data Vlaue (Cr)'!C43:CB261,78,0)</f>
        <v>-6.0000000000000001E-3</v>
      </c>
      <c r="H48" s="91">
        <f>VLOOKUP($A48,'Data Vlaue (Cr)'!$C:$FB,91)</f>
        <v>678</v>
      </c>
      <c r="I48" s="91">
        <f>VLOOKUP($A48,'Data Vlaue (Cr)'!$C:$FB,93)</f>
        <v>33</v>
      </c>
      <c r="J48" s="92">
        <f>VLOOKUP($A48,'Data Vlaue (Cr)'!$C:$FB,94)</f>
        <v>5.0500000000000003E-2</v>
      </c>
      <c r="K48" s="91">
        <f>VLOOKUP($A48,'Data Vlaue (Cr)'!$C:$FB,95)</f>
        <v>619</v>
      </c>
      <c r="L48" s="91">
        <f>VLOOKUP($A48,'Data Vlaue (Cr)'!$C:$FB,97)</f>
        <v>46</v>
      </c>
      <c r="M48" s="92">
        <f>VLOOKUP($A48,'Data Vlaue (Cr)'!$C:$FB,98)</f>
        <v>8.1000000000000003E-2</v>
      </c>
      <c r="N48" s="91">
        <f>VLOOKUP($A48,'Data Vlaue (Cr)'!$C:$FB,79)</f>
        <v>1072</v>
      </c>
      <c r="O48" s="92">
        <f>VLOOKUP($A48,'Data Vlaue (Cr)'!$C:$FB,82)</f>
        <v>-2.76E-2</v>
      </c>
    </row>
    <row r="49" spans="1:15" x14ac:dyDescent="0.25">
      <c r="A49" s="97" t="str">
        <f>'Data Vlaue (Cr)'!C44</f>
        <v>CGPOWER</v>
      </c>
      <c r="B49" s="142">
        <f>VLOOKUP(A49,'Data Vlaue (Cr)'!C44:CW262,99,0)</f>
        <v>2067</v>
      </c>
      <c r="C49" s="90">
        <f>VLOOKUP(A49,'Data Vlaue (Cr)'!C44:CY262,101,0)</f>
        <v>-32</v>
      </c>
      <c r="D49" s="139">
        <f>VLOOKUP(A49,'Data Vlaue (Cr)'!C44:CZ262,102,0)</f>
        <v>-1.54E-2</v>
      </c>
      <c r="E49" s="91">
        <f>VLOOKUP($A49,'Data Vlaue (Cr)'!$C:$FB,75)</f>
        <v>1541</v>
      </c>
      <c r="F49" s="91">
        <f>VLOOKUP($A49,'Data Vlaue (Cr)'!$C:$FB,77)</f>
        <v>-35</v>
      </c>
      <c r="G49" s="92">
        <f>VLOOKUP(A49,'Data Vlaue (Cr)'!C44:CB262,78,0)</f>
        <v>-2.23E-2</v>
      </c>
      <c r="H49" s="91">
        <f>VLOOKUP($A49,'Data Vlaue (Cr)'!$C:$FB,91)</f>
        <v>320</v>
      </c>
      <c r="I49" s="91">
        <f>VLOOKUP($A49,'Data Vlaue (Cr)'!$C:$FB,93)</f>
        <v>-8</v>
      </c>
      <c r="J49" s="92">
        <f>VLOOKUP($A49,'Data Vlaue (Cr)'!$C:$FB,94)</f>
        <v>-2.47E-2</v>
      </c>
      <c r="K49" s="91">
        <f>VLOOKUP($A49,'Data Vlaue (Cr)'!$C:$FB,95)</f>
        <v>206</v>
      </c>
      <c r="L49" s="91">
        <f>VLOOKUP($A49,'Data Vlaue (Cr)'!$C:$FB,97)</f>
        <v>11</v>
      </c>
      <c r="M49" s="92">
        <f>VLOOKUP($A49,'Data Vlaue (Cr)'!$C:$FB,98)</f>
        <v>5.57E-2</v>
      </c>
      <c r="N49" s="91">
        <f>VLOOKUP($A49,'Data Vlaue (Cr)'!$C:$FB,79)</f>
        <v>1400</v>
      </c>
      <c r="O49" s="92">
        <f>VLOOKUP($A49,'Data Vlaue (Cr)'!$C:$FB,82)</f>
        <v>-2.7099999999999999E-2</v>
      </c>
    </row>
    <row r="50" spans="1:15" x14ac:dyDescent="0.25">
      <c r="A50" s="97" t="str">
        <f>'Data Vlaue (Cr)'!C45</f>
        <v>CHOLAFIN</v>
      </c>
      <c r="B50" s="142">
        <f>VLOOKUP(A50,'Data Vlaue (Cr)'!C45:CW263,99,0)</f>
        <v>4532</v>
      </c>
      <c r="C50" s="90">
        <f>VLOOKUP(A50,'Data Vlaue (Cr)'!C45:CY263,101,0)</f>
        <v>32</v>
      </c>
      <c r="D50" s="139">
        <f>VLOOKUP(A50,'Data Vlaue (Cr)'!C45:CZ263,102,0)</f>
        <v>7.1000000000000004E-3</v>
      </c>
      <c r="E50" s="91">
        <f>VLOOKUP($A50,'Data Vlaue (Cr)'!$C:$FB,75)</f>
        <v>3143</v>
      </c>
      <c r="F50" s="91">
        <f>VLOOKUP($A50,'Data Vlaue (Cr)'!$C:$FB,77)</f>
        <v>-37</v>
      </c>
      <c r="G50" s="92">
        <f>VLOOKUP(A50,'Data Vlaue (Cr)'!C45:CB263,78,0)</f>
        <v>-1.18E-2</v>
      </c>
      <c r="H50" s="91">
        <f>VLOOKUP($A50,'Data Vlaue (Cr)'!$C:$FB,91)</f>
        <v>748</v>
      </c>
      <c r="I50" s="91">
        <f>VLOOKUP($A50,'Data Vlaue (Cr)'!$C:$FB,93)</f>
        <v>41</v>
      </c>
      <c r="J50" s="92">
        <f>VLOOKUP($A50,'Data Vlaue (Cr)'!$C:$FB,94)</f>
        <v>5.8000000000000003E-2</v>
      </c>
      <c r="K50" s="91">
        <f>VLOOKUP($A50,'Data Vlaue (Cr)'!$C:$FB,95)</f>
        <v>640</v>
      </c>
      <c r="L50" s="91">
        <f>VLOOKUP($A50,'Data Vlaue (Cr)'!$C:$FB,97)</f>
        <v>28</v>
      </c>
      <c r="M50" s="92">
        <f>VLOOKUP($A50,'Data Vlaue (Cr)'!$C:$FB,98)</f>
        <v>4.6399999999999997E-2</v>
      </c>
      <c r="N50" s="91">
        <f>VLOOKUP($A50,'Data Vlaue (Cr)'!$C:$FB,79)</f>
        <v>2920</v>
      </c>
      <c r="O50" s="92">
        <f>VLOOKUP($A50,'Data Vlaue (Cr)'!$C:$FB,82)</f>
        <v>-5.2400000000000002E-2</v>
      </c>
    </row>
    <row r="51" spans="1:15" x14ac:dyDescent="0.25">
      <c r="A51" s="97" t="str">
        <f>'Data Vlaue (Cr)'!C46</f>
        <v>CIPLA</v>
      </c>
      <c r="B51" s="142">
        <f>VLOOKUP(A51,'Data Vlaue (Cr)'!C46:CW264,99,0)</f>
        <v>2963</v>
      </c>
      <c r="C51" s="90">
        <f>VLOOKUP(A51,'Data Vlaue (Cr)'!C46:CY264,101,0)</f>
        <v>6</v>
      </c>
      <c r="D51" s="139">
        <f>VLOOKUP(A51,'Data Vlaue (Cr)'!C46:CZ264,102,0)</f>
        <v>1.9E-3</v>
      </c>
      <c r="E51" s="91">
        <f>VLOOKUP($A51,'Data Vlaue (Cr)'!$C:$FB,75)</f>
        <v>1953</v>
      </c>
      <c r="F51" s="91">
        <f>VLOOKUP($A51,'Data Vlaue (Cr)'!$C:$FB,77)</f>
        <v>17</v>
      </c>
      <c r="G51" s="92">
        <f>VLOOKUP(A51,'Data Vlaue (Cr)'!C46:CB264,78,0)</f>
        <v>8.8000000000000005E-3</v>
      </c>
      <c r="H51" s="91">
        <f>VLOOKUP($A51,'Data Vlaue (Cr)'!$C:$FB,91)</f>
        <v>533</v>
      </c>
      <c r="I51" s="91">
        <f>VLOOKUP($A51,'Data Vlaue (Cr)'!$C:$FB,93)</f>
        <v>-27</v>
      </c>
      <c r="J51" s="92">
        <f>VLOOKUP($A51,'Data Vlaue (Cr)'!$C:$FB,94)</f>
        <v>-4.8599999999999997E-2</v>
      </c>
      <c r="K51" s="91">
        <f>VLOOKUP($A51,'Data Vlaue (Cr)'!$C:$FB,95)</f>
        <v>476</v>
      </c>
      <c r="L51" s="91">
        <f>VLOOKUP($A51,'Data Vlaue (Cr)'!$C:$FB,97)</f>
        <v>16</v>
      </c>
      <c r="M51" s="92">
        <f>VLOOKUP($A51,'Data Vlaue (Cr)'!$C:$FB,98)</f>
        <v>3.4799999999999998E-2</v>
      </c>
      <c r="N51" s="91">
        <f>VLOOKUP($A51,'Data Vlaue (Cr)'!$C:$FB,79)</f>
        <v>1746</v>
      </c>
      <c r="O51" s="92">
        <f>VLOOKUP($A51,'Data Vlaue (Cr)'!$C:$FB,82)</f>
        <v>3.5000000000000001E-3</v>
      </c>
    </row>
    <row r="52" spans="1:15" x14ac:dyDescent="0.25">
      <c r="A52" s="97" t="str">
        <f>'Data Vlaue (Cr)'!C47</f>
        <v>COALINDIA</v>
      </c>
      <c r="B52" s="142">
        <f>VLOOKUP(A52,'Data Vlaue (Cr)'!C47:CW265,99,0)</f>
        <v>6277</v>
      </c>
      <c r="C52" s="90">
        <f>VLOOKUP(A52,'Data Vlaue (Cr)'!C47:CY265,101,0)</f>
        <v>72</v>
      </c>
      <c r="D52" s="139">
        <f>VLOOKUP(A52,'Data Vlaue (Cr)'!C47:CZ265,102,0)</f>
        <v>1.1599999999999999E-2</v>
      </c>
      <c r="E52" s="91">
        <f>VLOOKUP($A52,'Data Vlaue (Cr)'!$C:$FB,75)</f>
        <v>3085</v>
      </c>
      <c r="F52" s="91">
        <f>VLOOKUP($A52,'Data Vlaue (Cr)'!$C:$FB,77)</f>
        <v>-10</v>
      </c>
      <c r="G52" s="92">
        <f>VLOOKUP(A52,'Data Vlaue (Cr)'!C47:CB265,78,0)</f>
        <v>-3.0999999999999999E-3</v>
      </c>
      <c r="H52" s="91">
        <f>VLOOKUP($A52,'Data Vlaue (Cr)'!$C:$FB,91)</f>
        <v>1945</v>
      </c>
      <c r="I52" s="91">
        <f>VLOOKUP($A52,'Data Vlaue (Cr)'!$C:$FB,93)</f>
        <v>-40</v>
      </c>
      <c r="J52" s="92">
        <f>VLOOKUP($A52,'Data Vlaue (Cr)'!$C:$FB,94)</f>
        <v>-2.0199999999999999E-2</v>
      </c>
      <c r="K52" s="91">
        <f>VLOOKUP($A52,'Data Vlaue (Cr)'!$C:$FB,95)</f>
        <v>1247</v>
      </c>
      <c r="L52" s="91">
        <f>VLOOKUP($A52,'Data Vlaue (Cr)'!$C:$FB,97)</f>
        <v>121</v>
      </c>
      <c r="M52" s="92">
        <f>VLOOKUP($A52,'Data Vlaue (Cr)'!$C:$FB,98)</f>
        <v>0.1079</v>
      </c>
      <c r="N52" s="91">
        <f>VLOOKUP($A52,'Data Vlaue (Cr)'!$C:$FB,79)</f>
        <v>2742</v>
      </c>
      <c r="O52" s="92">
        <f>VLOOKUP($A52,'Data Vlaue (Cr)'!$C:$FB,82)</f>
        <v>-2.1100000000000001E-2</v>
      </c>
    </row>
    <row r="53" spans="1:15" x14ac:dyDescent="0.25">
      <c r="A53" s="97" t="str">
        <f>'Data Vlaue (Cr)'!C48</f>
        <v>COCHINSHIP</v>
      </c>
      <c r="B53" s="142">
        <f>VLOOKUP(A53,'Data Vlaue (Cr)'!C48:CW266,99,0)</f>
        <v>567</v>
      </c>
      <c r="C53" s="90">
        <f>VLOOKUP(A53,'Data Vlaue (Cr)'!C48:CY266,101,0)</f>
        <v>110</v>
      </c>
      <c r="D53" s="139">
        <f>VLOOKUP(A53,'Data Vlaue (Cr)'!C48:CZ266,102,0)</f>
        <v>0.24160000000000001</v>
      </c>
      <c r="E53" s="91">
        <f>VLOOKUP($A53,'Data Vlaue (Cr)'!$C:$FB,75)</f>
        <v>281</v>
      </c>
      <c r="F53" s="91">
        <f>VLOOKUP($A53,'Data Vlaue (Cr)'!$C:$FB,77)</f>
        <v>51</v>
      </c>
      <c r="G53" s="92">
        <f>VLOOKUP(A53,'Data Vlaue (Cr)'!C48:CB266,78,0)</f>
        <v>0.22320000000000001</v>
      </c>
      <c r="H53" s="91">
        <f>VLOOKUP($A53,'Data Vlaue (Cr)'!$C:$FB,91)</f>
        <v>170</v>
      </c>
      <c r="I53" s="91">
        <f>VLOOKUP($A53,'Data Vlaue (Cr)'!$C:$FB,93)</f>
        <v>40</v>
      </c>
      <c r="J53" s="92">
        <f>VLOOKUP($A53,'Data Vlaue (Cr)'!$C:$FB,94)</f>
        <v>0.30570000000000003</v>
      </c>
      <c r="K53" s="91">
        <f>VLOOKUP($A53,'Data Vlaue (Cr)'!$C:$FB,95)</f>
        <v>116</v>
      </c>
      <c r="L53" s="91">
        <f>VLOOKUP($A53,'Data Vlaue (Cr)'!$C:$FB,97)</f>
        <v>19</v>
      </c>
      <c r="M53" s="92">
        <f>VLOOKUP($A53,'Data Vlaue (Cr)'!$C:$FB,98)</f>
        <v>0.19919999999999999</v>
      </c>
      <c r="N53" s="91">
        <f>VLOOKUP($A53,'Data Vlaue (Cr)'!$C:$FB,79)</f>
        <v>219</v>
      </c>
      <c r="O53" s="92">
        <f>VLOOKUP($A53,'Data Vlaue (Cr)'!$C:$FB,82)</f>
        <v>0.2515</v>
      </c>
    </row>
    <row r="54" spans="1:15" x14ac:dyDescent="0.25">
      <c r="A54" s="97" t="str">
        <f>'Data Vlaue (Cr)'!C49</f>
        <v>COFORGE</v>
      </c>
      <c r="B54" s="142">
        <f>VLOOKUP(A54,'Data Vlaue (Cr)'!C49:CW267,99,0)</f>
        <v>4065</v>
      </c>
      <c r="C54" s="90">
        <f>VLOOKUP(A54,'Data Vlaue (Cr)'!C49:CY267,101,0)</f>
        <v>-7</v>
      </c>
      <c r="D54" s="139">
        <f>VLOOKUP(A54,'Data Vlaue (Cr)'!C49:CZ267,102,0)</f>
        <v>-1.6999999999999999E-3</v>
      </c>
      <c r="E54" s="91">
        <f>VLOOKUP($A54,'Data Vlaue (Cr)'!$C:$FB,75)</f>
        <v>2408</v>
      </c>
      <c r="F54" s="91">
        <f>VLOOKUP($A54,'Data Vlaue (Cr)'!$C:$FB,77)</f>
        <v>-36</v>
      </c>
      <c r="G54" s="92">
        <f>VLOOKUP(A54,'Data Vlaue (Cr)'!C49:CB267,78,0)</f>
        <v>-1.46E-2</v>
      </c>
      <c r="H54" s="91">
        <f>VLOOKUP($A54,'Data Vlaue (Cr)'!$C:$FB,91)</f>
        <v>1006</v>
      </c>
      <c r="I54" s="91">
        <f>VLOOKUP($A54,'Data Vlaue (Cr)'!$C:$FB,93)</f>
        <v>7</v>
      </c>
      <c r="J54" s="92">
        <f>VLOOKUP($A54,'Data Vlaue (Cr)'!$C:$FB,94)</f>
        <v>7.1999999999999998E-3</v>
      </c>
      <c r="K54" s="91">
        <f>VLOOKUP($A54,'Data Vlaue (Cr)'!$C:$FB,95)</f>
        <v>651</v>
      </c>
      <c r="L54" s="91">
        <f>VLOOKUP($A54,'Data Vlaue (Cr)'!$C:$FB,97)</f>
        <v>21</v>
      </c>
      <c r="M54" s="92">
        <f>VLOOKUP($A54,'Data Vlaue (Cr)'!$C:$FB,98)</f>
        <v>3.4099999999999998E-2</v>
      </c>
      <c r="N54" s="91">
        <f>VLOOKUP($A54,'Data Vlaue (Cr)'!$C:$FB,79)</f>
        <v>2264</v>
      </c>
      <c r="O54" s="92">
        <f>VLOOKUP($A54,'Data Vlaue (Cr)'!$C:$FB,82)</f>
        <v>-2.1299999999999999E-2</v>
      </c>
    </row>
    <row r="55" spans="1:15" x14ac:dyDescent="0.25">
      <c r="A55" s="97" t="str">
        <f>'Data Vlaue (Cr)'!C50</f>
        <v>COLPAL</v>
      </c>
      <c r="B55" s="142">
        <f>VLOOKUP(A55,'Data Vlaue (Cr)'!C50:CW268,99,0)</f>
        <v>2215</v>
      </c>
      <c r="C55" s="90">
        <f>VLOOKUP(A55,'Data Vlaue (Cr)'!C50:CY268,101,0)</f>
        <v>354</v>
      </c>
      <c r="D55" s="139">
        <f>VLOOKUP(A55,'Data Vlaue (Cr)'!C50:CZ268,102,0)</f>
        <v>0.1905</v>
      </c>
      <c r="E55" s="91">
        <f>VLOOKUP($A55,'Data Vlaue (Cr)'!$C:$FB,75)</f>
        <v>1232</v>
      </c>
      <c r="F55" s="91">
        <f>VLOOKUP($A55,'Data Vlaue (Cr)'!$C:$FB,77)</f>
        <v>-68</v>
      </c>
      <c r="G55" s="92">
        <f>VLOOKUP(A55,'Data Vlaue (Cr)'!C50:CB268,78,0)</f>
        <v>-5.2600000000000001E-2</v>
      </c>
      <c r="H55" s="91">
        <f>VLOOKUP($A55,'Data Vlaue (Cr)'!$C:$FB,91)</f>
        <v>566</v>
      </c>
      <c r="I55" s="91">
        <f>VLOOKUP($A55,'Data Vlaue (Cr)'!$C:$FB,93)</f>
        <v>239</v>
      </c>
      <c r="J55" s="92">
        <f>VLOOKUP($A55,'Data Vlaue (Cr)'!$C:$FB,94)</f>
        <v>0.72799999999999998</v>
      </c>
      <c r="K55" s="91">
        <f>VLOOKUP($A55,'Data Vlaue (Cr)'!$C:$FB,95)</f>
        <v>416</v>
      </c>
      <c r="L55" s="91">
        <f>VLOOKUP($A55,'Data Vlaue (Cr)'!$C:$FB,97)</f>
        <v>184</v>
      </c>
      <c r="M55" s="92">
        <f>VLOOKUP($A55,'Data Vlaue (Cr)'!$C:$FB,98)</f>
        <v>0.79500000000000004</v>
      </c>
      <c r="N55" s="91">
        <f>VLOOKUP($A55,'Data Vlaue (Cr)'!$C:$FB,79)</f>
        <v>1159</v>
      </c>
      <c r="O55" s="92">
        <f>VLOOKUP($A55,'Data Vlaue (Cr)'!$C:$FB,82)</f>
        <v>-5.33E-2</v>
      </c>
    </row>
    <row r="56" spans="1:15" x14ac:dyDescent="0.25">
      <c r="A56" s="97" t="str">
        <f>'Data Vlaue (Cr)'!C51</f>
        <v>CONCOR</v>
      </c>
      <c r="B56" s="142">
        <f>VLOOKUP(A56,'Data Vlaue (Cr)'!C51:CW269,99,0)</f>
        <v>1867</v>
      </c>
      <c r="C56" s="90">
        <f>VLOOKUP(A56,'Data Vlaue (Cr)'!C51:CY269,101,0)</f>
        <v>22</v>
      </c>
      <c r="D56" s="139">
        <f>VLOOKUP(A56,'Data Vlaue (Cr)'!C51:CZ269,102,0)</f>
        <v>1.1900000000000001E-2</v>
      </c>
      <c r="E56" s="91">
        <f>VLOOKUP($A56,'Data Vlaue (Cr)'!$C:$FB,75)</f>
        <v>1304</v>
      </c>
      <c r="F56" s="91">
        <f>VLOOKUP($A56,'Data Vlaue (Cr)'!$C:$FB,77)</f>
        <v>23</v>
      </c>
      <c r="G56" s="92">
        <f>VLOOKUP(A56,'Data Vlaue (Cr)'!C51:CB269,78,0)</f>
        <v>1.78E-2</v>
      </c>
      <c r="H56" s="91">
        <f>VLOOKUP($A56,'Data Vlaue (Cr)'!$C:$FB,91)</f>
        <v>310</v>
      </c>
      <c r="I56" s="91">
        <f>VLOOKUP($A56,'Data Vlaue (Cr)'!$C:$FB,93)</f>
        <v>-9</v>
      </c>
      <c r="J56" s="92">
        <f>VLOOKUP($A56,'Data Vlaue (Cr)'!$C:$FB,94)</f>
        <v>-2.8400000000000002E-2</v>
      </c>
      <c r="K56" s="91">
        <f>VLOOKUP($A56,'Data Vlaue (Cr)'!$C:$FB,95)</f>
        <v>253</v>
      </c>
      <c r="L56" s="91">
        <f>VLOOKUP($A56,'Data Vlaue (Cr)'!$C:$FB,97)</f>
        <v>8</v>
      </c>
      <c r="M56" s="92">
        <f>VLOOKUP($A56,'Data Vlaue (Cr)'!$C:$FB,98)</f>
        <v>3.3500000000000002E-2</v>
      </c>
      <c r="N56" s="91">
        <f>VLOOKUP($A56,'Data Vlaue (Cr)'!$C:$FB,79)</f>
        <v>1220</v>
      </c>
      <c r="O56" s="92">
        <f>VLOOKUP($A56,'Data Vlaue (Cr)'!$C:$FB,82)</f>
        <v>-2.3999999999999998E-3</v>
      </c>
    </row>
    <row r="57" spans="1:15" x14ac:dyDescent="0.25">
      <c r="A57" s="97" t="str">
        <f>'Data Vlaue (Cr)'!C52</f>
        <v>CROMPTON</v>
      </c>
      <c r="B57" s="142">
        <f>VLOOKUP(A57,'Data Vlaue (Cr)'!C52:CW270,99,0)</f>
        <v>1715</v>
      </c>
      <c r="C57" s="90">
        <f>VLOOKUP(A57,'Data Vlaue (Cr)'!C52:CY270,101,0)</f>
        <v>0</v>
      </c>
      <c r="D57" s="139">
        <f>VLOOKUP(A57,'Data Vlaue (Cr)'!C52:CZ270,102,0)</f>
        <v>-1E-4</v>
      </c>
      <c r="E57" s="91">
        <f>VLOOKUP($A57,'Data Vlaue (Cr)'!$C:$FB,75)</f>
        <v>1175</v>
      </c>
      <c r="F57" s="91">
        <f>VLOOKUP($A57,'Data Vlaue (Cr)'!$C:$FB,77)</f>
        <v>-11</v>
      </c>
      <c r="G57" s="92">
        <f>VLOOKUP(A57,'Data Vlaue (Cr)'!C52:CB270,78,0)</f>
        <v>-9.7000000000000003E-3</v>
      </c>
      <c r="H57" s="91">
        <f>VLOOKUP($A57,'Data Vlaue (Cr)'!$C:$FB,91)</f>
        <v>317</v>
      </c>
      <c r="I57" s="91">
        <f>VLOOKUP($A57,'Data Vlaue (Cr)'!$C:$FB,93)</f>
        <v>24</v>
      </c>
      <c r="J57" s="92">
        <f>VLOOKUP($A57,'Data Vlaue (Cr)'!$C:$FB,94)</f>
        <v>8.2000000000000003E-2</v>
      </c>
      <c r="K57" s="91">
        <f>VLOOKUP($A57,'Data Vlaue (Cr)'!$C:$FB,95)</f>
        <v>223</v>
      </c>
      <c r="L57" s="91">
        <f>VLOOKUP($A57,'Data Vlaue (Cr)'!$C:$FB,97)</f>
        <v>-13</v>
      </c>
      <c r="M57" s="92">
        <f>VLOOKUP($A57,'Data Vlaue (Cr)'!$C:$FB,98)</f>
        <v>-5.3800000000000001E-2</v>
      </c>
      <c r="N57" s="91">
        <f>VLOOKUP($A57,'Data Vlaue (Cr)'!$C:$FB,79)</f>
        <v>1140</v>
      </c>
      <c r="O57" s="92">
        <f>VLOOKUP($A57,'Data Vlaue (Cr)'!$C:$FB,82)</f>
        <v>-1.2500000000000001E-2</v>
      </c>
    </row>
    <row r="58" spans="1:15" x14ac:dyDescent="0.25">
      <c r="A58" s="97" t="str">
        <f>'Data Vlaue (Cr)'!C53</f>
        <v>CUMMINSIND</v>
      </c>
      <c r="B58" s="142">
        <f>VLOOKUP(A58,'Data Vlaue (Cr)'!C53:CW271,99,0)</f>
        <v>3211</v>
      </c>
      <c r="C58" s="90">
        <f>VLOOKUP(A58,'Data Vlaue (Cr)'!C53:CY271,101,0)</f>
        <v>173</v>
      </c>
      <c r="D58" s="139">
        <f>VLOOKUP(A58,'Data Vlaue (Cr)'!C53:CZ271,102,0)</f>
        <v>5.6899999999999999E-2</v>
      </c>
      <c r="E58" s="91">
        <f>VLOOKUP($A58,'Data Vlaue (Cr)'!$C:$FB,75)</f>
        <v>2092</v>
      </c>
      <c r="F58" s="91">
        <f>VLOOKUP($A58,'Data Vlaue (Cr)'!$C:$FB,77)</f>
        <v>52</v>
      </c>
      <c r="G58" s="92">
        <f>VLOOKUP(A58,'Data Vlaue (Cr)'!C53:CB271,78,0)</f>
        <v>2.53E-2</v>
      </c>
      <c r="H58" s="91">
        <f>VLOOKUP($A58,'Data Vlaue (Cr)'!$C:$FB,91)</f>
        <v>660</v>
      </c>
      <c r="I58" s="91">
        <f>VLOOKUP($A58,'Data Vlaue (Cr)'!$C:$FB,93)</f>
        <v>58</v>
      </c>
      <c r="J58" s="92">
        <f>VLOOKUP($A58,'Data Vlaue (Cr)'!$C:$FB,94)</f>
        <v>9.6299999999999997E-2</v>
      </c>
      <c r="K58" s="91">
        <f>VLOOKUP($A58,'Data Vlaue (Cr)'!$C:$FB,95)</f>
        <v>459</v>
      </c>
      <c r="L58" s="91">
        <f>VLOOKUP($A58,'Data Vlaue (Cr)'!$C:$FB,97)</f>
        <v>63</v>
      </c>
      <c r="M58" s="92">
        <f>VLOOKUP($A58,'Data Vlaue (Cr)'!$C:$FB,98)</f>
        <v>0.16</v>
      </c>
      <c r="N58" s="91">
        <f>VLOOKUP($A58,'Data Vlaue (Cr)'!$C:$FB,79)</f>
        <v>1898</v>
      </c>
      <c r="O58" s="92">
        <f>VLOOKUP($A58,'Data Vlaue (Cr)'!$C:$FB,82)</f>
        <v>-4.3900000000000002E-2</v>
      </c>
    </row>
    <row r="59" spans="1:15" x14ac:dyDescent="0.25">
      <c r="A59" s="97" t="str">
        <f>'Data Vlaue (Cr)'!C54</f>
        <v>DABUR</v>
      </c>
      <c r="B59" s="142">
        <f>VLOOKUP(A59,'Data Vlaue (Cr)'!C54:CW272,99,0)</f>
        <v>2243</v>
      </c>
      <c r="C59" s="90">
        <f>VLOOKUP(A59,'Data Vlaue (Cr)'!C54:CY272,101,0)</f>
        <v>96</v>
      </c>
      <c r="D59" s="139">
        <f>VLOOKUP(A59,'Data Vlaue (Cr)'!C54:CZ272,102,0)</f>
        <v>4.4600000000000001E-2</v>
      </c>
      <c r="E59" s="91">
        <f>VLOOKUP($A59,'Data Vlaue (Cr)'!$C:$FB,75)</f>
        <v>1293</v>
      </c>
      <c r="F59" s="91">
        <f>VLOOKUP($A59,'Data Vlaue (Cr)'!$C:$FB,77)</f>
        <v>-23</v>
      </c>
      <c r="G59" s="92">
        <f>VLOOKUP(A59,'Data Vlaue (Cr)'!C54:CB272,78,0)</f>
        <v>-1.7299999999999999E-2</v>
      </c>
      <c r="H59" s="91">
        <f>VLOOKUP($A59,'Data Vlaue (Cr)'!$C:$FB,91)</f>
        <v>580</v>
      </c>
      <c r="I59" s="91">
        <f>VLOOKUP($A59,'Data Vlaue (Cr)'!$C:$FB,93)</f>
        <v>69</v>
      </c>
      <c r="J59" s="92">
        <f>VLOOKUP($A59,'Data Vlaue (Cr)'!$C:$FB,94)</f>
        <v>0.13450000000000001</v>
      </c>
      <c r="K59" s="91">
        <f>VLOOKUP($A59,'Data Vlaue (Cr)'!$C:$FB,95)</f>
        <v>371</v>
      </c>
      <c r="L59" s="91">
        <f>VLOOKUP($A59,'Data Vlaue (Cr)'!$C:$FB,97)</f>
        <v>50</v>
      </c>
      <c r="M59" s="92">
        <f>VLOOKUP($A59,'Data Vlaue (Cr)'!$C:$FB,98)</f>
        <v>0.1555</v>
      </c>
      <c r="N59" s="91">
        <f>VLOOKUP($A59,'Data Vlaue (Cr)'!$C:$FB,79)</f>
        <v>1229</v>
      </c>
      <c r="O59" s="92">
        <f>VLOOKUP($A59,'Data Vlaue (Cr)'!$C:$FB,82)</f>
        <v>-1.9900000000000001E-2</v>
      </c>
    </row>
    <row r="60" spans="1:15" x14ac:dyDescent="0.25">
      <c r="A60" s="97" t="str">
        <f>'Data Vlaue (Cr)'!C55</f>
        <v>DALBHARAT</v>
      </c>
      <c r="B60" s="142">
        <f>VLOOKUP(A60,'Data Vlaue (Cr)'!C55:CW273,99,0)</f>
        <v>909</v>
      </c>
      <c r="C60" s="90">
        <f>VLOOKUP(A60,'Data Vlaue (Cr)'!C55:CY273,101,0)</f>
        <v>15</v>
      </c>
      <c r="D60" s="139">
        <f>VLOOKUP(A60,'Data Vlaue (Cr)'!C55:CZ273,102,0)</f>
        <v>1.7299999999999999E-2</v>
      </c>
      <c r="E60" s="91">
        <f>VLOOKUP($A60,'Data Vlaue (Cr)'!$C:$FB,75)</f>
        <v>508</v>
      </c>
      <c r="F60" s="91">
        <f>VLOOKUP($A60,'Data Vlaue (Cr)'!$C:$FB,77)</f>
        <v>13</v>
      </c>
      <c r="G60" s="92">
        <f>VLOOKUP(A60,'Data Vlaue (Cr)'!C55:CB273,78,0)</f>
        <v>2.63E-2</v>
      </c>
      <c r="H60" s="91">
        <f>VLOOKUP($A60,'Data Vlaue (Cr)'!$C:$FB,91)</f>
        <v>202</v>
      </c>
      <c r="I60" s="91">
        <f>VLOOKUP($A60,'Data Vlaue (Cr)'!$C:$FB,93)</f>
        <v>14</v>
      </c>
      <c r="J60" s="92">
        <f>VLOOKUP($A60,'Data Vlaue (Cr)'!$C:$FB,94)</f>
        <v>7.2800000000000004E-2</v>
      </c>
      <c r="K60" s="91">
        <f>VLOOKUP($A60,'Data Vlaue (Cr)'!$C:$FB,95)</f>
        <v>199</v>
      </c>
      <c r="L60" s="91">
        <f>VLOOKUP($A60,'Data Vlaue (Cr)'!$C:$FB,97)</f>
        <v>-11</v>
      </c>
      <c r="M60" s="92">
        <f>VLOOKUP($A60,'Data Vlaue (Cr)'!$C:$FB,98)</f>
        <v>-5.3499999999999999E-2</v>
      </c>
      <c r="N60" s="91">
        <f>VLOOKUP($A60,'Data Vlaue (Cr)'!$C:$FB,79)</f>
        <v>495</v>
      </c>
      <c r="O60" s="92">
        <f>VLOOKUP($A60,'Data Vlaue (Cr)'!$C:$FB,82)</f>
        <v>1.9199999999999998E-2</v>
      </c>
    </row>
    <row r="61" spans="1:15" x14ac:dyDescent="0.25">
      <c r="A61" s="97" t="str">
        <f>'Data Vlaue (Cr)'!C56</f>
        <v>DELHIVERY</v>
      </c>
      <c r="B61" s="142">
        <f>VLOOKUP(A61,'Data Vlaue (Cr)'!C56:CW274,99,0)</f>
        <v>2405</v>
      </c>
      <c r="C61" s="90">
        <f>VLOOKUP(A61,'Data Vlaue (Cr)'!C56:CY274,101,0)</f>
        <v>311</v>
      </c>
      <c r="D61" s="139">
        <f>VLOOKUP(A61,'Data Vlaue (Cr)'!C56:CZ274,102,0)</f>
        <v>0.14829999999999999</v>
      </c>
      <c r="E61" s="91">
        <f>VLOOKUP($A61,'Data Vlaue (Cr)'!$C:$FB,75)</f>
        <v>1476</v>
      </c>
      <c r="F61" s="91">
        <f>VLOOKUP($A61,'Data Vlaue (Cr)'!$C:$FB,77)</f>
        <v>76</v>
      </c>
      <c r="G61" s="92">
        <f>VLOOKUP(A61,'Data Vlaue (Cr)'!C56:CB274,78,0)</f>
        <v>5.3999999999999999E-2</v>
      </c>
      <c r="H61" s="91">
        <f>VLOOKUP($A61,'Data Vlaue (Cr)'!$C:$FB,91)</f>
        <v>671</v>
      </c>
      <c r="I61" s="91">
        <f>VLOOKUP($A61,'Data Vlaue (Cr)'!$C:$FB,93)</f>
        <v>195</v>
      </c>
      <c r="J61" s="92">
        <f>VLOOKUP($A61,'Data Vlaue (Cr)'!$C:$FB,94)</f>
        <v>0.40889999999999999</v>
      </c>
      <c r="K61" s="91">
        <f>VLOOKUP($A61,'Data Vlaue (Cr)'!$C:$FB,95)</f>
        <v>259</v>
      </c>
      <c r="L61" s="91">
        <f>VLOOKUP($A61,'Data Vlaue (Cr)'!$C:$FB,97)</f>
        <v>40</v>
      </c>
      <c r="M61" s="92">
        <f>VLOOKUP($A61,'Data Vlaue (Cr)'!$C:$FB,98)</f>
        <v>0.185</v>
      </c>
      <c r="N61" s="91">
        <f>VLOOKUP($A61,'Data Vlaue (Cr)'!$C:$FB,79)</f>
        <v>1432</v>
      </c>
      <c r="O61" s="92">
        <f>VLOOKUP($A61,'Data Vlaue (Cr)'!$C:$FB,82)</f>
        <v>5.1299999999999998E-2</v>
      </c>
    </row>
    <row r="62" spans="1:15" x14ac:dyDescent="0.25">
      <c r="A62" s="97" t="str">
        <f>'Data Vlaue (Cr)'!C57</f>
        <v>DIVISLAB</v>
      </c>
      <c r="B62" s="142">
        <f>VLOOKUP(A62,'Data Vlaue (Cr)'!C57:CW275,99,0)</f>
        <v>2620</v>
      </c>
      <c r="C62" s="90">
        <f>VLOOKUP(A62,'Data Vlaue (Cr)'!C57:CY275,101,0)</f>
        <v>42</v>
      </c>
      <c r="D62" s="139">
        <f>VLOOKUP(A62,'Data Vlaue (Cr)'!C57:CZ275,102,0)</f>
        <v>1.6500000000000001E-2</v>
      </c>
      <c r="E62" s="91">
        <f>VLOOKUP($A62,'Data Vlaue (Cr)'!$C:$FB,75)</f>
        <v>1719</v>
      </c>
      <c r="F62" s="91">
        <f>VLOOKUP($A62,'Data Vlaue (Cr)'!$C:$FB,77)</f>
        <v>-9</v>
      </c>
      <c r="G62" s="92">
        <f>VLOOKUP(A62,'Data Vlaue (Cr)'!C57:CB275,78,0)</f>
        <v>-5.1000000000000004E-3</v>
      </c>
      <c r="H62" s="91">
        <f>VLOOKUP($A62,'Data Vlaue (Cr)'!$C:$FB,91)</f>
        <v>440</v>
      </c>
      <c r="I62" s="91">
        <f>VLOOKUP($A62,'Data Vlaue (Cr)'!$C:$FB,93)</f>
        <v>54</v>
      </c>
      <c r="J62" s="92">
        <f>VLOOKUP($A62,'Data Vlaue (Cr)'!$C:$FB,94)</f>
        <v>0.13880000000000001</v>
      </c>
      <c r="K62" s="91">
        <f>VLOOKUP($A62,'Data Vlaue (Cr)'!$C:$FB,95)</f>
        <v>461</v>
      </c>
      <c r="L62" s="91">
        <f>VLOOKUP($A62,'Data Vlaue (Cr)'!$C:$FB,97)</f>
        <v>-2</v>
      </c>
      <c r="M62" s="92">
        <f>VLOOKUP($A62,'Data Vlaue (Cr)'!$C:$FB,98)</f>
        <v>-5.0000000000000001E-3</v>
      </c>
      <c r="N62" s="91">
        <f>VLOOKUP($A62,'Data Vlaue (Cr)'!$C:$FB,79)</f>
        <v>1663</v>
      </c>
      <c r="O62" s="92">
        <f>VLOOKUP($A62,'Data Vlaue (Cr)'!$C:$FB,82)</f>
        <v>-8.0999999999999996E-3</v>
      </c>
    </row>
    <row r="63" spans="1:15" x14ac:dyDescent="0.25">
      <c r="A63" s="97" t="str">
        <f>'Data Vlaue (Cr)'!C58</f>
        <v>DIXON</v>
      </c>
      <c r="B63" s="142">
        <f>VLOOKUP(A63,'Data Vlaue (Cr)'!C58:CW276,99,0)</f>
        <v>7679</v>
      </c>
      <c r="C63" s="90">
        <f>VLOOKUP(A63,'Data Vlaue (Cr)'!C58:CY276,101,0)</f>
        <v>-151</v>
      </c>
      <c r="D63" s="139">
        <f>VLOOKUP(A63,'Data Vlaue (Cr)'!C58:CZ276,102,0)</f>
        <v>-1.9300000000000001E-2</v>
      </c>
      <c r="E63" s="91">
        <f>VLOOKUP($A63,'Data Vlaue (Cr)'!$C:$FB,75)</f>
        <v>3534</v>
      </c>
      <c r="F63" s="91">
        <f>VLOOKUP($A63,'Data Vlaue (Cr)'!$C:$FB,77)</f>
        <v>-70</v>
      </c>
      <c r="G63" s="92">
        <f>VLOOKUP(A63,'Data Vlaue (Cr)'!C58:CB276,78,0)</f>
        <v>-1.9400000000000001E-2</v>
      </c>
      <c r="H63" s="91">
        <f>VLOOKUP($A63,'Data Vlaue (Cr)'!$C:$FB,91)</f>
        <v>2377</v>
      </c>
      <c r="I63" s="91">
        <f>VLOOKUP($A63,'Data Vlaue (Cr)'!$C:$FB,93)</f>
        <v>-101</v>
      </c>
      <c r="J63" s="92">
        <f>VLOOKUP($A63,'Data Vlaue (Cr)'!$C:$FB,94)</f>
        <v>-4.0599999999999997E-2</v>
      </c>
      <c r="K63" s="91">
        <f>VLOOKUP($A63,'Data Vlaue (Cr)'!$C:$FB,95)</f>
        <v>1768</v>
      </c>
      <c r="L63" s="91">
        <f>VLOOKUP($A63,'Data Vlaue (Cr)'!$C:$FB,97)</f>
        <v>20</v>
      </c>
      <c r="M63" s="92">
        <f>VLOOKUP($A63,'Data Vlaue (Cr)'!$C:$FB,98)</f>
        <v>1.1299999999999999E-2</v>
      </c>
      <c r="N63" s="91">
        <f>VLOOKUP($A63,'Data Vlaue (Cr)'!$C:$FB,79)</f>
        <v>3001</v>
      </c>
      <c r="O63" s="92">
        <f>VLOOKUP($A63,'Data Vlaue (Cr)'!$C:$FB,82)</f>
        <v>-3.5299999999999998E-2</v>
      </c>
    </row>
    <row r="64" spans="1:15" x14ac:dyDescent="0.25">
      <c r="A64" s="97" t="str">
        <f>'Data Vlaue (Cr)'!C59</f>
        <v>DLF</v>
      </c>
      <c r="B64" s="142">
        <f>VLOOKUP(A64,'Data Vlaue (Cr)'!C59:CW277,99,0)</f>
        <v>4396</v>
      </c>
      <c r="C64" s="90">
        <f>VLOOKUP(A64,'Data Vlaue (Cr)'!C59:CY277,101,0)</f>
        <v>-96</v>
      </c>
      <c r="D64" s="139">
        <f>VLOOKUP(A64,'Data Vlaue (Cr)'!C59:CZ277,102,0)</f>
        <v>-2.1399999999999999E-2</v>
      </c>
      <c r="E64" s="91">
        <f>VLOOKUP($A64,'Data Vlaue (Cr)'!$C:$FB,75)</f>
        <v>3087</v>
      </c>
      <c r="F64" s="91">
        <f>VLOOKUP($A64,'Data Vlaue (Cr)'!$C:$FB,77)</f>
        <v>-75</v>
      </c>
      <c r="G64" s="92">
        <f>VLOOKUP(A64,'Data Vlaue (Cr)'!C59:CB277,78,0)</f>
        <v>-2.3800000000000002E-2</v>
      </c>
      <c r="H64" s="91">
        <f>VLOOKUP($A64,'Data Vlaue (Cr)'!$C:$FB,91)</f>
        <v>630</v>
      </c>
      <c r="I64" s="91">
        <f>VLOOKUP($A64,'Data Vlaue (Cr)'!$C:$FB,93)</f>
        <v>-12</v>
      </c>
      <c r="J64" s="92">
        <f>VLOOKUP($A64,'Data Vlaue (Cr)'!$C:$FB,94)</f>
        <v>-1.8599999999999998E-2</v>
      </c>
      <c r="K64" s="91">
        <f>VLOOKUP($A64,'Data Vlaue (Cr)'!$C:$FB,95)</f>
        <v>679</v>
      </c>
      <c r="L64" s="91">
        <f>VLOOKUP($A64,'Data Vlaue (Cr)'!$C:$FB,97)</f>
        <v>-9</v>
      </c>
      <c r="M64" s="92">
        <f>VLOOKUP($A64,'Data Vlaue (Cr)'!$C:$FB,98)</f>
        <v>-1.26E-2</v>
      </c>
      <c r="N64" s="91">
        <f>VLOOKUP($A64,'Data Vlaue (Cr)'!$C:$FB,79)</f>
        <v>2771</v>
      </c>
      <c r="O64" s="92">
        <f>VLOOKUP($A64,'Data Vlaue (Cr)'!$C:$FB,82)</f>
        <v>-5.8599999999999999E-2</v>
      </c>
    </row>
    <row r="65" spans="1:15" x14ac:dyDescent="0.25">
      <c r="A65" s="97" t="str">
        <f>'Data Vlaue (Cr)'!C60</f>
        <v>DMART</v>
      </c>
      <c r="B65" s="142">
        <f>VLOOKUP(A65,'Data Vlaue (Cr)'!C60:CW278,99,0)</f>
        <v>3652</v>
      </c>
      <c r="C65" s="90">
        <f>VLOOKUP(A65,'Data Vlaue (Cr)'!C60:CY278,101,0)</f>
        <v>177</v>
      </c>
      <c r="D65" s="139">
        <f>VLOOKUP(A65,'Data Vlaue (Cr)'!C60:CZ278,102,0)</f>
        <v>5.11E-2</v>
      </c>
      <c r="E65" s="91">
        <f>VLOOKUP($A65,'Data Vlaue (Cr)'!$C:$FB,75)</f>
        <v>1874</v>
      </c>
      <c r="F65" s="91">
        <f>VLOOKUP($A65,'Data Vlaue (Cr)'!$C:$FB,77)</f>
        <v>0</v>
      </c>
      <c r="G65" s="92">
        <f>VLOOKUP(A65,'Data Vlaue (Cr)'!C60:CB278,78,0)</f>
        <v>2.0000000000000001E-4</v>
      </c>
      <c r="H65" s="91">
        <f>VLOOKUP($A65,'Data Vlaue (Cr)'!$C:$FB,91)</f>
        <v>905</v>
      </c>
      <c r="I65" s="91">
        <f>VLOOKUP($A65,'Data Vlaue (Cr)'!$C:$FB,93)</f>
        <v>13</v>
      </c>
      <c r="J65" s="92">
        <f>VLOOKUP($A65,'Data Vlaue (Cr)'!$C:$FB,94)</f>
        <v>1.49E-2</v>
      </c>
      <c r="K65" s="91">
        <f>VLOOKUP($A65,'Data Vlaue (Cr)'!$C:$FB,95)</f>
        <v>873</v>
      </c>
      <c r="L65" s="91">
        <f>VLOOKUP($A65,'Data Vlaue (Cr)'!$C:$FB,97)</f>
        <v>164</v>
      </c>
      <c r="M65" s="92">
        <f>VLOOKUP($A65,'Data Vlaue (Cr)'!$C:$FB,98)</f>
        <v>0.23089999999999999</v>
      </c>
      <c r="N65" s="91">
        <f>VLOOKUP($A65,'Data Vlaue (Cr)'!$C:$FB,79)</f>
        <v>1709</v>
      </c>
      <c r="O65" s="92">
        <f>VLOOKUP($A65,'Data Vlaue (Cr)'!$C:$FB,82)</f>
        <v>-7.7000000000000002E-3</v>
      </c>
    </row>
    <row r="66" spans="1:15" x14ac:dyDescent="0.25">
      <c r="A66" s="97" t="str">
        <f>'Data Vlaue (Cr)'!C61</f>
        <v>DRREDDY</v>
      </c>
      <c r="B66" s="142">
        <f>VLOOKUP(A66,'Data Vlaue (Cr)'!C61:CW279,99,0)</f>
        <v>3231</v>
      </c>
      <c r="C66" s="90">
        <f>VLOOKUP(A66,'Data Vlaue (Cr)'!C61:CY279,101,0)</f>
        <v>51</v>
      </c>
      <c r="D66" s="139">
        <f>VLOOKUP(A66,'Data Vlaue (Cr)'!C61:CZ279,102,0)</f>
        <v>1.6E-2</v>
      </c>
      <c r="E66" s="91">
        <f>VLOOKUP($A66,'Data Vlaue (Cr)'!$C:$FB,75)</f>
        <v>1702</v>
      </c>
      <c r="F66" s="91">
        <f>VLOOKUP($A66,'Data Vlaue (Cr)'!$C:$FB,77)</f>
        <v>34</v>
      </c>
      <c r="G66" s="92">
        <f>VLOOKUP(A66,'Data Vlaue (Cr)'!C61:CB279,78,0)</f>
        <v>2.0500000000000001E-2</v>
      </c>
      <c r="H66" s="91">
        <f>VLOOKUP($A66,'Data Vlaue (Cr)'!$C:$FB,91)</f>
        <v>893</v>
      </c>
      <c r="I66" s="91">
        <f>VLOOKUP($A66,'Data Vlaue (Cr)'!$C:$FB,93)</f>
        <v>12</v>
      </c>
      <c r="J66" s="92">
        <f>VLOOKUP($A66,'Data Vlaue (Cr)'!$C:$FB,94)</f>
        <v>1.35E-2</v>
      </c>
      <c r="K66" s="91">
        <f>VLOOKUP($A66,'Data Vlaue (Cr)'!$C:$FB,95)</f>
        <v>637</v>
      </c>
      <c r="L66" s="91">
        <f>VLOOKUP($A66,'Data Vlaue (Cr)'!$C:$FB,97)</f>
        <v>5</v>
      </c>
      <c r="M66" s="92">
        <f>VLOOKUP($A66,'Data Vlaue (Cr)'!$C:$FB,98)</f>
        <v>7.7999999999999996E-3</v>
      </c>
      <c r="N66" s="91">
        <f>VLOOKUP($A66,'Data Vlaue (Cr)'!$C:$FB,79)</f>
        <v>1582</v>
      </c>
      <c r="O66" s="92">
        <f>VLOOKUP($A66,'Data Vlaue (Cr)'!$C:$FB,82)</f>
        <v>7.7999999999999996E-3</v>
      </c>
    </row>
    <row r="67" spans="1:15" x14ac:dyDescent="0.25">
      <c r="A67" s="97" t="str">
        <f>'Data Vlaue (Cr)'!C62</f>
        <v>EICHERMOT</v>
      </c>
      <c r="B67" s="142">
        <f>VLOOKUP(A67,'Data Vlaue (Cr)'!C62:CW280,99,0)</f>
        <v>5892</v>
      </c>
      <c r="C67" s="90">
        <f>VLOOKUP(A67,'Data Vlaue (Cr)'!C62:CY280,101,0)</f>
        <v>-29</v>
      </c>
      <c r="D67" s="139">
        <f>VLOOKUP(A67,'Data Vlaue (Cr)'!C62:CZ280,102,0)</f>
        <v>-4.8999999999999998E-3</v>
      </c>
      <c r="E67" s="91">
        <f>VLOOKUP($A67,'Data Vlaue (Cr)'!$C:$FB,75)</f>
        <v>3087</v>
      </c>
      <c r="F67" s="91">
        <f>VLOOKUP($A67,'Data Vlaue (Cr)'!$C:$FB,77)</f>
        <v>-42</v>
      </c>
      <c r="G67" s="92">
        <f>VLOOKUP(A67,'Data Vlaue (Cr)'!C62:CB280,78,0)</f>
        <v>-1.34E-2</v>
      </c>
      <c r="H67" s="91">
        <f>VLOOKUP($A67,'Data Vlaue (Cr)'!$C:$FB,91)</f>
        <v>1669</v>
      </c>
      <c r="I67" s="91">
        <f>VLOOKUP($A67,'Data Vlaue (Cr)'!$C:$FB,93)</f>
        <v>-2</v>
      </c>
      <c r="J67" s="92">
        <f>VLOOKUP($A67,'Data Vlaue (Cr)'!$C:$FB,94)</f>
        <v>-1E-3</v>
      </c>
      <c r="K67" s="91">
        <f>VLOOKUP($A67,'Data Vlaue (Cr)'!$C:$FB,95)</f>
        <v>1136</v>
      </c>
      <c r="L67" s="91">
        <f>VLOOKUP($A67,'Data Vlaue (Cr)'!$C:$FB,97)</f>
        <v>14</v>
      </c>
      <c r="M67" s="92">
        <f>VLOOKUP($A67,'Data Vlaue (Cr)'!$C:$FB,98)</f>
        <v>1.2699999999999999E-2</v>
      </c>
      <c r="N67" s="91">
        <f>VLOOKUP($A67,'Data Vlaue (Cr)'!$C:$FB,79)</f>
        <v>2608</v>
      </c>
      <c r="O67" s="92">
        <f>VLOOKUP($A67,'Data Vlaue (Cr)'!$C:$FB,82)</f>
        <v>-1.3599999999999999E-2</v>
      </c>
    </row>
    <row r="68" spans="1:15" x14ac:dyDescent="0.25">
      <c r="A68" s="97" t="str">
        <f>'Data Vlaue (Cr)'!C63</f>
        <v>ETERNAL</v>
      </c>
      <c r="B68" s="142">
        <f>VLOOKUP(A68,'Data Vlaue (Cr)'!C63:CW281,99,0)</f>
        <v>7844</v>
      </c>
      <c r="C68" s="90">
        <f>VLOOKUP(A68,'Data Vlaue (Cr)'!C63:CY281,101,0)</f>
        <v>-69</v>
      </c>
      <c r="D68" s="139">
        <f>VLOOKUP(A68,'Data Vlaue (Cr)'!C63:CZ281,102,0)</f>
        <v>-8.8000000000000005E-3</v>
      </c>
      <c r="E68" s="91">
        <f>VLOOKUP($A68,'Data Vlaue (Cr)'!$C:$FB,75)</f>
        <v>4927</v>
      </c>
      <c r="F68" s="91">
        <f>VLOOKUP($A68,'Data Vlaue (Cr)'!$C:$FB,77)</f>
        <v>-124</v>
      </c>
      <c r="G68" s="92">
        <f>VLOOKUP(A68,'Data Vlaue (Cr)'!C63:CB281,78,0)</f>
        <v>-2.46E-2</v>
      </c>
      <c r="H68" s="91">
        <f>VLOOKUP($A68,'Data Vlaue (Cr)'!$C:$FB,91)</f>
        <v>1637</v>
      </c>
      <c r="I68" s="91">
        <f>VLOOKUP($A68,'Data Vlaue (Cr)'!$C:$FB,93)</f>
        <v>36</v>
      </c>
      <c r="J68" s="92">
        <f>VLOOKUP($A68,'Data Vlaue (Cr)'!$C:$FB,94)</f>
        <v>2.2800000000000001E-2</v>
      </c>
      <c r="K68" s="91">
        <f>VLOOKUP($A68,'Data Vlaue (Cr)'!$C:$FB,95)</f>
        <v>1279</v>
      </c>
      <c r="L68" s="91">
        <f>VLOOKUP($A68,'Data Vlaue (Cr)'!$C:$FB,97)</f>
        <v>18</v>
      </c>
      <c r="M68" s="92">
        <f>VLOOKUP($A68,'Data Vlaue (Cr)'!$C:$FB,98)</f>
        <v>1.46E-2</v>
      </c>
      <c r="N68" s="91">
        <f>VLOOKUP($A68,'Data Vlaue (Cr)'!$C:$FB,79)</f>
        <v>4469</v>
      </c>
      <c r="O68" s="92">
        <f>VLOOKUP($A68,'Data Vlaue (Cr)'!$C:$FB,82)</f>
        <v>-3.2199999999999999E-2</v>
      </c>
    </row>
    <row r="69" spans="1:15" x14ac:dyDescent="0.25">
      <c r="A69" s="97" t="str">
        <f>'Data Vlaue (Cr)'!C64</f>
        <v>EXIDEIND</v>
      </c>
      <c r="B69" s="142">
        <f>VLOOKUP(A69,'Data Vlaue (Cr)'!C64:CW282,99,0)</f>
        <v>1794</v>
      </c>
      <c r="C69" s="90">
        <f>VLOOKUP(A69,'Data Vlaue (Cr)'!C64:CY282,101,0)</f>
        <v>17</v>
      </c>
      <c r="D69" s="139">
        <f>VLOOKUP(A69,'Data Vlaue (Cr)'!C64:CZ282,102,0)</f>
        <v>9.4000000000000004E-3</v>
      </c>
      <c r="E69" s="91">
        <f>VLOOKUP($A69,'Data Vlaue (Cr)'!$C:$FB,75)</f>
        <v>949</v>
      </c>
      <c r="F69" s="91">
        <f>VLOOKUP($A69,'Data Vlaue (Cr)'!$C:$FB,77)</f>
        <v>-6</v>
      </c>
      <c r="G69" s="92">
        <f>VLOOKUP(A69,'Data Vlaue (Cr)'!C64:CB282,78,0)</f>
        <v>-6.4999999999999997E-3</v>
      </c>
      <c r="H69" s="91">
        <f>VLOOKUP($A69,'Data Vlaue (Cr)'!$C:$FB,91)</f>
        <v>428</v>
      </c>
      <c r="I69" s="91">
        <f>VLOOKUP($A69,'Data Vlaue (Cr)'!$C:$FB,93)</f>
        <v>17</v>
      </c>
      <c r="J69" s="92">
        <f>VLOOKUP($A69,'Data Vlaue (Cr)'!$C:$FB,94)</f>
        <v>4.1200000000000001E-2</v>
      </c>
      <c r="K69" s="91">
        <f>VLOOKUP($A69,'Data Vlaue (Cr)'!$C:$FB,95)</f>
        <v>417</v>
      </c>
      <c r="L69" s="91">
        <f>VLOOKUP($A69,'Data Vlaue (Cr)'!$C:$FB,97)</f>
        <v>6</v>
      </c>
      <c r="M69" s="92">
        <f>VLOOKUP($A69,'Data Vlaue (Cr)'!$C:$FB,98)</f>
        <v>1.43E-2</v>
      </c>
      <c r="N69" s="91">
        <f>VLOOKUP($A69,'Data Vlaue (Cr)'!$C:$FB,79)</f>
        <v>869</v>
      </c>
      <c r="O69" s="92">
        <f>VLOOKUP($A69,'Data Vlaue (Cr)'!$C:$FB,82)</f>
        <v>-2.6100000000000002E-2</v>
      </c>
    </row>
    <row r="70" spans="1:15" x14ac:dyDescent="0.25">
      <c r="A70" s="97" t="str">
        <f>'Data Vlaue (Cr)'!C65</f>
        <v>FEDERALBNK</v>
      </c>
      <c r="B70" s="142">
        <f>VLOOKUP(A70,'Data Vlaue (Cr)'!C65:CW283,99,0)</f>
        <v>4338</v>
      </c>
      <c r="C70" s="90">
        <f>VLOOKUP(A70,'Data Vlaue (Cr)'!C65:CY283,101,0)</f>
        <v>-72</v>
      </c>
      <c r="D70" s="139">
        <f>VLOOKUP(A70,'Data Vlaue (Cr)'!C65:CZ283,102,0)</f>
        <v>-1.6199999999999999E-2</v>
      </c>
      <c r="E70" s="91">
        <f>VLOOKUP($A70,'Data Vlaue (Cr)'!$C:$FB,75)</f>
        <v>2362</v>
      </c>
      <c r="F70" s="91">
        <f>VLOOKUP($A70,'Data Vlaue (Cr)'!$C:$FB,77)</f>
        <v>-45</v>
      </c>
      <c r="G70" s="92">
        <f>VLOOKUP(A70,'Data Vlaue (Cr)'!C65:CB283,78,0)</f>
        <v>-1.8800000000000001E-2</v>
      </c>
      <c r="H70" s="91">
        <f>VLOOKUP($A70,'Data Vlaue (Cr)'!$C:$FB,91)</f>
        <v>1074</v>
      </c>
      <c r="I70" s="91">
        <f>VLOOKUP($A70,'Data Vlaue (Cr)'!$C:$FB,93)</f>
        <v>-112</v>
      </c>
      <c r="J70" s="92">
        <f>VLOOKUP($A70,'Data Vlaue (Cr)'!$C:$FB,94)</f>
        <v>-9.4299999999999995E-2</v>
      </c>
      <c r="K70" s="91">
        <f>VLOOKUP($A70,'Data Vlaue (Cr)'!$C:$FB,95)</f>
        <v>902</v>
      </c>
      <c r="L70" s="91">
        <f>VLOOKUP($A70,'Data Vlaue (Cr)'!$C:$FB,97)</f>
        <v>86</v>
      </c>
      <c r="M70" s="92">
        <f>VLOOKUP($A70,'Data Vlaue (Cr)'!$C:$FB,98)</f>
        <v>0.10489999999999999</v>
      </c>
      <c r="N70" s="91">
        <f>VLOOKUP($A70,'Data Vlaue (Cr)'!$C:$FB,79)</f>
        <v>2169</v>
      </c>
      <c r="O70" s="92">
        <f>VLOOKUP($A70,'Data Vlaue (Cr)'!$C:$FB,82)</f>
        <v>-2.5999999999999999E-2</v>
      </c>
    </row>
    <row r="71" spans="1:15" x14ac:dyDescent="0.25">
      <c r="A71" s="97" t="str">
        <f>'Data Vlaue (Cr)'!C66</f>
        <v>FINNIFTY</v>
      </c>
      <c r="B71" s="142">
        <f>VLOOKUP(A71,'Data Vlaue (Cr)'!C66:CW284,99,0)</f>
        <v>1838</v>
      </c>
      <c r="C71" s="90">
        <f>VLOOKUP(A71,'Data Vlaue (Cr)'!C66:CY284,101,0)</f>
        <v>-37</v>
      </c>
      <c r="D71" s="139">
        <f>VLOOKUP(A71,'Data Vlaue (Cr)'!C66:CZ284,102,0)</f>
        <v>-1.9800000000000002E-2</v>
      </c>
      <c r="E71" s="91">
        <f>VLOOKUP($A71,'Data Vlaue (Cr)'!$C:$FB,75)</f>
        <v>77</v>
      </c>
      <c r="F71" s="91">
        <f>VLOOKUP($A71,'Data Vlaue (Cr)'!$C:$FB,77)</f>
        <v>5</v>
      </c>
      <c r="G71" s="92">
        <f>VLOOKUP(A71,'Data Vlaue (Cr)'!C66:CB284,78,0)</f>
        <v>7.3499999999999996E-2</v>
      </c>
      <c r="H71" s="91">
        <f>VLOOKUP($A71,'Data Vlaue (Cr)'!$C:$FB,91)</f>
        <v>1050</v>
      </c>
      <c r="I71" s="91">
        <f>VLOOKUP($A71,'Data Vlaue (Cr)'!$C:$FB,93)</f>
        <v>-11</v>
      </c>
      <c r="J71" s="92">
        <f>VLOOKUP($A71,'Data Vlaue (Cr)'!$C:$FB,94)</f>
        <v>-1.04E-2</v>
      </c>
      <c r="K71" s="91">
        <f>VLOOKUP($A71,'Data Vlaue (Cr)'!$C:$FB,95)</f>
        <v>712</v>
      </c>
      <c r="L71" s="91">
        <f>VLOOKUP($A71,'Data Vlaue (Cr)'!$C:$FB,97)</f>
        <v>-31</v>
      </c>
      <c r="M71" s="92">
        <f>VLOOKUP($A71,'Data Vlaue (Cr)'!$C:$FB,98)</f>
        <v>-4.2200000000000001E-2</v>
      </c>
      <c r="N71" s="91">
        <f>VLOOKUP($A71,'Data Vlaue (Cr)'!$C:$FB,79)</f>
        <v>70</v>
      </c>
      <c r="O71" s="92">
        <f>VLOOKUP($A71,'Data Vlaue (Cr)'!$C:$FB,82)</f>
        <v>6.5199999999999994E-2</v>
      </c>
    </row>
    <row r="72" spans="1:15" x14ac:dyDescent="0.25">
      <c r="A72" s="97" t="str">
        <f>'Data Vlaue (Cr)'!C67</f>
        <v>FORCEMOT</v>
      </c>
      <c r="B72" s="142">
        <f>VLOOKUP(A72,'Data Vlaue (Cr)'!C67:CW285,99,0)</f>
        <v>529</v>
      </c>
      <c r="C72" s="90">
        <f>VLOOKUP(A72,'Data Vlaue (Cr)'!C67:CY285,101,0)</f>
        <v>37</v>
      </c>
      <c r="D72" s="139">
        <f>VLOOKUP(A72,'Data Vlaue (Cr)'!C67:CZ285,102,0)</f>
        <v>7.5999999999999998E-2</v>
      </c>
      <c r="E72" s="91">
        <f>VLOOKUP($A72,'Data Vlaue (Cr)'!$C:$FB,75)</f>
        <v>294</v>
      </c>
      <c r="F72" s="91">
        <f>VLOOKUP($A72,'Data Vlaue (Cr)'!$C:$FB,77)</f>
        <v>26</v>
      </c>
      <c r="G72" s="92">
        <f>VLOOKUP(A72,'Data Vlaue (Cr)'!C67:CB285,78,0)</f>
        <v>9.6000000000000002E-2</v>
      </c>
      <c r="H72" s="91">
        <f>VLOOKUP($A72,'Data Vlaue (Cr)'!$C:$FB,91)</f>
        <v>176</v>
      </c>
      <c r="I72" s="91">
        <f>VLOOKUP($A72,'Data Vlaue (Cr)'!$C:$FB,93)</f>
        <v>12</v>
      </c>
      <c r="J72" s="92">
        <f>VLOOKUP($A72,'Data Vlaue (Cr)'!$C:$FB,94)</f>
        <v>7.0499999999999993E-2</v>
      </c>
      <c r="K72" s="91">
        <f>VLOOKUP($A72,'Data Vlaue (Cr)'!$C:$FB,95)</f>
        <v>59</v>
      </c>
      <c r="L72" s="91">
        <f>VLOOKUP($A72,'Data Vlaue (Cr)'!$C:$FB,97)</f>
        <v>0</v>
      </c>
      <c r="M72" s="92">
        <f>VLOOKUP($A72,'Data Vlaue (Cr)'!$C:$FB,98)</f>
        <v>0</v>
      </c>
      <c r="N72" s="91">
        <f>VLOOKUP($A72,'Data Vlaue (Cr)'!$C:$FB,79)</f>
        <v>220</v>
      </c>
      <c r="O72" s="92">
        <f>VLOOKUP($A72,'Data Vlaue (Cr)'!$C:$FB,82)</f>
        <v>6.6600000000000006E-2</v>
      </c>
    </row>
    <row r="73" spans="1:15" x14ac:dyDescent="0.25">
      <c r="A73" s="97" t="str">
        <f>'Data Vlaue (Cr)'!C68</f>
        <v>FORTIS</v>
      </c>
      <c r="B73" s="142">
        <f>VLOOKUP(A73,'Data Vlaue (Cr)'!C68:CW286,99,0)</f>
        <v>1354</v>
      </c>
      <c r="C73" s="90">
        <f>VLOOKUP(A73,'Data Vlaue (Cr)'!C68:CY286,101,0)</f>
        <v>8</v>
      </c>
      <c r="D73" s="139">
        <f>VLOOKUP(A73,'Data Vlaue (Cr)'!C68:CZ286,102,0)</f>
        <v>5.7999999999999996E-3</v>
      </c>
      <c r="E73" s="91">
        <f>VLOOKUP($A73,'Data Vlaue (Cr)'!$C:$FB,75)</f>
        <v>991</v>
      </c>
      <c r="F73" s="91">
        <f>VLOOKUP($A73,'Data Vlaue (Cr)'!$C:$FB,77)</f>
        <v>2</v>
      </c>
      <c r="G73" s="92">
        <f>VLOOKUP(A73,'Data Vlaue (Cr)'!C68:CB286,78,0)</f>
        <v>2.3999999999999998E-3</v>
      </c>
      <c r="H73" s="91">
        <f>VLOOKUP($A73,'Data Vlaue (Cr)'!$C:$FB,91)</f>
        <v>222</v>
      </c>
      <c r="I73" s="91">
        <f>VLOOKUP($A73,'Data Vlaue (Cr)'!$C:$FB,93)</f>
        <v>11</v>
      </c>
      <c r="J73" s="92">
        <f>VLOOKUP($A73,'Data Vlaue (Cr)'!$C:$FB,94)</f>
        <v>5.4100000000000002E-2</v>
      </c>
      <c r="K73" s="91">
        <f>VLOOKUP($A73,'Data Vlaue (Cr)'!$C:$FB,95)</f>
        <v>141</v>
      </c>
      <c r="L73" s="91">
        <f>VLOOKUP($A73,'Data Vlaue (Cr)'!$C:$FB,97)</f>
        <v>-6</v>
      </c>
      <c r="M73" s="92">
        <f>VLOOKUP($A73,'Data Vlaue (Cr)'!$C:$FB,98)</f>
        <v>-4.0399999999999998E-2</v>
      </c>
      <c r="N73" s="91">
        <f>VLOOKUP($A73,'Data Vlaue (Cr)'!$C:$FB,79)</f>
        <v>895</v>
      </c>
      <c r="O73" s="92">
        <f>VLOOKUP($A73,'Data Vlaue (Cr)'!$C:$FB,82)</f>
        <v>-5.1000000000000004E-3</v>
      </c>
    </row>
    <row r="74" spans="1:15" x14ac:dyDescent="0.25">
      <c r="A74" s="97" t="str">
        <f>'Data Vlaue (Cr)'!C69</f>
        <v>GAIL</v>
      </c>
      <c r="B74" s="142">
        <f>VLOOKUP(A74,'Data Vlaue (Cr)'!C69:CW287,99,0)</f>
        <v>2200</v>
      </c>
      <c r="C74" s="90">
        <f>VLOOKUP(A74,'Data Vlaue (Cr)'!C69:CY287,101,0)</f>
        <v>22</v>
      </c>
      <c r="D74" s="139">
        <f>VLOOKUP(A74,'Data Vlaue (Cr)'!C69:CZ287,102,0)</f>
        <v>1.03E-2</v>
      </c>
      <c r="E74" s="91">
        <f>VLOOKUP($A74,'Data Vlaue (Cr)'!$C:$FB,75)</f>
        <v>1247</v>
      </c>
      <c r="F74" s="91">
        <f>VLOOKUP($A74,'Data Vlaue (Cr)'!$C:$FB,77)</f>
        <v>2</v>
      </c>
      <c r="G74" s="92">
        <f>VLOOKUP(A74,'Data Vlaue (Cr)'!C69:CB287,78,0)</f>
        <v>2E-3</v>
      </c>
      <c r="H74" s="91">
        <f>VLOOKUP($A74,'Data Vlaue (Cr)'!$C:$FB,91)</f>
        <v>438</v>
      </c>
      <c r="I74" s="91">
        <f>VLOOKUP($A74,'Data Vlaue (Cr)'!$C:$FB,93)</f>
        <v>16</v>
      </c>
      <c r="J74" s="92">
        <f>VLOOKUP($A74,'Data Vlaue (Cr)'!$C:$FB,94)</f>
        <v>3.73E-2</v>
      </c>
      <c r="K74" s="91">
        <f>VLOOKUP($A74,'Data Vlaue (Cr)'!$C:$FB,95)</f>
        <v>515</v>
      </c>
      <c r="L74" s="91">
        <f>VLOOKUP($A74,'Data Vlaue (Cr)'!$C:$FB,97)</f>
        <v>4</v>
      </c>
      <c r="M74" s="92">
        <f>VLOOKUP($A74,'Data Vlaue (Cr)'!$C:$FB,98)</f>
        <v>8.0999999999999996E-3</v>
      </c>
      <c r="N74" s="91">
        <f>VLOOKUP($A74,'Data Vlaue (Cr)'!$C:$FB,79)</f>
        <v>1121</v>
      </c>
      <c r="O74" s="92">
        <f>VLOOKUP($A74,'Data Vlaue (Cr)'!$C:$FB,82)</f>
        <v>-9.7000000000000003E-3</v>
      </c>
    </row>
    <row r="75" spans="1:15" x14ac:dyDescent="0.25">
      <c r="A75" s="97" t="str">
        <f>'Data Vlaue (Cr)'!C70</f>
        <v>GLENMARK</v>
      </c>
      <c r="B75" s="142">
        <f>VLOOKUP(A75,'Data Vlaue (Cr)'!C70:CW288,99,0)</f>
        <v>3119</v>
      </c>
      <c r="C75" s="90">
        <f>VLOOKUP(A75,'Data Vlaue (Cr)'!C70:CY288,101,0)</f>
        <v>144</v>
      </c>
      <c r="D75" s="139">
        <f>VLOOKUP(A75,'Data Vlaue (Cr)'!C70:CZ288,102,0)</f>
        <v>4.8500000000000001E-2</v>
      </c>
      <c r="E75" s="91">
        <f>VLOOKUP($A75,'Data Vlaue (Cr)'!$C:$FB,75)</f>
        <v>2307</v>
      </c>
      <c r="F75" s="91">
        <f>VLOOKUP($A75,'Data Vlaue (Cr)'!$C:$FB,77)</f>
        <v>-6</v>
      </c>
      <c r="G75" s="92">
        <f>VLOOKUP(A75,'Data Vlaue (Cr)'!C70:CB288,78,0)</f>
        <v>-2.7000000000000001E-3</v>
      </c>
      <c r="H75" s="91">
        <f>VLOOKUP($A75,'Data Vlaue (Cr)'!$C:$FB,91)</f>
        <v>539</v>
      </c>
      <c r="I75" s="91">
        <f>VLOOKUP($A75,'Data Vlaue (Cr)'!$C:$FB,93)</f>
        <v>130</v>
      </c>
      <c r="J75" s="92">
        <f>VLOOKUP($A75,'Data Vlaue (Cr)'!$C:$FB,94)</f>
        <v>0.31690000000000002</v>
      </c>
      <c r="K75" s="91">
        <f>VLOOKUP($A75,'Data Vlaue (Cr)'!$C:$FB,95)</f>
        <v>273</v>
      </c>
      <c r="L75" s="91">
        <f>VLOOKUP($A75,'Data Vlaue (Cr)'!$C:$FB,97)</f>
        <v>21</v>
      </c>
      <c r="M75" s="92">
        <f>VLOOKUP($A75,'Data Vlaue (Cr)'!$C:$FB,98)</f>
        <v>8.2400000000000001E-2</v>
      </c>
      <c r="N75" s="91">
        <f>VLOOKUP($A75,'Data Vlaue (Cr)'!$C:$FB,79)</f>
        <v>2278</v>
      </c>
      <c r="O75" s="92">
        <f>VLOOKUP($A75,'Data Vlaue (Cr)'!$C:$FB,82)</f>
        <v>-5.7999999999999996E-3</v>
      </c>
    </row>
    <row r="76" spans="1:15" x14ac:dyDescent="0.25">
      <c r="A76" s="97" t="str">
        <f>'Data Vlaue (Cr)'!C71</f>
        <v>GMRAIRPORT</v>
      </c>
      <c r="B76" s="142">
        <f>VLOOKUP(A76,'Data Vlaue (Cr)'!C71:CW289,99,0)</f>
        <v>1969</v>
      </c>
      <c r="C76" s="90">
        <f>VLOOKUP(A76,'Data Vlaue (Cr)'!C71:CY289,101,0)</f>
        <v>35</v>
      </c>
      <c r="D76" s="139">
        <f>VLOOKUP(A76,'Data Vlaue (Cr)'!C71:CZ289,102,0)</f>
        <v>1.7899999999999999E-2</v>
      </c>
      <c r="E76" s="91">
        <f>VLOOKUP($A76,'Data Vlaue (Cr)'!$C:$FB,75)</f>
        <v>1307</v>
      </c>
      <c r="F76" s="91">
        <f>VLOOKUP($A76,'Data Vlaue (Cr)'!$C:$FB,77)</f>
        <v>23</v>
      </c>
      <c r="G76" s="92">
        <f>VLOOKUP(A76,'Data Vlaue (Cr)'!C71:CB289,78,0)</f>
        <v>1.8200000000000001E-2</v>
      </c>
      <c r="H76" s="91">
        <f>VLOOKUP($A76,'Data Vlaue (Cr)'!$C:$FB,91)</f>
        <v>379</v>
      </c>
      <c r="I76" s="91">
        <f>VLOOKUP($A76,'Data Vlaue (Cr)'!$C:$FB,93)</f>
        <v>6</v>
      </c>
      <c r="J76" s="92">
        <f>VLOOKUP($A76,'Data Vlaue (Cr)'!$C:$FB,94)</f>
        <v>1.6E-2</v>
      </c>
      <c r="K76" s="91">
        <f>VLOOKUP($A76,'Data Vlaue (Cr)'!$C:$FB,95)</f>
        <v>283</v>
      </c>
      <c r="L76" s="91">
        <f>VLOOKUP($A76,'Data Vlaue (Cr)'!$C:$FB,97)</f>
        <v>5</v>
      </c>
      <c r="M76" s="92">
        <f>VLOOKUP($A76,'Data Vlaue (Cr)'!$C:$FB,98)</f>
        <v>1.9E-2</v>
      </c>
      <c r="N76" s="91">
        <f>VLOOKUP($A76,'Data Vlaue (Cr)'!$C:$FB,79)</f>
        <v>1197</v>
      </c>
      <c r="O76" s="92">
        <f>VLOOKUP($A76,'Data Vlaue (Cr)'!$C:$FB,82)</f>
        <v>-2.3599999999999999E-2</v>
      </c>
    </row>
    <row r="77" spans="1:15" x14ac:dyDescent="0.25">
      <c r="A77" s="97" t="str">
        <f>'Data Vlaue (Cr)'!C72</f>
        <v>GODFRYPHLP</v>
      </c>
      <c r="B77" s="142">
        <f>VLOOKUP(A77,'Data Vlaue (Cr)'!C72:CW290,99,0)</f>
        <v>571</v>
      </c>
      <c r="C77" s="90">
        <f>VLOOKUP(A77,'Data Vlaue (Cr)'!C72:CY290,101,0)</f>
        <v>262</v>
      </c>
      <c r="D77" s="139">
        <f>VLOOKUP(A77,'Data Vlaue (Cr)'!C72:CZ290,102,0)</f>
        <v>0.84689999999999999</v>
      </c>
      <c r="E77" s="91">
        <f>VLOOKUP($A77,'Data Vlaue (Cr)'!$C:$FB,75)</f>
        <v>284</v>
      </c>
      <c r="F77" s="91">
        <f>VLOOKUP($A77,'Data Vlaue (Cr)'!$C:$FB,77)</f>
        <v>98</v>
      </c>
      <c r="G77" s="92">
        <f>VLOOKUP(A77,'Data Vlaue (Cr)'!C72:CB290,78,0)</f>
        <v>0.53080000000000005</v>
      </c>
      <c r="H77" s="91">
        <f>VLOOKUP($A77,'Data Vlaue (Cr)'!$C:$FB,91)</f>
        <v>201</v>
      </c>
      <c r="I77" s="91">
        <f>VLOOKUP($A77,'Data Vlaue (Cr)'!$C:$FB,93)</f>
        <v>113</v>
      </c>
      <c r="J77" s="92">
        <f>VLOOKUP($A77,'Data Vlaue (Cr)'!$C:$FB,94)</f>
        <v>1.2923</v>
      </c>
      <c r="K77" s="91">
        <f>VLOOKUP($A77,'Data Vlaue (Cr)'!$C:$FB,95)</f>
        <v>86</v>
      </c>
      <c r="L77" s="91">
        <f>VLOOKUP($A77,'Data Vlaue (Cr)'!$C:$FB,97)</f>
        <v>50</v>
      </c>
      <c r="M77" s="92">
        <f>VLOOKUP($A77,'Data Vlaue (Cr)'!$C:$FB,98)</f>
        <v>1.3854</v>
      </c>
      <c r="N77" s="91">
        <f>VLOOKUP($A77,'Data Vlaue (Cr)'!$C:$FB,79)</f>
        <v>234</v>
      </c>
      <c r="O77" s="92">
        <f>VLOOKUP($A77,'Data Vlaue (Cr)'!$C:$FB,82)</f>
        <v>0.42159999999999997</v>
      </c>
    </row>
    <row r="78" spans="1:15" x14ac:dyDescent="0.25">
      <c r="A78" s="97" t="str">
        <f>'Data Vlaue (Cr)'!C73</f>
        <v>GODREJCP</v>
      </c>
      <c r="B78" s="142">
        <f>VLOOKUP(A78,'Data Vlaue (Cr)'!C73:CW291,99,0)</f>
        <v>1695</v>
      </c>
      <c r="C78" s="90">
        <f>VLOOKUP(A78,'Data Vlaue (Cr)'!C73:CY291,101,0)</f>
        <v>53</v>
      </c>
      <c r="D78" s="139">
        <f>VLOOKUP(A78,'Data Vlaue (Cr)'!C73:CZ291,102,0)</f>
        <v>3.2199999999999999E-2</v>
      </c>
      <c r="E78" s="91">
        <f>VLOOKUP($A78,'Data Vlaue (Cr)'!$C:$FB,75)</f>
        <v>1364</v>
      </c>
      <c r="F78" s="91">
        <f>VLOOKUP($A78,'Data Vlaue (Cr)'!$C:$FB,77)</f>
        <v>31</v>
      </c>
      <c r="G78" s="92">
        <f>VLOOKUP(A78,'Data Vlaue (Cr)'!C73:CB291,78,0)</f>
        <v>2.3199999999999998E-2</v>
      </c>
      <c r="H78" s="91">
        <f>VLOOKUP($A78,'Data Vlaue (Cr)'!$C:$FB,91)</f>
        <v>187</v>
      </c>
      <c r="I78" s="91">
        <f>VLOOKUP($A78,'Data Vlaue (Cr)'!$C:$FB,93)</f>
        <v>16</v>
      </c>
      <c r="J78" s="92">
        <f>VLOOKUP($A78,'Data Vlaue (Cr)'!$C:$FB,94)</f>
        <v>9.2100000000000001E-2</v>
      </c>
      <c r="K78" s="91">
        <f>VLOOKUP($A78,'Data Vlaue (Cr)'!$C:$FB,95)</f>
        <v>143</v>
      </c>
      <c r="L78" s="91">
        <f>VLOOKUP($A78,'Data Vlaue (Cr)'!$C:$FB,97)</f>
        <v>6</v>
      </c>
      <c r="M78" s="92">
        <f>VLOOKUP($A78,'Data Vlaue (Cr)'!$C:$FB,98)</f>
        <v>4.5499999999999999E-2</v>
      </c>
      <c r="N78" s="91">
        <f>VLOOKUP($A78,'Data Vlaue (Cr)'!$C:$FB,79)</f>
        <v>1275</v>
      </c>
      <c r="O78" s="92">
        <f>VLOOKUP($A78,'Data Vlaue (Cr)'!$C:$FB,82)</f>
        <v>-3.4500000000000003E-2</v>
      </c>
    </row>
    <row r="79" spans="1:15" x14ac:dyDescent="0.25">
      <c r="A79" s="97" t="str">
        <f>'Data Vlaue (Cr)'!C74</f>
        <v>GODREJPROP</v>
      </c>
      <c r="B79" s="142">
        <f>VLOOKUP(A79,'Data Vlaue (Cr)'!C74:CW292,99,0)</f>
        <v>2413</v>
      </c>
      <c r="C79" s="90">
        <f>VLOOKUP(A79,'Data Vlaue (Cr)'!C74:CY292,101,0)</f>
        <v>17</v>
      </c>
      <c r="D79" s="139">
        <f>VLOOKUP(A79,'Data Vlaue (Cr)'!C74:CZ292,102,0)</f>
        <v>7.1000000000000004E-3</v>
      </c>
      <c r="E79" s="91">
        <f>VLOOKUP($A79,'Data Vlaue (Cr)'!$C:$FB,75)</f>
        <v>1425</v>
      </c>
      <c r="F79" s="91">
        <f>VLOOKUP($A79,'Data Vlaue (Cr)'!$C:$FB,77)</f>
        <v>-5</v>
      </c>
      <c r="G79" s="92">
        <f>VLOOKUP(A79,'Data Vlaue (Cr)'!C74:CB292,78,0)</f>
        <v>-3.3E-3</v>
      </c>
      <c r="H79" s="91">
        <f>VLOOKUP($A79,'Data Vlaue (Cr)'!$C:$FB,91)</f>
        <v>510</v>
      </c>
      <c r="I79" s="91">
        <f>VLOOKUP($A79,'Data Vlaue (Cr)'!$C:$FB,93)</f>
        <v>15</v>
      </c>
      <c r="J79" s="92">
        <f>VLOOKUP($A79,'Data Vlaue (Cr)'!$C:$FB,94)</f>
        <v>3.0800000000000001E-2</v>
      </c>
      <c r="K79" s="91">
        <f>VLOOKUP($A79,'Data Vlaue (Cr)'!$C:$FB,95)</f>
        <v>478</v>
      </c>
      <c r="L79" s="91">
        <f>VLOOKUP($A79,'Data Vlaue (Cr)'!$C:$FB,97)</f>
        <v>7</v>
      </c>
      <c r="M79" s="92">
        <f>VLOOKUP($A79,'Data Vlaue (Cr)'!$C:$FB,98)</f>
        <v>1.38E-2</v>
      </c>
      <c r="N79" s="91">
        <f>VLOOKUP($A79,'Data Vlaue (Cr)'!$C:$FB,79)</f>
        <v>1361</v>
      </c>
      <c r="O79" s="92">
        <f>VLOOKUP($A79,'Data Vlaue (Cr)'!$C:$FB,82)</f>
        <v>-7.3000000000000001E-3</v>
      </c>
    </row>
    <row r="80" spans="1:15" x14ac:dyDescent="0.25">
      <c r="A80" s="97" t="str">
        <f>'Data Vlaue (Cr)'!C75</f>
        <v>GRASIM</v>
      </c>
      <c r="B80" s="142">
        <f>VLOOKUP(A80,'Data Vlaue (Cr)'!C75:CW293,99,0)</f>
        <v>4658</v>
      </c>
      <c r="C80" s="90">
        <f>VLOOKUP(A80,'Data Vlaue (Cr)'!C75:CY293,101,0)</f>
        <v>-5</v>
      </c>
      <c r="D80" s="139">
        <f>VLOOKUP(A80,'Data Vlaue (Cr)'!C75:CZ293,102,0)</f>
        <v>-1.1000000000000001E-3</v>
      </c>
      <c r="E80" s="91">
        <f>VLOOKUP($A80,'Data Vlaue (Cr)'!$C:$FB,75)</f>
        <v>3858</v>
      </c>
      <c r="F80" s="91">
        <f>VLOOKUP($A80,'Data Vlaue (Cr)'!$C:$FB,77)</f>
        <v>20</v>
      </c>
      <c r="G80" s="92">
        <f>VLOOKUP(A80,'Data Vlaue (Cr)'!C75:CB293,78,0)</f>
        <v>5.3E-3</v>
      </c>
      <c r="H80" s="91">
        <f>VLOOKUP($A80,'Data Vlaue (Cr)'!$C:$FB,91)</f>
        <v>464</v>
      </c>
      <c r="I80" s="91">
        <f>VLOOKUP($A80,'Data Vlaue (Cr)'!$C:$FB,93)</f>
        <v>-13</v>
      </c>
      <c r="J80" s="92">
        <f>VLOOKUP($A80,'Data Vlaue (Cr)'!$C:$FB,94)</f>
        <v>-2.69E-2</v>
      </c>
      <c r="K80" s="91">
        <f>VLOOKUP($A80,'Data Vlaue (Cr)'!$C:$FB,95)</f>
        <v>337</v>
      </c>
      <c r="L80" s="91">
        <f>VLOOKUP($A80,'Data Vlaue (Cr)'!$C:$FB,97)</f>
        <v>-13</v>
      </c>
      <c r="M80" s="92">
        <f>VLOOKUP($A80,'Data Vlaue (Cr)'!$C:$FB,98)</f>
        <v>-3.6299999999999999E-2</v>
      </c>
      <c r="N80" s="91">
        <f>VLOOKUP($A80,'Data Vlaue (Cr)'!$C:$FB,79)</f>
        <v>3332</v>
      </c>
      <c r="O80" s="92">
        <f>VLOOKUP($A80,'Data Vlaue (Cr)'!$C:$FB,82)</f>
        <v>3.3999999999999998E-3</v>
      </c>
    </row>
    <row r="81" spans="1:15" x14ac:dyDescent="0.25">
      <c r="A81" s="97" t="str">
        <f>'Data Vlaue (Cr)'!C76</f>
        <v>HAL</v>
      </c>
      <c r="B81" s="142">
        <f>VLOOKUP(A81,'Data Vlaue (Cr)'!C76:CW294,99,0)</f>
        <v>6319</v>
      </c>
      <c r="C81" s="90">
        <f>VLOOKUP(A81,'Data Vlaue (Cr)'!C76:CY294,101,0)</f>
        <v>-57</v>
      </c>
      <c r="D81" s="139">
        <f>VLOOKUP(A81,'Data Vlaue (Cr)'!C76:CZ294,102,0)</f>
        <v>-8.9999999999999993E-3</v>
      </c>
      <c r="E81" s="91">
        <f>VLOOKUP($A81,'Data Vlaue (Cr)'!$C:$FB,75)</f>
        <v>3318</v>
      </c>
      <c r="F81" s="91">
        <f>VLOOKUP($A81,'Data Vlaue (Cr)'!$C:$FB,77)</f>
        <v>-26</v>
      </c>
      <c r="G81" s="92">
        <f>VLOOKUP(A81,'Data Vlaue (Cr)'!C76:CB294,78,0)</f>
        <v>-7.7000000000000002E-3</v>
      </c>
      <c r="H81" s="91">
        <f>VLOOKUP($A81,'Data Vlaue (Cr)'!$C:$FB,91)</f>
        <v>1540</v>
      </c>
      <c r="I81" s="91">
        <f>VLOOKUP($A81,'Data Vlaue (Cr)'!$C:$FB,93)</f>
        <v>-11</v>
      </c>
      <c r="J81" s="92">
        <f>VLOOKUP($A81,'Data Vlaue (Cr)'!$C:$FB,94)</f>
        <v>-6.7999999999999996E-3</v>
      </c>
      <c r="K81" s="91">
        <f>VLOOKUP($A81,'Data Vlaue (Cr)'!$C:$FB,95)</f>
        <v>1462</v>
      </c>
      <c r="L81" s="91">
        <f>VLOOKUP($A81,'Data Vlaue (Cr)'!$C:$FB,97)</f>
        <v>-21</v>
      </c>
      <c r="M81" s="92">
        <f>VLOOKUP($A81,'Data Vlaue (Cr)'!$C:$FB,98)</f>
        <v>-1.43E-2</v>
      </c>
      <c r="N81" s="91">
        <f>VLOOKUP($A81,'Data Vlaue (Cr)'!$C:$FB,79)</f>
        <v>2940</v>
      </c>
      <c r="O81" s="92">
        <f>VLOOKUP($A81,'Data Vlaue (Cr)'!$C:$FB,82)</f>
        <v>-1.89E-2</v>
      </c>
    </row>
    <row r="82" spans="1:15" x14ac:dyDescent="0.25">
      <c r="A82" s="97" t="str">
        <f>'Data Vlaue (Cr)'!C77</f>
        <v>HAVELLS</v>
      </c>
      <c r="B82" s="142">
        <f>VLOOKUP(A82,'Data Vlaue (Cr)'!C77:CW295,99,0)</f>
        <v>1892</v>
      </c>
      <c r="C82" s="90">
        <f>VLOOKUP(A82,'Data Vlaue (Cr)'!C77:CY295,101,0)</f>
        <v>51</v>
      </c>
      <c r="D82" s="139">
        <f>VLOOKUP(A82,'Data Vlaue (Cr)'!C77:CZ295,102,0)</f>
        <v>2.7699999999999999E-2</v>
      </c>
      <c r="E82" s="91">
        <f>VLOOKUP($A82,'Data Vlaue (Cr)'!$C:$FB,75)</f>
        <v>1169</v>
      </c>
      <c r="F82" s="91">
        <f>VLOOKUP($A82,'Data Vlaue (Cr)'!$C:$FB,77)</f>
        <v>13</v>
      </c>
      <c r="G82" s="92">
        <f>VLOOKUP(A82,'Data Vlaue (Cr)'!C77:CB295,78,0)</f>
        <v>1.09E-2</v>
      </c>
      <c r="H82" s="91">
        <f>VLOOKUP($A82,'Data Vlaue (Cr)'!$C:$FB,91)</f>
        <v>416</v>
      </c>
      <c r="I82" s="91">
        <f>VLOOKUP($A82,'Data Vlaue (Cr)'!$C:$FB,93)</f>
        <v>22</v>
      </c>
      <c r="J82" s="92">
        <f>VLOOKUP($A82,'Data Vlaue (Cr)'!$C:$FB,94)</f>
        <v>5.62E-2</v>
      </c>
      <c r="K82" s="91">
        <f>VLOOKUP($A82,'Data Vlaue (Cr)'!$C:$FB,95)</f>
        <v>308</v>
      </c>
      <c r="L82" s="91">
        <f>VLOOKUP($A82,'Data Vlaue (Cr)'!$C:$FB,97)</f>
        <v>16</v>
      </c>
      <c r="M82" s="92">
        <f>VLOOKUP($A82,'Data Vlaue (Cr)'!$C:$FB,98)</f>
        <v>5.6000000000000001E-2</v>
      </c>
      <c r="N82" s="91">
        <f>VLOOKUP($A82,'Data Vlaue (Cr)'!$C:$FB,79)</f>
        <v>1095</v>
      </c>
      <c r="O82" s="92">
        <f>VLOOKUP($A82,'Data Vlaue (Cr)'!$C:$FB,82)</f>
        <v>7.4999999999999997E-3</v>
      </c>
    </row>
    <row r="83" spans="1:15" x14ac:dyDescent="0.25">
      <c r="A83" s="97" t="str">
        <f>'Data Vlaue (Cr)'!C78</f>
        <v>HCLTECH</v>
      </c>
      <c r="B83" s="142">
        <f>VLOOKUP(A83,'Data Vlaue (Cr)'!C78:CW296,99,0)</f>
        <v>7914</v>
      </c>
      <c r="C83" s="90">
        <f>VLOOKUP(A83,'Data Vlaue (Cr)'!C78:CY296,101,0)</f>
        <v>285</v>
      </c>
      <c r="D83" s="139">
        <f>VLOOKUP(A83,'Data Vlaue (Cr)'!C78:CZ296,102,0)</f>
        <v>3.7400000000000003E-2</v>
      </c>
      <c r="E83" s="91">
        <f>VLOOKUP($A83,'Data Vlaue (Cr)'!$C:$FB,75)</f>
        <v>6067</v>
      </c>
      <c r="F83" s="91">
        <f>VLOOKUP($A83,'Data Vlaue (Cr)'!$C:$FB,77)</f>
        <v>192</v>
      </c>
      <c r="G83" s="92">
        <f>VLOOKUP(A83,'Data Vlaue (Cr)'!C78:CB296,78,0)</f>
        <v>3.27E-2</v>
      </c>
      <c r="H83" s="91">
        <f>VLOOKUP($A83,'Data Vlaue (Cr)'!$C:$FB,91)</f>
        <v>1008</v>
      </c>
      <c r="I83" s="91">
        <f>VLOOKUP($A83,'Data Vlaue (Cr)'!$C:$FB,93)</f>
        <v>63</v>
      </c>
      <c r="J83" s="92">
        <f>VLOOKUP($A83,'Data Vlaue (Cr)'!$C:$FB,94)</f>
        <v>6.7199999999999996E-2</v>
      </c>
      <c r="K83" s="91">
        <f>VLOOKUP($A83,'Data Vlaue (Cr)'!$C:$FB,95)</f>
        <v>838</v>
      </c>
      <c r="L83" s="91">
        <f>VLOOKUP($A83,'Data Vlaue (Cr)'!$C:$FB,97)</f>
        <v>30</v>
      </c>
      <c r="M83" s="92">
        <f>VLOOKUP($A83,'Data Vlaue (Cr)'!$C:$FB,98)</f>
        <v>3.6600000000000001E-2</v>
      </c>
      <c r="N83" s="91">
        <f>VLOOKUP($A83,'Data Vlaue (Cr)'!$C:$FB,79)</f>
        <v>5195</v>
      </c>
      <c r="O83" s="92">
        <f>VLOOKUP($A83,'Data Vlaue (Cr)'!$C:$FB,82)</f>
        <v>1.55E-2</v>
      </c>
    </row>
    <row r="84" spans="1:15" x14ac:dyDescent="0.25">
      <c r="A84" s="97" t="str">
        <f>'Data Vlaue (Cr)'!C79</f>
        <v>HDFCAMC</v>
      </c>
      <c r="B84" s="142">
        <f>VLOOKUP(A84,'Data Vlaue (Cr)'!C79:CW297,99,0)</f>
        <v>2992</v>
      </c>
      <c r="C84" s="90">
        <f>VLOOKUP(A84,'Data Vlaue (Cr)'!C79:CY297,101,0)</f>
        <v>242</v>
      </c>
      <c r="D84" s="139">
        <f>VLOOKUP(A84,'Data Vlaue (Cr)'!C79:CZ297,102,0)</f>
        <v>8.8200000000000001E-2</v>
      </c>
      <c r="E84" s="91">
        <f>VLOOKUP($A84,'Data Vlaue (Cr)'!$C:$FB,75)</f>
        <v>1599</v>
      </c>
      <c r="F84" s="91">
        <f>VLOOKUP($A84,'Data Vlaue (Cr)'!$C:$FB,77)</f>
        <v>16</v>
      </c>
      <c r="G84" s="92">
        <f>VLOOKUP(A84,'Data Vlaue (Cr)'!C79:CB297,78,0)</f>
        <v>9.7999999999999997E-3</v>
      </c>
      <c r="H84" s="91">
        <f>VLOOKUP($A84,'Data Vlaue (Cr)'!$C:$FB,91)</f>
        <v>708</v>
      </c>
      <c r="I84" s="91">
        <f>VLOOKUP($A84,'Data Vlaue (Cr)'!$C:$FB,93)</f>
        <v>20</v>
      </c>
      <c r="J84" s="92">
        <f>VLOOKUP($A84,'Data Vlaue (Cr)'!$C:$FB,94)</f>
        <v>2.9499999999999998E-2</v>
      </c>
      <c r="K84" s="91">
        <f>VLOOKUP($A84,'Data Vlaue (Cr)'!$C:$FB,95)</f>
        <v>685</v>
      </c>
      <c r="L84" s="91">
        <f>VLOOKUP($A84,'Data Vlaue (Cr)'!$C:$FB,97)</f>
        <v>207</v>
      </c>
      <c r="M84" s="92">
        <f>VLOOKUP($A84,'Data Vlaue (Cr)'!$C:$FB,98)</f>
        <v>0.43140000000000001</v>
      </c>
      <c r="N84" s="91">
        <f>VLOOKUP($A84,'Data Vlaue (Cr)'!$C:$FB,79)</f>
        <v>1526</v>
      </c>
      <c r="O84" s="92">
        <f>VLOOKUP($A84,'Data Vlaue (Cr)'!$C:$FB,82)</f>
        <v>3.0000000000000001E-3</v>
      </c>
    </row>
    <row r="85" spans="1:15" x14ac:dyDescent="0.25">
      <c r="A85" s="97" t="str">
        <f>'Data Vlaue (Cr)'!C80</f>
        <v>HDFCBANK</v>
      </c>
      <c r="B85" s="142">
        <f>VLOOKUP(A85,'Data Vlaue (Cr)'!C80:CW298,99,0)</f>
        <v>38810</v>
      </c>
      <c r="C85" s="90">
        <f>VLOOKUP(A85,'Data Vlaue (Cr)'!C80:CY298,101,0)</f>
        <v>2129</v>
      </c>
      <c r="D85" s="139">
        <f>VLOOKUP(A85,'Data Vlaue (Cr)'!C80:CZ298,102,0)</f>
        <v>5.8000000000000003E-2</v>
      </c>
      <c r="E85" s="91">
        <f>VLOOKUP($A85,'Data Vlaue (Cr)'!$C:$FB,75)</f>
        <v>26496</v>
      </c>
      <c r="F85" s="91">
        <f>VLOOKUP($A85,'Data Vlaue (Cr)'!$C:$FB,77)</f>
        <v>249</v>
      </c>
      <c r="G85" s="92">
        <f>VLOOKUP(A85,'Data Vlaue (Cr)'!C80:CB298,78,0)</f>
        <v>9.4999999999999998E-3</v>
      </c>
      <c r="H85" s="91">
        <f>VLOOKUP($A85,'Data Vlaue (Cr)'!$C:$FB,91)</f>
        <v>7855</v>
      </c>
      <c r="I85" s="91">
        <f>VLOOKUP($A85,'Data Vlaue (Cr)'!$C:$FB,93)</f>
        <v>1177</v>
      </c>
      <c r="J85" s="92">
        <f>VLOOKUP($A85,'Data Vlaue (Cr)'!$C:$FB,94)</f>
        <v>0.1762</v>
      </c>
      <c r="K85" s="91">
        <f>VLOOKUP($A85,'Data Vlaue (Cr)'!$C:$FB,95)</f>
        <v>4460</v>
      </c>
      <c r="L85" s="91">
        <f>VLOOKUP($A85,'Data Vlaue (Cr)'!$C:$FB,97)</f>
        <v>703</v>
      </c>
      <c r="M85" s="92">
        <f>VLOOKUP($A85,'Data Vlaue (Cr)'!$C:$FB,98)</f>
        <v>0.18709999999999999</v>
      </c>
      <c r="N85" s="91">
        <f>VLOOKUP($A85,'Data Vlaue (Cr)'!$C:$FB,79)</f>
        <v>23087</v>
      </c>
      <c r="O85" s="92">
        <f>VLOOKUP($A85,'Data Vlaue (Cr)'!$C:$FB,82)</f>
        <v>-3.5999999999999999E-3</v>
      </c>
    </row>
    <row r="86" spans="1:15" x14ac:dyDescent="0.25">
      <c r="A86" s="97" t="str">
        <f>'Data Vlaue (Cr)'!C81</f>
        <v>HDFCLIFE</v>
      </c>
      <c r="B86" s="142">
        <f>VLOOKUP(A86,'Data Vlaue (Cr)'!C81:CW299,99,0)</f>
        <v>4735</v>
      </c>
      <c r="C86" s="90">
        <f>VLOOKUP(A86,'Data Vlaue (Cr)'!C81:CY299,101,0)</f>
        <v>473</v>
      </c>
      <c r="D86" s="139">
        <f>VLOOKUP(A86,'Data Vlaue (Cr)'!C81:CZ299,102,0)</f>
        <v>0.111</v>
      </c>
      <c r="E86" s="91">
        <f>VLOOKUP($A86,'Data Vlaue (Cr)'!$C:$FB,75)</f>
        <v>2695</v>
      </c>
      <c r="F86" s="91">
        <f>VLOOKUP($A86,'Data Vlaue (Cr)'!$C:$FB,77)</f>
        <v>135</v>
      </c>
      <c r="G86" s="92">
        <f>VLOOKUP(A86,'Data Vlaue (Cr)'!C81:CB299,78,0)</f>
        <v>5.2900000000000003E-2</v>
      </c>
      <c r="H86" s="91">
        <f>VLOOKUP($A86,'Data Vlaue (Cr)'!$C:$FB,91)</f>
        <v>1226</v>
      </c>
      <c r="I86" s="91">
        <f>VLOOKUP($A86,'Data Vlaue (Cr)'!$C:$FB,93)</f>
        <v>259</v>
      </c>
      <c r="J86" s="92">
        <f>VLOOKUP($A86,'Data Vlaue (Cr)'!$C:$FB,94)</f>
        <v>0.26829999999999998</v>
      </c>
      <c r="K86" s="91">
        <f>VLOOKUP($A86,'Data Vlaue (Cr)'!$C:$FB,95)</f>
        <v>814</v>
      </c>
      <c r="L86" s="91">
        <f>VLOOKUP($A86,'Data Vlaue (Cr)'!$C:$FB,97)</f>
        <v>79</v>
      </c>
      <c r="M86" s="92">
        <f>VLOOKUP($A86,'Data Vlaue (Cr)'!$C:$FB,98)</f>
        <v>0.1067</v>
      </c>
      <c r="N86" s="91">
        <f>VLOOKUP($A86,'Data Vlaue (Cr)'!$C:$FB,79)</f>
        <v>2531</v>
      </c>
      <c r="O86" s="92">
        <f>VLOOKUP($A86,'Data Vlaue (Cr)'!$C:$FB,82)</f>
        <v>3.7400000000000003E-2</v>
      </c>
    </row>
    <row r="87" spans="1:15" x14ac:dyDescent="0.25">
      <c r="A87" s="97" t="str">
        <f>'Data Vlaue (Cr)'!C82</f>
        <v>HEROMOTOCO</v>
      </c>
      <c r="B87" s="142">
        <f>VLOOKUP(A87,'Data Vlaue (Cr)'!C82:CW300,99,0)</f>
        <v>4348</v>
      </c>
      <c r="C87" s="90">
        <f>VLOOKUP(A87,'Data Vlaue (Cr)'!C82:CY300,101,0)</f>
        <v>-208</v>
      </c>
      <c r="D87" s="139">
        <f>VLOOKUP(A87,'Data Vlaue (Cr)'!C82:CZ300,102,0)</f>
        <v>-4.5600000000000002E-2</v>
      </c>
      <c r="E87" s="91">
        <f>VLOOKUP($A87,'Data Vlaue (Cr)'!$C:$FB,75)</f>
        <v>2295</v>
      </c>
      <c r="F87" s="91">
        <f>VLOOKUP($A87,'Data Vlaue (Cr)'!$C:$FB,77)</f>
        <v>-18</v>
      </c>
      <c r="G87" s="92">
        <f>VLOOKUP(A87,'Data Vlaue (Cr)'!C82:CB300,78,0)</f>
        <v>-7.7000000000000002E-3</v>
      </c>
      <c r="H87" s="91">
        <f>VLOOKUP($A87,'Data Vlaue (Cr)'!$C:$FB,91)</f>
        <v>1285</v>
      </c>
      <c r="I87" s="91">
        <f>VLOOKUP($A87,'Data Vlaue (Cr)'!$C:$FB,93)</f>
        <v>-210</v>
      </c>
      <c r="J87" s="92">
        <f>VLOOKUP($A87,'Data Vlaue (Cr)'!$C:$FB,94)</f>
        <v>-0.14019999999999999</v>
      </c>
      <c r="K87" s="91">
        <f>VLOOKUP($A87,'Data Vlaue (Cr)'!$C:$FB,95)</f>
        <v>768</v>
      </c>
      <c r="L87" s="91">
        <f>VLOOKUP($A87,'Data Vlaue (Cr)'!$C:$FB,97)</f>
        <v>20</v>
      </c>
      <c r="M87" s="92">
        <f>VLOOKUP($A87,'Data Vlaue (Cr)'!$C:$FB,98)</f>
        <v>2.6200000000000001E-2</v>
      </c>
      <c r="N87" s="91">
        <f>VLOOKUP($A87,'Data Vlaue (Cr)'!$C:$FB,79)</f>
        <v>2134</v>
      </c>
      <c r="O87" s="92">
        <f>VLOOKUP($A87,'Data Vlaue (Cr)'!$C:$FB,82)</f>
        <v>-3.1800000000000002E-2</v>
      </c>
    </row>
    <row r="88" spans="1:15" x14ac:dyDescent="0.25">
      <c r="A88" s="97" t="str">
        <f>'Data Vlaue (Cr)'!C83</f>
        <v>HINDALCO</v>
      </c>
      <c r="B88" s="142">
        <f>VLOOKUP(A88,'Data Vlaue (Cr)'!C83:CW301,99,0)</f>
        <v>6643</v>
      </c>
      <c r="C88" s="90">
        <f>VLOOKUP(A88,'Data Vlaue (Cr)'!C83:CY301,101,0)</f>
        <v>-155</v>
      </c>
      <c r="D88" s="139">
        <f>VLOOKUP(A88,'Data Vlaue (Cr)'!C83:CZ301,102,0)</f>
        <v>-2.29E-2</v>
      </c>
      <c r="E88" s="91">
        <f>VLOOKUP($A88,'Data Vlaue (Cr)'!$C:$FB,75)</f>
        <v>3825</v>
      </c>
      <c r="F88" s="91">
        <f>VLOOKUP($A88,'Data Vlaue (Cr)'!$C:$FB,77)</f>
        <v>31</v>
      </c>
      <c r="G88" s="92">
        <f>VLOOKUP(A88,'Data Vlaue (Cr)'!C83:CB301,78,0)</f>
        <v>8.0999999999999996E-3</v>
      </c>
      <c r="H88" s="91">
        <f>VLOOKUP($A88,'Data Vlaue (Cr)'!$C:$FB,91)</f>
        <v>1574</v>
      </c>
      <c r="I88" s="91">
        <f>VLOOKUP($A88,'Data Vlaue (Cr)'!$C:$FB,93)</f>
        <v>-38</v>
      </c>
      <c r="J88" s="92">
        <f>VLOOKUP($A88,'Data Vlaue (Cr)'!$C:$FB,94)</f>
        <v>-2.3800000000000002E-2</v>
      </c>
      <c r="K88" s="91">
        <f>VLOOKUP($A88,'Data Vlaue (Cr)'!$C:$FB,95)</f>
        <v>1244</v>
      </c>
      <c r="L88" s="91">
        <f>VLOOKUP($A88,'Data Vlaue (Cr)'!$C:$FB,97)</f>
        <v>-148</v>
      </c>
      <c r="M88" s="92">
        <f>VLOOKUP($A88,'Data Vlaue (Cr)'!$C:$FB,98)</f>
        <v>-0.10630000000000001</v>
      </c>
      <c r="N88" s="91">
        <f>VLOOKUP($A88,'Data Vlaue (Cr)'!$C:$FB,79)</f>
        <v>3334</v>
      </c>
      <c r="O88" s="92">
        <f>VLOOKUP($A88,'Data Vlaue (Cr)'!$C:$FB,82)</f>
        <v>4.4999999999999997E-3</v>
      </c>
    </row>
    <row r="89" spans="1:15" x14ac:dyDescent="0.25">
      <c r="A89" s="97" t="str">
        <f>'Data Vlaue (Cr)'!C84</f>
        <v>HINDPETRO</v>
      </c>
      <c r="B89" s="142">
        <f>VLOOKUP(A89,'Data Vlaue (Cr)'!C84:CW302,99,0)</f>
        <v>2901</v>
      </c>
      <c r="C89" s="90">
        <f>VLOOKUP(A89,'Data Vlaue (Cr)'!C84:CY302,101,0)</f>
        <v>3</v>
      </c>
      <c r="D89" s="139">
        <f>VLOOKUP(A89,'Data Vlaue (Cr)'!C84:CZ302,102,0)</f>
        <v>1.1000000000000001E-3</v>
      </c>
      <c r="E89" s="91">
        <f>VLOOKUP($A89,'Data Vlaue (Cr)'!$C:$FB,75)</f>
        <v>1540</v>
      </c>
      <c r="F89" s="91">
        <f>VLOOKUP($A89,'Data Vlaue (Cr)'!$C:$FB,77)</f>
        <v>-23</v>
      </c>
      <c r="G89" s="92">
        <f>VLOOKUP(A89,'Data Vlaue (Cr)'!C84:CB302,78,0)</f>
        <v>-1.47E-2</v>
      </c>
      <c r="H89" s="91">
        <f>VLOOKUP($A89,'Data Vlaue (Cr)'!$C:$FB,91)</f>
        <v>738</v>
      </c>
      <c r="I89" s="91">
        <f>VLOOKUP($A89,'Data Vlaue (Cr)'!$C:$FB,93)</f>
        <v>41</v>
      </c>
      <c r="J89" s="92">
        <f>VLOOKUP($A89,'Data Vlaue (Cr)'!$C:$FB,94)</f>
        <v>5.9299999999999999E-2</v>
      </c>
      <c r="K89" s="91">
        <f>VLOOKUP($A89,'Data Vlaue (Cr)'!$C:$FB,95)</f>
        <v>623</v>
      </c>
      <c r="L89" s="91">
        <f>VLOOKUP($A89,'Data Vlaue (Cr)'!$C:$FB,97)</f>
        <v>-15</v>
      </c>
      <c r="M89" s="92">
        <f>VLOOKUP($A89,'Data Vlaue (Cr)'!$C:$FB,98)</f>
        <v>-2.3599999999999999E-2</v>
      </c>
      <c r="N89" s="91">
        <f>VLOOKUP($A89,'Data Vlaue (Cr)'!$C:$FB,79)</f>
        <v>1457</v>
      </c>
      <c r="O89" s="92">
        <f>VLOOKUP($A89,'Data Vlaue (Cr)'!$C:$FB,82)</f>
        <v>-2.18E-2</v>
      </c>
    </row>
    <row r="90" spans="1:15" x14ac:dyDescent="0.25">
      <c r="A90" s="97" t="str">
        <f>'Data Vlaue (Cr)'!C85</f>
        <v>HINDUNILVR</v>
      </c>
      <c r="B90" s="142">
        <f>VLOOKUP(A90,'Data Vlaue (Cr)'!C85:CW303,99,0)</f>
        <v>6717</v>
      </c>
      <c r="C90" s="90">
        <f>VLOOKUP(A90,'Data Vlaue (Cr)'!C85:CY303,101,0)</f>
        <v>635</v>
      </c>
      <c r="D90" s="139">
        <f>VLOOKUP(A90,'Data Vlaue (Cr)'!C85:CZ303,102,0)</f>
        <v>0.10440000000000001</v>
      </c>
      <c r="E90" s="91">
        <f>VLOOKUP($A90,'Data Vlaue (Cr)'!$C:$FB,75)</f>
        <v>4028</v>
      </c>
      <c r="F90" s="91">
        <f>VLOOKUP($A90,'Data Vlaue (Cr)'!$C:$FB,77)</f>
        <v>-65</v>
      </c>
      <c r="G90" s="92">
        <f>VLOOKUP(A90,'Data Vlaue (Cr)'!C85:CB303,78,0)</f>
        <v>-1.5900000000000001E-2</v>
      </c>
      <c r="H90" s="91">
        <f>VLOOKUP($A90,'Data Vlaue (Cr)'!$C:$FB,91)</f>
        <v>1578</v>
      </c>
      <c r="I90" s="91">
        <f>VLOOKUP($A90,'Data Vlaue (Cr)'!$C:$FB,93)</f>
        <v>439</v>
      </c>
      <c r="J90" s="92">
        <f>VLOOKUP($A90,'Data Vlaue (Cr)'!$C:$FB,94)</f>
        <v>0.3851</v>
      </c>
      <c r="K90" s="91">
        <f>VLOOKUP($A90,'Data Vlaue (Cr)'!$C:$FB,95)</f>
        <v>1111</v>
      </c>
      <c r="L90" s="91">
        <f>VLOOKUP($A90,'Data Vlaue (Cr)'!$C:$FB,97)</f>
        <v>262</v>
      </c>
      <c r="M90" s="92">
        <f>VLOOKUP($A90,'Data Vlaue (Cr)'!$C:$FB,98)</f>
        <v>0.308</v>
      </c>
      <c r="N90" s="91">
        <f>VLOOKUP($A90,'Data Vlaue (Cr)'!$C:$FB,79)</f>
        <v>3798</v>
      </c>
      <c r="O90" s="92">
        <f>VLOOKUP($A90,'Data Vlaue (Cr)'!$C:$FB,82)</f>
        <v>-1.9300000000000001E-2</v>
      </c>
    </row>
    <row r="91" spans="1:15" x14ac:dyDescent="0.25">
      <c r="A91" s="97" t="str">
        <f>'Data Vlaue (Cr)'!C86</f>
        <v>HINDZINC</v>
      </c>
      <c r="B91" s="142">
        <f>VLOOKUP(A91,'Data Vlaue (Cr)'!C86:CW304,99,0)</f>
        <v>4402</v>
      </c>
      <c r="C91" s="90">
        <f>VLOOKUP(A91,'Data Vlaue (Cr)'!C86:CY304,101,0)</f>
        <v>100</v>
      </c>
      <c r="D91" s="139">
        <f>VLOOKUP(A91,'Data Vlaue (Cr)'!C86:CZ304,102,0)</f>
        <v>2.3300000000000001E-2</v>
      </c>
      <c r="E91" s="91">
        <f>VLOOKUP($A91,'Data Vlaue (Cr)'!$C:$FB,75)</f>
        <v>2171</v>
      </c>
      <c r="F91" s="91">
        <f>VLOOKUP($A91,'Data Vlaue (Cr)'!$C:$FB,77)</f>
        <v>8</v>
      </c>
      <c r="G91" s="92">
        <f>VLOOKUP(A91,'Data Vlaue (Cr)'!C86:CB304,78,0)</f>
        <v>3.7000000000000002E-3</v>
      </c>
      <c r="H91" s="91">
        <f>VLOOKUP($A91,'Data Vlaue (Cr)'!$C:$FB,91)</f>
        <v>1240</v>
      </c>
      <c r="I91" s="91">
        <f>VLOOKUP($A91,'Data Vlaue (Cr)'!$C:$FB,93)</f>
        <v>72</v>
      </c>
      <c r="J91" s="92">
        <f>VLOOKUP($A91,'Data Vlaue (Cr)'!$C:$FB,94)</f>
        <v>6.1699999999999998E-2</v>
      </c>
      <c r="K91" s="91">
        <f>VLOOKUP($A91,'Data Vlaue (Cr)'!$C:$FB,95)</f>
        <v>990</v>
      </c>
      <c r="L91" s="91">
        <f>VLOOKUP($A91,'Data Vlaue (Cr)'!$C:$FB,97)</f>
        <v>20</v>
      </c>
      <c r="M91" s="92">
        <f>VLOOKUP($A91,'Data Vlaue (Cr)'!$C:$FB,98)</f>
        <v>2.0799999999999999E-2</v>
      </c>
      <c r="N91" s="91">
        <f>VLOOKUP($A91,'Data Vlaue (Cr)'!$C:$FB,79)</f>
        <v>1931</v>
      </c>
      <c r="O91" s="92">
        <f>VLOOKUP($A91,'Data Vlaue (Cr)'!$C:$FB,82)</f>
        <v>-1.11E-2</v>
      </c>
    </row>
    <row r="92" spans="1:15" x14ac:dyDescent="0.25">
      <c r="A92" s="97" t="str">
        <f>'Data Vlaue (Cr)'!C87</f>
        <v>HUDCO</v>
      </c>
      <c r="B92" s="142">
        <f>VLOOKUP(A92,'Data Vlaue (Cr)'!C87:CW305,99,0)</f>
        <v>963</v>
      </c>
      <c r="C92" s="90">
        <f>VLOOKUP(A92,'Data Vlaue (Cr)'!C87:CY305,101,0)</f>
        <v>-18</v>
      </c>
      <c r="D92" s="139">
        <f>VLOOKUP(A92,'Data Vlaue (Cr)'!C87:CZ305,102,0)</f>
        <v>-1.8100000000000002E-2</v>
      </c>
      <c r="E92" s="91">
        <f>VLOOKUP($A92,'Data Vlaue (Cr)'!$C:$FB,75)</f>
        <v>547</v>
      </c>
      <c r="F92" s="91">
        <f>VLOOKUP($A92,'Data Vlaue (Cr)'!$C:$FB,77)</f>
        <v>-5</v>
      </c>
      <c r="G92" s="92">
        <f>VLOOKUP(A92,'Data Vlaue (Cr)'!C87:CB305,78,0)</f>
        <v>-8.8999999999999999E-3</v>
      </c>
      <c r="H92" s="91">
        <f>VLOOKUP($A92,'Data Vlaue (Cr)'!$C:$FB,91)</f>
        <v>221</v>
      </c>
      <c r="I92" s="91">
        <f>VLOOKUP($A92,'Data Vlaue (Cr)'!$C:$FB,93)</f>
        <v>-18</v>
      </c>
      <c r="J92" s="92">
        <f>VLOOKUP($A92,'Data Vlaue (Cr)'!$C:$FB,94)</f>
        <v>-7.4800000000000005E-2</v>
      </c>
      <c r="K92" s="91">
        <f>VLOOKUP($A92,'Data Vlaue (Cr)'!$C:$FB,95)</f>
        <v>195</v>
      </c>
      <c r="L92" s="91">
        <f>VLOOKUP($A92,'Data Vlaue (Cr)'!$C:$FB,97)</f>
        <v>5</v>
      </c>
      <c r="M92" s="92">
        <f>VLOOKUP($A92,'Data Vlaue (Cr)'!$C:$FB,98)</f>
        <v>2.6200000000000001E-2</v>
      </c>
      <c r="N92" s="91">
        <f>VLOOKUP($A92,'Data Vlaue (Cr)'!$C:$FB,79)</f>
        <v>547</v>
      </c>
      <c r="O92" s="92">
        <f>VLOOKUP($A92,'Data Vlaue (Cr)'!$C:$FB,82)</f>
        <v>-8.8999999999999999E-3</v>
      </c>
    </row>
    <row r="93" spans="1:15" x14ac:dyDescent="0.25">
      <c r="A93" s="97" t="str">
        <f>'Data Vlaue (Cr)'!C88</f>
        <v>HYUNDAI</v>
      </c>
      <c r="B93" s="142">
        <f>VLOOKUP(A93,'Data Vlaue (Cr)'!C88:CW306,99,0)</f>
        <v>1852</v>
      </c>
      <c r="C93" s="90">
        <f>VLOOKUP(A93,'Data Vlaue (Cr)'!C88:CY306,101,0)</f>
        <v>26</v>
      </c>
      <c r="D93" s="139">
        <f>VLOOKUP(A93,'Data Vlaue (Cr)'!C88:CZ306,102,0)</f>
        <v>1.4200000000000001E-2</v>
      </c>
      <c r="E93" s="91">
        <f>VLOOKUP($A93,'Data Vlaue (Cr)'!$C:$FB,75)</f>
        <v>1527</v>
      </c>
      <c r="F93" s="91">
        <f>VLOOKUP($A93,'Data Vlaue (Cr)'!$C:$FB,77)</f>
        <v>84</v>
      </c>
      <c r="G93" s="92">
        <f>VLOOKUP(A93,'Data Vlaue (Cr)'!C88:CB306,78,0)</f>
        <v>5.8000000000000003E-2</v>
      </c>
      <c r="H93" s="91">
        <f>VLOOKUP($A93,'Data Vlaue (Cr)'!$C:$FB,91)</f>
        <v>196</v>
      </c>
      <c r="I93" s="91">
        <f>VLOOKUP($A93,'Data Vlaue (Cr)'!$C:$FB,93)</f>
        <v>-58</v>
      </c>
      <c r="J93" s="92">
        <f>VLOOKUP($A93,'Data Vlaue (Cr)'!$C:$FB,94)</f>
        <v>-0.2276</v>
      </c>
      <c r="K93" s="91">
        <f>VLOOKUP($A93,'Data Vlaue (Cr)'!$C:$FB,95)</f>
        <v>129</v>
      </c>
      <c r="L93" s="91">
        <f>VLOOKUP($A93,'Data Vlaue (Cr)'!$C:$FB,97)</f>
        <v>0</v>
      </c>
      <c r="M93" s="92">
        <f>VLOOKUP($A93,'Data Vlaue (Cr)'!$C:$FB,98)</f>
        <v>-4.0000000000000002E-4</v>
      </c>
      <c r="N93" s="91">
        <f>VLOOKUP($A93,'Data Vlaue (Cr)'!$C:$FB,79)</f>
        <v>1179</v>
      </c>
      <c r="O93" s="92">
        <f>VLOOKUP($A93,'Data Vlaue (Cr)'!$C:$FB,82)</f>
        <v>2.0799999999999999E-2</v>
      </c>
    </row>
    <row r="94" spans="1:15" x14ac:dyDescent="0.25">
      <c r="A94" s="97" t="str">
        <f>'Data Vlaue (Cr)'!C89</f>
        <v>ICICIBANK</v>
      </c>
      <c r="B94" s="142">
        <f>VLOOKUP(A94,'Data Vlaue (Cr)'!C89:CW307,99,0)</f>
        <v>23226</v>
      </c>
      <c r="C94" s="90">
        <f>VLOOKUP(A94,'Data Vlaue (Cr)'!C89:CY307,101,0)</f>
        <v>1694</v>
      </c>
      <c r="D94" s="139">
        <f>VLOOKUP(A94,'Data Vlaue (Cr)'!C89:CZ307,102,0)</f>
        <v>7.8700000000000006E-2</v>
      </c>
      <c r="E94" s="91">
        <f>VLOOKUP($A94,'Data Vlaue (Cr)'!$C:$FB,75)</f>
        <v>15660</v>
      </c>
      <c r="F94" s="91">
        <f>VLOOKUP($A94,'Data Vlaue (Cr)'!$C:$FB,77)</f>
        <v>469</v>
      </c>
      <c r="G94" s="92">
        <f>VLOOKUP(A94,'Data Vlaue (Cr)'!C89:CB307,78,0)</f>
        <v>3.09E-2</v>
      </c>
      <c r="H94" s="91">
        <f>VLOOKUP($A94,'Data Vlaue (Cr)'!$C:$FB,91)</f>
        <v>4140</v>
      </c>
      <c r="I94" s="91">
        <f>VLOOKUP($A94,'Data Vlaue (Cr)'!$C:$FB,93)</f>
        <v>637</v>
      </c>
      <c r="J94" s="92">
        <f>VLOOKUP($A94,'Data Vlaue (Cr)'!$C:$FB,94)</f>
        <v>0.18190000000000001</v>
      </c>
      <c r="K94" s="91">
        <f>VLOOKUP($A94,'Data Vlaue (Cr)'!$C:$FB,95)</f>
        <v>3427</v>
      </c>
      <c r="L94" s="91">
        <f>VLOOKUP($A94,'Data Vlaue (Cr)'!$C:$FB,97)</f>
        <v>588</v>
      </c>
      <c r="M94" s="92">
        <f>VLOOKUP($A94,'Data Vlaue (Cr)'!$C:$FB,98)</f>
        <v>0.2069</v>
      </c>
      <c r="N94" s="91">
        <f>VLOOKUP($A94,'Data Vlaue (Cr)'!$C:$FB,79)</f>
        <v>11597</v>
      </c>
      <c r="O94" s="92">
        <f>VLOOKUP($A94,'Data Vlaue (Cr)'!$C:$FB,82)</f>
        <v>2.0899999999999998E-2</v>
      </c>
    </row>
    <row r="95" spans="1:15" x14ac:dyDescent="0.25">
      <c r="A95" s="97" t="str">
        <f>'Data Vlaue (Cr)'!C90</f>
        <v>ICICIGI</v>
      </c>
      <c r="B95" s="142">
        <f>VLOOKUP(A95,'Data Vlaue (Cr)'!C90:CW308,99,0)</f>
        <v>1589</v>
      </c>
      <c r="C95" s="90">
        <f>VLOOKUP(A95,'Data Vlaue (Cr)'!C90:CY308,101,0)</f>
        <v>-84</v>
      </c>
      <c r="D95" s="139">
        <f>VLOOKUP(A95,'Data Vlaue (Cr)'!C90:CZ308,102,0)</f>
        <v>-5.0500000000000003E-2</v>
      </c>
      <c r="E95" s="91">
        <f>VLOOKUP($A95,'Data Vlaue (Cr)'!$C:$FB,75)</f>
        <v>1054</v>
      </c>
      <c r="F95" s="91">
        <f>VLOOKUP($A95,'Data Vlaue (Cr)'!$C:$FB,77)</f>
        <v>-3</v>
      </c>
      <c r="G95" s="92">
        <f>VLOOKUP(A95,'Data Vlaue (Cr)'!C90:CB308,78,0)</f>
        <v>-2.3999999999999998E-3</v>
      </c>
      <c r="H95" s="91">
        <f>VLOOKUP($A95,'Data Vlaue (Cr)'!$C:$FB,91)</f>
        <v>284</v>
      </c>
      <c r="I95" s="91">
        <f>VLOOKUP($A95,'Data Vlaue (Cr)'!$C:$FB,93)</f>
        <v>-38</v>
      </c>
      <c r="J95" s="92">
        <f>VLOOKUP($A95,'Data Vlaue (Cr)'!$C:$FB,94)</f>
        <v>-0.1183</v>
      </c>
      <c r="K95" s="91">
        <f>VLOOKUP($A95,'Data Vlaue (Cr)'!$C:$FB,95)</f>
        <v>251</v>
      </c>
      <c r="L95" s="91">
        <f>VLOOKUP($A95,'Data Vlaue (Cr)'!$C:$FB,97)</f>
        <v>-44</v>
      </c>
      <c r="M95" s="92">
        <f>VLOOKUP($A95,'Data Vlaue (Cr)'!$C:$FB,98)</f>
        <v>-0.1484</v>
      </c>
      <c r="N95" s="91">
        <f>VLOOKUP($A95,'Data Vlaue (Cr)'!$C:$FB,79)</f>
        <v>1039</v>
      </c>
      <c r="O95" s="92">
        <f>VLOOKUP($A95,'Data Vlaue (Cr)'!$C:$FB,82)</f>
        <v>-3.0000000000000001E-3</v>
      </c>
    </row>
    <row r="96" spans="1:15" x14ac:dyDescent="0.25">
      <c r="A96" s="97" t="str">
        <f>'Data Vlaue (Cr)'!C91</f>
        <v>ICICIPRULI</v>
      </c>
      <c r="B96" s="142">
        <f>VLOOKUP(A96,'Data Vlaue (Cr)'!C91:CW309,99,0)</f>
        <v>1834</v>
      </c>
      <c r="C96" s="90">
        <f>VLOOKUP(A96,'Data Vlaue (Cr)'!C91:CY309,101,0)</f>
        <v>63</v>
      </c>
      <c r="D96" s="139">
        <f>VLOOKUP(A96,'Data Vlaue (Cr)'!C91:CZ309,102,0)</f>
        <v>3.5700000000000003E-2</v>
      </c>
      <c r="E96" s="91">
        <f>VLOOKUP($A96,'Data Vlaue (Cr)'!$C:$FB,75)</f>
        <v>1139</v>
      </c>
      <c r="F96" s="91">
        <f>VLOOKUP($A96,'Data Vlaue (Cr)'!$C:$FB,77)</f>
        <v>42</v>
      </c>
      <c r="G96" s="92">
        <f>VLOOKUP(A96,'Data Vlaue (Cr)'!C91:CB309,78,0)</f>
        <v>3.8399999999999997E-2</v>
      </c>
      <c r="H96" s="91">
        <f>VLOOKUP($A96,'Data Vlaue (Cr)'!$C:$FB,91)</f>
        <v>406</v>
      </c>
      <c r="I96" s="91">
        <f>VLOOKUP($A96,'Data Vlaue (Cr)'!$C:$FB,93)</f>
        <v>0</v>
      </c>
      <c r="J96" s="92">
        <f>VLOOKUP($A96,'Data Vlaue (Cr)'!$C:$FB,94)</f>
        <v>1E-4</v>
      </c>
      <c r="K96" s="91">
        <f>VLOOKUP($A96,'Data Vlaue (Cr)'!$C:$FB,95)</f>
        <v>289</v>
      </c>
      <c r="L96" s="91">
        <f>VLOOKUP($A96,'Data Vlaue (Cr)'!$C:$FB,97)</f>
        <v>21</v>
      </c>
      <c r="M96" s="92">
        <f>VLOOKUP($A96,'Data Vlaue (Cr)'!$C:$FB,98)</f>
        <v>7.8600000000000003E-2</v>
      </c>
      <c r="N96" s="91">
        <f>VLOOKUP($A96,'Data Vlaue (Cr)'!$C:$FB,79)</f>
        <v>1112</v>
      </c>
      <c r="O96" s="92">
        <f>VLOOKUP($A96,'Data Vlaue (Cr)'!$C:$FB,82)</f>
        <v>3.5299999999999998E-2</v>
      </c>
    </row>
    <row r="97" spans="1:15" x14ac:dyDescent="0.25">
      <c r="A97" s="97" t="str">
        <f>'Data Vlaue (Cr)'!C92</f>
        <v>IDEA</v>
      </c>
      <c r="B97" s="142">
        <f>VLOOKUP(A97,'Data Vlaue (Cr)'!C92:CW310,99,0)</f>
        <v>8415</v>
      </c>
      <c r="C97" s="90">
        <f>VLOOKUP(A97,'Data Vlaue (Cr)'!C92:CY310,101,0)</f>
        <v>1</v>
      </c>
      <c r="D97" s="139">
        <f>VLOOKUP(A97,'Data Vlaue (Cr)'!C92:CZ310,102,0)</f>
        <v>1E-4</v>
      </c>
      <c r="E97" s="91">
        <f>VLOOKUP($A97,'Data Vlaue (Cr)'!$C:$FB,75)</f>
        <v>6319</v>
      </c>
      <c r="F97" s="91">
        <f>VLOOKUP($A97,'Data Vlaue (Cr)'!$C:$FB,77)</f>
        <v>-10</v>
      </c>
      <c r="G97" s="92">
        <f>VLOOKUP(A97,'Data Vlaue (Cr)'!C92:CB310,78,0)</f>
        <v>-1.5E-3</v>
      </c>
      <c r="H97" s="91">
        <f>VLOOKUP($A97,'Data Vlaue (Cr)'!$C:$FB,91)</f>
        <v>1374</v>
      </c>
      <c r="I97" s="91">
        <f>VLOOKUP($A97,'Data Vlaue (Cr)'!$C:$FB,93)</f>
        <v>15</v>
      </c>
      <c r="J97" s="92">
        <f>VLOOKUP($A97,'Data Vlaue (Cr)'!$C:$FB,94)</f>
        <v>1.14E-2</v>
      </c>
      <c r="K97" s="91">
        <f>VLOOKUP($A97,'Data Vlaue (Cr)'!$C:$FB,95)</f>
        <v>721</v>
      </c>
      <c r="L97" s="91">
        <f>VLOOKUP($A97,'Data Vlaue (Cr)'!$C:$FB,97)</f>
        <v>-5</v>
      </c>
      <c r="M97" s="92">
        <f>VLOOKUP($A97,'Data Vlaue (Cr)'!$C:$FB,98)</f>
        <v>-6.6E-3</v>
      </c>
      <c r="N97" s="91">
        <f>VLOOKUP($A97,'Data Vlaue (Cr)'!$C:$FB,79)</f>
        <v>5704</v>
      </c>
      <c r="O97" s="92">
        <f>VLOOKUP($A97,'Data Vlaue (Cr)'!$C:$FB,82)</f>
        <v>-3.1199999999999999E-2</v>
      </c>
    </row>
    <row r="98" spans="1:15" x14ac:dyDescent="0.25">
      <c r="A98" s="97" t="str">
        <f>'Data Vlaue (Cr)'!C93</f>
        <v>IDFCFIRSTB</v>
      </c>
      <c r="B98" s="142">
        <f>VLOOKUP(A98,'Data Vlaue (Cr)'!C93:CW311,99,0)</f>
        <v>4463</v>
      </c>
      <c r="C98" s="90">
        <f>VLOOKUP(A98,'Data Vlaue (Cr)'!C93:CY311,101,0)</f>
        <v>-1</v>
      </c>
      <c r="D98" s="139">
        <f>VLOOKUP(A98,'Data Vlaue (Cr)'!C93:CZ311,102,0)</f>
        <v>-2.9999999999999997E-4</v>
      </c>
      <c r="E98" s="91">
        <f>VLOOKUP($A98,'Data Vlaue (Cr)'!$C:$FB,75)</f>
        <v>2793</v>
      </c>
      <c r="F98" s="91">
        <f>VLOOKUP($A98,'Data Vlaue (Cr)'!$C:$FB,77)</f>
        <v>-1</v>
      </c>
      <c r="G98" s="92">
        <f>VLOOKUP(A98,'Data Vlaue (Cr)'!C93:CB311,78,0)</f>
        <v>-5.0000000000000001E-4</v>
      </c>
      <c r="H98" s="91">
        <f>VLOOKUP($A98,'Data Vlaue (Cr)'!$C:$FB,91)</f>
        <v>864</v>
      </c>
      <c r="I98" s="91">
        <f>VLOOKUP($A98,'Data Vlaue (Cr)'!$C:$FB,93)</f>
        <v>1</v>
      </c>
      <c r="J98" s="92">
        <f>VLOOKUP($A98,'Data Vlaue (Cr)'!$C:$FB,94)</f>
        <v>1E-3</v>
      </c>
      <c r="K98" s="91">
        <f>VLOOKUP($A98,'Data Vlaue (Cr)'!$C:$FB,95)</f>
        <v>805</v>
      </c>
      <c r="L98" s="91">
        <f>VLOOKUP($A98,'Data Vlaue (Cr)'!$C:$FB,97)</f>
        <v>-1</v>
      </c>
      <c r="M98" s="92">
        <f>VLOOKUP($A98,'Data Vlaue (Cr)'!$C:$FB,98)</f>
        <v>-1E-3</v>
      </c>
      <c r="N98" s="91">
        <f>VLOOKUP($A98,'Data Vlaue (Cr)'!$C:$FB,79)</f>
        <v>2303</v>
      </c>
      <c r="O98" s="92">
        <f>VLOOKUP($A98,'Data Vlaue (Cr)'!$C:$FB,82)</f>
        <v>-5.1700000000000003E-2</v>
      </c>
    </row>
    <row r="99" spans="1:15" x14ac:dyDescent="0.25">
      <c r="A99" s="97" t="str">
        <f>'Data Vlaue (Cr)'!C94</f>
        <v>IEX</v>
      </c>
      <c r="B99" s="142">
        <f>VLOOKUP(A99,'Data Vlaue (Cr)'!C94:CW312,99,0)</f>
        <v>1880</v>
      </c>
      <c r="C99" s="90">
        <f>VLOOKUP(A99,'Data Vlaue (Cr)'!C94:CY312,101,0)</f>
        <v>-54</v>
      </c>
      <c r="D99" s="139">
        <f>VLOOKUP(A99,'Data Vlaue (Cr)'!C94:CZ312,102,0)</f>
        <v>-2.7799999999999998E-2</v>
      </c>
      <c r="E99" s="91">
        <f>VLOOKUP($A99,'Data Vlaue (Cr)'!$C:$FB,75)</f>
        <v>960</v>
      </c>
      <c r="F99" s="91">
        <f>VLOOKUP($A99,'Data Vlaue (Cr)'!$C:$FB,77)</f>
        <v>0</v>
      </c>
      <c r="G99" s="92">
        <f>VLOOKUP(A99,'Data Vlaue (Cr)'!C94:CB312,78,0)</f>
        <v>1E-4</v>
      </c>
      <c r="H99" s="91">
        <f>VLOOKUP($A99,'Data Vlaue (Cr)'!$C:$FB,91)</f>
        <v>477</v>
      </c>
      <c r="I99" s="91">
        <f>VLOOKUP($A99,'Data Vlaue (Cr)'!$C:$FB,93)</f>
        <v>-56</v>
      </c>
      <c r="J99" s="92">
        <f>VLOOKUP($A99,'Data Vlaue (Cr)'!$C:$FB,94)</f>
        <v>-0.1055</v>
      </c>
      <c r="K99" s="91">
        <f>VLOOKUP($A99,'Data Vlaue (Cr)'!$C:$FB,95)</f>
        <v>444</v>
      </c>
      <c r="L99" s="91">
        <f>VLOOKUP($A99,'Data Vlaue (Cr)'!$C:$FB,97)</f>
        <v>2</v>
      </c>
      <c r="M99" s="92">
        <f>VLOOKUP($A99,'Data Vlaue (Cr)'!$C:$FB,98)</f>
        <v>5.3E-3</v>
      </c>
      <c r="N99" s="91">
        <f>VLOOKUP($A99,'Data Vlaue (Cr)'!$C:$FB,79)</f>
        <v>841</v>
      </c>
      <c r="O99" s="92">
        <f>VLOOKUP($A99,'Data Vlaue (Cr)'!$C:$FB,82)</f>
        <v>-1.0699999999999999E-2</v>
      </c>
    </row>
    <row r="100" spans="1:15" x14ac:dyDescent="0.25">
      <c r="A100" s="97" t="str">
        <f>'Data Vlaue (Cr)'!C95</f>
        <v>INDHOTEL</v>
      </c>
      <c r="B100" s="142">
        <f>VLOOKUP(A100,'Data Vlaue (Cr)'!C95:CW313,99,0)</f>
        <v>2250</v>
      </c>
      <c r="C100" s="90">
        <f>VLOOKUP(A100,'Data Vlaue (Cr)'!C95:CY313,101,0)</f>
        <v>1</v>
      </c>
      <c r="D100" s="139">
        <f>VLOOKUP(A100,'Data Vlaue (Cr)'!C95:CZ313,102,0)</f>
        <v>5.0000000000000001E-4</v>
      </c>
      <c r="E100" s="91">
        <f>VLOOKUP($A100,'Data Vlaue (Cr)'!$C:$FB,75)</f>
        <v>1461</v>
      </c>
      <c r="F100" s="91">
        <f>VLOOKUP($A100,'Data Vlaue (Cr)'!$C:$FB,77)</f>
        <v>15</v>
      </c>
      <c r="G100" s="92">
        <f>VLOOKUP(A100,'Data Vlaue (Cr)'!C95:CB313,78,0)</f>
        <v>1.0200000000000001E-2</v>
      </c>
      <c r="H100" s="91">
        <f>VLOOKUP($A100,'Data Vlaue (Cr)'!$C:$FB,91)</f>
        <v>401</v>
      </c>
      <c r="I100" s="91">
        <f>VLOOKUP($A100,'Data Vlaue (Cr)'!$C:$FB,93)</f>
        <v>4</v>
      </c>
      <c r="J100" s="92">
        <f>VLOOKUP($A100,'Data Vlaue (Cr)'!$C:$FB,94)</f>
        <v>1.11E-2</v>
      </c>
      <c r="K100" s="91">
        <f>VLOOKUP($A100,'Data Vlaue (Cr)'!$C:$FB,95)</f>
        <v>388</v>
      </c>
      <c r="L100" s="91">
        <f>VLOOKUP($A100,'Data Vlaue (Cr)'!$C:$FB,97)</f>
        <v>-18</v>
      </c>
      <c r="M100" s="92">
        <f>VLOOKUP($A100,'Data Vlaue (Cr)'!$C:$FB,98)</f>
        <v>-4.4499999999999998E-2</v>
      </c>
      <c r="N100" s="91">
        <f>VLOOKUP($A100,'Data Vlaue (Cr)'!$C:$FB,79)</f>
        <v>1314</v>
      </c>
      <c r="O100" s="92">
        <f>VLOOKUP($A100,'Data Vlaue (Cr)'!$C:$FB,82)</f>
        <v>-5.5E-2</v>
      </c>
    </row>
    <row r="101" spans="1:15" x14ac:dyDescent="0.25">
      <c r="A101" s="97" t="str">
        <f>'Data Vlaue (Cr)'!C96</f>
        <v>INDIANB</v>
      </c>
      <c r="B101" s="142">
        <f>VLOOKUP(A101,'Data Vlaue (Cr)'!C96:CW314,99,0)</f>
        <v>1848</v>
      </c>
      <c r="C101" s="90">
        <f>VLOOKUP(A101,'Data Vlaue (Cr)'!C96:CY314,101,0)</f>
        <v>-9</v>
      </c>
      <c r="D101" s="139">
        <f>VLOOKUP(A101,'Data Vlaue (Cr)'!C96:CZ314,102,0)</f>
        <v>-4.5999999999999999E-3</v>
      </c>
      <c r="E101" s="91">
        <f>VLOOKUP($A101,'Data Vlaue (Cr)'!$C:$FB,75)</f>
        <v>929</v>
      </c>
      <c r="F101" s="91">
        <f>VLOOKUP($A101,'Data Vlaue (Cr)'!$C:$FB,77)</f>
        <v>-10</v>
      </c>
      <c r="G101" s="92">
        <f>VLOOKUP(A101,'Data Vlaue (Cr)'!C96:CB314,78,0)</f>
        <v>-1.09E-2</v>
      </c>
      <c r="H101" s="91">
        <f>VLOOKUP($A101,'Data Vlaue (Cr)'!$C:$FB,91)</f>
        <v>599</v>
      </c>
      <c r="I101" s="91">
        <f>VLOOKUP($A101,'Data Vlaue (Cr)'!$C:$FB,93)</f>
        <v>-5</v>
      </c>
      <c r="J101" s="92">
        <f>VLOOKUP($A101,'Data Vlaue (Cr)'!$C:$FB,94)</f>
        <v>-8.3000000000000001E-3</v>
      </c>
      <c r="K101" s="91">
        <f>VLOOKUP($A101,'Data Vlaue (Cr)'!$C:$FB,95)</f>
        <v>320</v>
      </c>
      <c r="L101" s="91">
        <f>VLOOKUP($A101,'Data Vlaue (Cr)'!$C:$FB,97)</f>
        <v>7</v>
      </c>
      <c r="M101" s="92">
        <f>VLOOKUP($A101,'Data Vlaue (Cr)'!$C:$FB,98)</f>
        <v>2.1399999999999999E-2</v>
      </c>
      <c r="N101" s="91">
        <f>VLOOKUP($A101,'Data Vlaue (Cr)'!$C:$FB,79)</f>
        <v>883</v>
      </c>
      <c r="O101" s="92">
        <f>VLOOKUP($A101,'Data Vlaue (Cr)'!$C:$FB,82)</f>
        <v>-1.54E-2</v>
      </c>
    </row>
    <row r="102" spans="1:15" x14ac:dyDescent="0.25">
      <c r="A102" s="97" t="str">
        <f>'Data Vlaue (Cr)'!C97</f>
        <v>INDIAVIX</v>
      </c>
      <c r="B102" s="142">
        <f>VLOOKUP(A102,'Data Vlaue (Cr)'!C97:CW315,99,0)</f>
        <v>0</v>
      </c>
      <c r="C102" s="90">
        <f>VLOOKUP(A102,'Data Vlaue (Cr)'!C97:CY315,101,0)</f>
        <v>0</v>
      </c>
      <c r="D102" s="139">
        <f>VLOOKUP(A102,'Data Vlaue (Cr)'!C97:CZ315,102,0)</f>
        <v>0</v>
      </c>
      <c r="E102" s="91">
        <f>VLOOKUP($A102,'Data Vlaue (Cr)'!$C:$FB,75)</f>
        <v>0</v>
      </c>
      <c r="F102" s="91">
        <f>VLOOKUP($A102,'Data Vlaue (Cr)'!$C:$FB,77)</f>
        <v>0</v>
      </c>
      <c r="G102" s="92">
        <f>VLOOKUP(A102,'Data Vlaue (Cr)'!C97:CB315,78,0)</f>
        <v>0</v>
      </c>
      <c r="H102" s="91">
        <f>VLOOKUP($A102,'Data Vlaue (Cr)'!$C:$FB,91)</f>
        <v>0</v>
      </c>
      <c r="I102" s="91">
        <f>VLOOKUP($A102,'Data Vlaue (Cr)'!$C:$FB,93)</f>
        <v>0</v>
      </c>
      <c r="J102" s="92">
        <f>VLOOKUP($A102,'Data Vlaue (Cr)'!$C:$FB,94)</f>
        <v>0</v>
      </c>
      <c r="K102" s="91">
        <f>VLOOKUP($A102,'Data Vlaue (Cr)'!$C:$FB,95)</f>
        <v>0</v>
      </c>
      <c r="L102" s="91">
        <f>VLOOKUP($A102,'Data Vlaue (Cr)'!$C:$FB,97)</f>
        <v>0</v>
      </c>
      <c r="M102" s="92">
        <f>VLOOKUP($A102,'Data Vlaue (Cr)'!$C:$FB,98)</f>
        <v>0</v>
      </c>
      <c r="N102" s="91">
        <f>VLOOKUP($A102,'Data Vlaue (Cr)'!$C:$FB,79)</f>
        <v>0</v>
      </c>
      <c r="O102" s="92">
        <f>VLOOKUP($A102,'Data Vlaue (Cr)'!$C:$FB,82)</f>
        <v>0</v>
      </c>
    </row>
    <row r="103" spans="1:15" x14ac:dyDescent="0.25">
      <c r="A103" s="97" t="str">
        <f>'Data Vlaue (Cr)'!C98</f>
        <v>INDIGO</v>
      </c>
      <c r="B103" s="142">
        <f>VLOOKUP(A103,'Data Vlaue (Cr)'!C98:CW316,99,0)</f>
        <v>8214</v>
      </c>
      <c r="C103" s="90">
        <f>VLOOKUP(A103,'Data Vlaue (Cr)'!C98:CY316,101,0)</f>
        <v>46</v>
      </c>
      <c r="D103" s="139">
        <f>VLOOKUP(A103,'Data Vlaue (Cr)'!C98:CZ316,102,0)</f>
        <v>5.7000000000000002E-3</v>
      </c>
      <c r="E103" s="91">
        <f>VLOOKUP($A103,'Data Vlaue (Cr)'!$C:$FB,75)</f>
        <v>3259</v>
      </c>
      <c r="F103" s="91">
        <f>VLOOKUP($A103,'Data Vlaue (Cr)'!$C:$FB,77)</f>
        <v>-8</v>
      </c>
      <c r="G103" s="92">
        <f>VLOOKUP(A103,'Data Vlaue (Cr)'!C98:CB316,78,0)</f>
        <v>-2.5000000000000001E-3</v>
      </c>
      <c r="H103" s="91">
        <f>VLOOKUP($A103,'Data Vlaue (Cr)'!$C:$FB,91)</f>
        <v>2929</v>
      </c>
      <c r="I103" s="91">
        <f>VLOOKUP($A103,'Data Vlaue (Cr)'!$C:$FB,93)</f>
        <v>43</v>
      </c>
      <c r="J103" s="92">
        <f>VLOOKUP($A103,'Data Vlaue (Cr)'!$C:$FB,94)</f>
        <v>1.49E-2</v>
      </c>
      <c r="K103" s="91">
        <f>VLOOKUP($A103,'Data Vlaue (Cr)'!$C:$FB,95)</f>
        <v>2025</v>
      </c>
      <c r="L103" s="91">
        <f>VLOOKUP($A103,'Data Vlaue (Cr)'!$C:$FB,97)</f>
        <v>11</v>
      </c>
      <c r="M103" s="92">
        <f>VLOOKUP($A103,'Data Vlaue (Cr)'!$C:$FB,98)</f>
        <v>5.4999999999999997E-3</v>
      </c>
      <c r="N103" s="91">
        <f>VLOOKUP($A103,'Data Vlaue (Cr)'!$C:$FB,79)</f>
        <v>3099</v>
      </c>
      <c r="O103" s="92">
        <f>VLOOKUP($A103,'Data Vlaue (Cr)'!$C:$FB,82)</f>
        <v>-6.1000000000000004E-3</v>
      </c>
    </row>
    <row r="104" spans="1:15" x14ac:dyDescent="0.25">
      <c r="A104" s="97" t="str">
        <f>'Data Vlaue (Cr)'!C99</f>
        <v>INDUSINDBK</v>
      </c>
      <c r="B104" s="142">
        <f>VLOOKUP(A104,'Data Vlaue (Cr)'!C99:CW317,99,0)</f>
        <v>4492</v>
      </c>
      <c r="C104" s="90">
        <f>VLOOKUP(A104,'Data Vlaue (Cr)'!C99:CY317,101,0)</f>
        <v>65</v>
      </c>
      <c r="D104" s="139">
        <f>VLOOKUP(A104,'Data Vlaue (Cr)'!C99:CZ317,102,0)</f>
        <v>1.46E-2</v>
      </c>
      <c r="E104" s="91">
        <f>VLOOKUP($A104,'Data Vlaue (Cr)'!$C:$FB,75)</f>
        <v>3289</v>
      </c>
      <c r="F104" s="91">
        <f>VLOOKUP($A104,'Data Vlaue (Cr)'!$C:$FB,77)</f>
        <v>20</v>
      </c>
      <c r="G104" s="92">
        <f>VLOOKUP(A104,'Data Vlaue (Cr)'!C99:CB317,78,0)</f>
        <v>6.1000000000000004E-3</v>
      </c>
      <c r="H104" s="91">
        <f>VLOOKUP($A104,'Data Vlaue (Cr)'!$C:$FB,91)</f>
        <v>682</v>
      </c>
      <c r="I104" s="91">
        <f>VLOOKUP($A104,'Data Vlaue (Cr)'!$C:$FB,93)</f>
        <v>51</v>
      </c>
      <c r="J104" s="92">
        <f>VLOOKUP($A104,'Data Vlaue (Cr)'!$C:$FB,94)</f>
        <v>8.1100000000000005E-2</v>
      </c>
      <c r="K104" s="91">
        <f>VLOOKUP($A104,'Data Vlaue (Cr)'!$C:$FB,95)</f>
        <v>522</v>
      </c>
      <c r="L104" s="91">
        <f>VLOOKUP($A104,'Data Vlaue (Cr)'!$C:$FB,97)</f>
        <v>-6</v>
      </c>
      <c r="M104" s="92">
        <f>VLOOKUP($A104,'Data Vlaue (Cr)'!$C:$FB,98)</f>
        <v>-1.2200000000000001E-2</v>
      </c>
      <c r="N104" s="91">
        <f>VLOOKUP($A104,'Data Vlaue (Cr)'!$C:$FB,79)</f>
        <v>3017</v>
      </c>
      <c r="O104" s="92">
        <f>VLOOKUP($A104,'Data Vlaue (Cr)'!$C:$FB,82)</f>
        <v>-3.3E-3</v>
      </c>
    </row>
    <row r="105" spans="1:15" x14ac:dyDescent="0.25">
      <c r="A105" s="97" t="str">
        <f>'Data Vlaue (Cr)'!C100</f>
        <v>INDUSTOWER</v>
      </c>
      <c r="B105" s="142">
        <f>VLOOKUP(A105,'Data Vlaue (Cr)'!C100:CW318,99,0)</f>
        <v>4674</v>
      </c>
      <c r="C105" s="90">
        <f>VLOOKUP(A105,'Data Vlaue (Cr)'!C100:CY318,101,0)</f>
        <v>216</v>
      </c>
      <c r="D105" s="139">
        <f>VLOOKUP(A105,'Data Vlaue (Cr)'!C100:CZ318,102,0)</f>
        <v>4.8399999999999999E-2</v>
      </c>
      <c r="E105" s="91">
        <f>VLOOKUP($A105,'Data Vlaue (Cr)'!$C:$FB,75)</f>
        <v>3018</v>
      </c>
      <c r="F105" s="91">
        <f>VLOOKUP($A105,'Data Vlaue (Cr)'!$C:$FB,77)</f>
        <v>92</v>
      </c>
      <c r="G105" s="92">
        <f>VLOOKUP(A105,'Data Vlaue (Cr)'!C100:CB318,78,0)</f>
        <v>3.15E-2</v>
      </c>
      <c r="H105" s="91">
        <f>VLOOKUP($A105,'Data Vlaue (Cr)'!$C:$FB,91)</f>
        <v>1049</v>
      </c>
      <c r="I105" s="91">
        <f>VLOOKUP($A105,'Data Vlaue (Cr)'!$C:$FB,93)</f>
        <v>63</v>
      </c>
      <c r="J105" s="92">
        <f>VLOOKUP($A105,'Data Vlaue (Cr)'!$C:$FB,94)</f>
        <v>6.3500000000000001E-2</v>
      </c>
      <c r="K105" s="91">
        <f>VLOOKUP($A105,'Data Vlaue (Cr)'!$C:$FB,95)</f>
        <v>608</v>
      </c>
      <c r="L105" s="91">
        <f>VLOOKUP($A105,'Data Vlaue (Cr)'!$C:$FB,97)</f>
        <v>61</v>
      </c>
      <c r="M105" s="92">
        <f>VLOOKUP($A105,'Data Vlaue (Cr)'!$C:$FB,98)</f>
        <v>0.1113</v>
      </c>
      <c r="N105" s="91">
        <f>VLOOKUP($A105,'Data Vlaue (Cr)'!$C:$FB,79)</f>
        <v>2748</v>
      </c>
      <c r="O105" s="92">
        <f>VLOOKUP($A105,'Data Vlaue (Cr)'!$C:$FB,82)</f>
        <v>-1.9599999999999999E-2</v>
      </c>
    </row>
    <row r="106" spans="1:15" x14ac:dyDescent="0.25">
      <c r="A106" s="97" t="str">
        <f>'Data Vlaue (Cr)'!C101</f>
        <v>INFY</v>
      </c>
      <c r="B106" s="142">
        <f>VLOOKUP(A106,'Data Vlaue (Cr)'!C101:CW319,99,0)</f>
        <v>16959</v>
      </c>
      <c r="C106" s="90">
        <f>VLOOKUP(A106,'Data Vlaue (Cr)'!C101:CY319,101,0)</f>
        <v>-65</v>
      </c>
      <c r="D106" s="139">
        <f>VLOOKUP(A106,'Data Vlaue (Cr)'!C101:CZ319,102,0)</f>
        <v>-3.8E-3</v>
      </c>
      <c r="E106" s="91">
        <f>VLOOKUP($A106,'Data Vlaue (Cr)'!$C:$FB,75)</f>
        <v>10518</v>
      </c>
      <c r="F106" s="91">
        <f>VLOOKUP($A106,'Data Vlaue (Cr)'!$C:$FB,77)</f>
        <v>-177</v>
      </c>
      <c r="G106" s="92">
        <f>VLOOKUP(A106,'Data Vlaue (Cr)'!C101:CB319,78,0)</f>
        <v>-1.6500000000000001E-2</v>
      </c>
      <c r="H106" s="91">
        <f>VLOOKUP($A106,'Data Vlaue (Cr)'!$C:$FB,91)</f>
        <v>3760</v>
      </c>
      <c r="I106" s="91">
        <f>VLOOKUP($A106,'Data Vlaue (Cr)'!$C:$FB,93)</f>
        <v>110</v>
      </c>
      <c r="J106" s="92">
        <f>VLOOKUP($A106,'Data Vlaue (Cr)'!$C:$FB,94)</f>
        <v>0.03</v>
      </c>
      <c r="K106" s="91">
        <f>VLOOKUP($A106,'Data Vlaue (Cr)'!$C:$FB,95)</f>
        <v>2681</v>
      </c>
      <c r="L106" s="91">
        <f>VLOOKUP($A106,'Data Vlaue (Cr)'!$C:$FB,97)</f>
        <v>2</v>
      </c>
      <c r="M106" s="92">
        <f>VLOOKUP($A106,'Data Vlaue (Cr)'!$C:$FB,98)</f>
        <v>8.0000000000000004E-4</v>
      </c>
      <c r="N106" s="91">
        <f>VLOOKUP($A106,'Data Vlaue (Cr)'!$C:$FB,79)</f>
        <v>9912</v>
      </c>
      <c r="O106" s="92">
        <f>VLOOKUP($A106,'Data Vlaue (Cr)'!$C:$FB,82)</f>
        <v>-2.1899999999999999E-2</v>
      </c>
    </row>
    <row r="107" spans="1:15" x14ac:dyDescent="0.25">
      <c r="A107" s="97" t="str">
        <f>'Data Vlaue (Cr)'!C102</f>
        <v>INOXWIND</v>
      </c>
      <c r="B107" s="142">
        <f>VLOOKUP(A107,'Data Vlaue (Cr)'!C102:CW320,99,0)</f>
        <v>1478</v>
      </c>
      <c r="C107" s="90">
        <f>VLOOKUP(A107,'Data Vlaue (Cr)'!C102:CY320,101,0)</f>
        <v>29</v>
      </c>
      <c r="D107" s="139">
        <f>VLOOKUP(A107,'Data Vlaue (Cr)'!C102:CZ320,102,0)</f>
        <v>1.9800000000000002E-2</v>
      </c>
      <c r="E107" s="91">
        <f>VLOOKUP($A107,'Data Vlaue (Cr)'!$C:$FB,75)</f>
        <v>978</v>
      </c>
      <c r="F107" s="91">
        <f>VLOOKUP($A107,'Data Vlaue (Cr)'!$C:$FB,77)</f>
        <v>-39</v>
      </c>
      <c r="G107" s="92">
        <f>VLOOKUP(A107,'Data Vlaue (Cr)'!C102:CB320,78,0)</f>
        <v>-3.85E-2</v>
      </c>
      <c r="H107" s="91">
        <f>VLOOKUP($A107,'Data Vlaue (Cr)'!$C:$FB,91)</f>
        <v>274</v>
      </c>
      <c r="I107" s="91">
        <f>VLOOKUP($A107,'Data Vlaue (Cr)'!$C:$FB,93)</f>
        <v>55</v>
      </c>
      <c r="J107" s="92">
        <f>VLOOKUP($A107,'Data Vlaue (Cr)'!$C:$FB,94)</f>
        <v>0.25280000000000002</v>
      </c>
      <c r="K107" s="91">
        <f>VLOOKUP($A107,'Data Vlaue (Cr)'!$C:$FB,95)</f>
        <v>226</v>
      </c>
      <c r="L107" s="91">
        <f>VLOOKUP($A107,'Data Vlaue (Cr)'!$C:$FB,97)</f>
        <v>13</v>
      </c>
      <c r="M107" s="92">
        <f>VLOOKUP($A107,'Data Vlaue (Cr)'!$C:$FB,98)</f>
        <v>5.9200000000000003E-2</v>
      </c>
      <c r="N107" s="91">
        <f>VLOOKUP($A107,'Data Vlaue (Cr)'!$C:$FB,79)</f>
        <v>882</v>
      </c>
      <c r="O107" s="92">
        <f>VLOOKUP($A107,'Data Vlaue (Cr)'!$C:$FB,82)</f>
        <v>-5.9900000000000002E-2</v>
      </c>
    </row>
    <row r="108" spans="1:15" x14ac:dyDescent="0.25">
      <c r="A108" s="97" t="str">
        <f>'Data Vlaue (Cr)'!C103</f>
        <v>IOC</v>
      </c>
      <c r="B108" s="142">
        <f>VLOOKUP(A108,'Data Vlaue (Cr)'!C103:CW321,99,0)</f>
        <v>3136</v>
      </c>
      <c r="C108" s="90">
        <f>VLOOKUP(A108,'Data Vlaue (Cr)'!C103:CY321,101,0)</f>
        <v>-13</v>
      </c>
      <c r="D108" s="139">
        <f>VLOOKUP(A108,'Data Vlaue (Cr)'!C103:CZ321,102,0)</f>
        <v>-4.1999999999999997E-3</v>
      </c>
      <c r="E108" s="91">
        <f>VLOOKUP($A108,'Data Vlaue (Cr)'!$C:$FB,75)</f>
        <v>1498</v>
      </c>
      <c r="F108" s="91">
        <f>VLOOKUP($A108,'Data Vlaue (Cr)'!$C:$FB,77)</f>
        <v>-27</v>
      </c>
      <c r="G108" s="92">
        <f>VLOOKUP(A108,'Data Vlaue (Cr)'!C103:CB321,78,0)</f>
        <v>-1.7500000000000002E-2</v>
      </c>
      <c r="H108" s="91">
        <f>VLOOKUP($A108,'Data Vlaue (Cr)'!$C:$FB,91)</f>
        <v>945</v>
      </c>
      <c r="I108" s="91">
        <f>VLOOKUP($A108,'Data Vlaue (Cr)'!$C:$FB,93)</f>
        <v>-1</v>
      </c>
      <c r="J108" s="92">
        <f>VLOOKUP($A108,'Data Vlaue (Cr)'!$C:$FB,94)</f>
        <v>-1E-3</v>
      </c>
      <c r="K108" s="91">
        <f>VLOOKUP($A108,'Data Vlaue (Cr)'!$C:$FB,95)</f>
        <v>692</v>
      </c>
      <c r="L108" s="91">
        <f>VLOOKUP($A108,'Data Vlaue (Cr)'!$C:$FB,97)</f>
        <v>14</v>
      </c>
      <c r="M108" s="92">
        <f>VLOOKUP($A108,'Data Vlaue (Cr)'!$C:$FB,98)</f>
        <v>2.1000000000000001E-2</v>
      </c>
      <c r="N108" s="91">
        <f>VLOOKUP($A108,'Data Vlaue (Cr)'!$C:$FB,79)</f>
        <v>1337</v>
      </c>
      <c r="O108" s="92">
        <f>VLOOKUP($A108,'Data Vlaue (Cr)'!$C:$FB,82)</f>
        <v>-2.8799999999999999E-2</v>
      </c>
    </row>
    <row r="109" spans="1:15" x14ac:dyDescent="0.25">
      <c r="A109" s="97" t="str">
        <f>'Data Vlaue (Cr)'!C104</f>
        <v>IREDA</v>
      </c>
      <c r="B109" s="142">
        <f>VLOOKUP(A109,'Data Vlaue (Cr)'!C104:CW322,99,0)</f>
        <v>1369</v>
      </c>
      <c r="C109" s="90">
        <f>VLOOKUP(A109,'Data Vlaue (Cr)'!C104:CY322,101,0)</f>
        <v>66</v>
      </c>
      <c r="D109" s="139">
        <f>VLOOKUP(A109,'Data Vlaue (Cr)'!C104:CZ322,102,0)</f>
        <v>5.0599999999999999E-2</v>
      </c>
      <c r="E109" s="91">
        <f>VLOOKUP($A109,'Data Vlaue (Cr)'!$C:$FB,75)</f>
        <v>773</v>
      </c>
      <c r="F109" s="91">
        <f>VLOOKUP($A109,'Data Vlaue (Cr)'!$C:$FB,77)</f>
        <v>34</v>
      </c>
      <c r="G109" s="92">
        <f>VLOOKUP(A109,'Data Vlaue (Cr)'!C104:CB322,78,0)</f>
        <v>4.6399999999999997E-2</v>
      </c>
      <c r="H109" s="91">
        <f>VLOOKUP($A109,'Data Vlaue (Cr)'!$C:$FB,91)</f>
        <v>333</v>
      </c>
      <c r="I109" s="91">
        <f>VLOOKUP($A109,'Data Vlaue (Cr)'!$C:$FB,93)</f>
        <v>21</v>
      </c>
      <c r="J109" s="92">
        <f>VLOOKUP($A109,'Data Vlaue (Cr)'!$C:$FB,94)</f>
        <v>6.6799999999999998E-2</v>
      </c>
      <c r="K109" s="91">
        <f>VLOOKUP($A109,'Data Vlaue (Cr)'!$C:$FB,95)</f>
        <v>263</v>
      </c>
      <c r="L109" s="91">
        <f>VLOOKUP($A109,'Data Vlaue (Cr)'!$C:$FB,97)</f>
        <v>11</v>
      </c>
      <c r="M109" s="92">
        <f>VLOOKUP($A109,'Data Vlaue (Cr)'!$C:$FB,98)</f>
        <v>4.3099999999999999E-2</v>
      </c>
      <c r="N109" s="91">
        <f>VLOOKUP($A109,'Data Vlaue (Cr)'!$C:$FB,79)</f>
        <v>566</v>
      </c>
      <c r="O109" s="92">
        <f>VLOOKUP($A109,'Data Vlaue (Cr)'!$C:$FB,82)</f>
        <v>1.55E-2</v>
      </c>
    </row>
    <row r="110" spans="1:15" x14ac:dyDescent="0.25">
      <c r="A110" s="97" t="str">
        <f>'Data Vlaue (Cr)'!C105</f>
        <v>IRFC</v>
      </c>
      <c r="B110" s="142">
        <f>VLOOKUP(A110,'Data Vlaue (Cr)'!C105:CW323,99,0)</f>
        <v>1383</v>
      </c>
      <c r="C110" s="90">
        <f>VLOOKUP(A110,'Data Vlaue (Cr)'!C105:CY323,101,0)</f>
        <v>43</v>
      </c>
      <c r="D110" s="139">
        <f>VLOOKUP(A110,'Data Vlaue (Cr)'!C105:CZ323,102,0)</f>
        <v>3.2199999999999999E-2</v>
      </c>
      <c r="E110" s="91">
        <f>VLOOKUP($A110,'Data Vlaue (Cr)'!$C:$FB,75)</f>
        <v>621</v>
      </c>
      <c r="F110" s="91">
        <f>VLOOKUP($A110,'Data Vlaue (Cr)'!$C:$FB,77)</f>
        <v>11</v>
      </c>
      <c r="G110" s="92">
        <f>VLOOKUP(A110,'Data Vlaue (Cr)'!C105:CB323,78,0)</f>
        <v>1.8800000000000001E-2</v>
      </c>
      <c r="H110" s="91">
        <f>VLOOKUP($A110,'Data Vlaue (Cr)'!$C:$FB,91)</f>
        <v>444</v>
      </c>
      <c r="I110" s="91">
        <f>VLOOKUP($A110,'Data Vlaue (Cr)'!$C:$FB,93)</f>
        <v>28</v>
      </c>
      <c r="J110" s="92">
        <f>VLOOKUP($A110,'Data Vlaue (Cr)'!$C:$FB,94)</f>
        <v>6.6100000000000006E-2</v>
      </c>
      <c r="K110" s="91">
        <f>VLOOKUP($A110,'Data Vlaue (Cr)'!$C:$FB,95)</f>
        <v>318</v>
      </c>
      <c r="L110" s="91">
        <f>VLOOKUP($A110,'Data Vlaue (Cr)'!$C:$FB,97)</f>
        <v>4</v>
      </c>
      <c r="M110" s="92">
        <f>VLOOKUP($A110,'Data Vlaue (Cr)'!$C:$FB,98)</f>
        <v>1.34E-2</v>
      </c>
      <c r="N110" s="91">
        <f>VLOOKUP($A110,'Data Vlaue (Cr)'!$C:$FB,79)</f>
        <v>475</v>
      </c>
      <c r="O110" s="92">
        <f>VLOOKUP($A110,'Data Vlaue (Cr)'!$C:$FB,82)</f>
        <v>-1.2999999999999999E-3</v>
      </c>
    </row>
    <row r="111" spans="1:15" x14ac:dyDescent="0.25">
      <c r="A111" s="97" t="str">
        <f>'Data Vlaue (Cr)'!C106</f>
        <v>ITC</v>
      </c>
      <c r="B111" s="142">
        <f>VLOOKUP(A111,'Data Vlaue (Cr)'!C106:CW324,99,0)</f>
        <v>10354</v>
      </c>
      <c r="C111" s="90">
        <f>VLOOKUP(A111,'Data Vlaue (Cr)'!C106:CY324,101,0)</f>
        <v>718</v>
      </c>
      <c r="D111" s="139">
        <f>VLOOKUP(A111,'Data Vlaue (Cr)'!C106:CZ324,102,0)</f>
        <v>7.4499999999999997E-2</v>
      </c>
      <c r="E111" s="91">
        <f>VLOOKUP($A111,'Data Vlaue (Cr)'!$C:$FB,75)</f>
        <v>5078</v>
      </c>
      <c r="F111" s="91">
        <f>VLOOKUP($A111,'Data Vlaue (Cr)'!$C:$FB,77)</f>
        <v>59</v>
      </c>
      <c r="G111" s="92">
        <f>VLOOKUP(A111,'Data Vlaue (Cr)'!C106:CB324,78,0)</f>
        <v>1.18E-2</v>
      </c>
      <c r="H111" s="91">
        <f>VLOOKUP($A111,'Data Vlaue (Cr)'!$C:$FB,91)</f>
        <v>3523</v>
      </c>
      <c r="I111" s="91">
        <f>VLOOKUP($A111,'Data Vlaue (Cr)'!$C:$FB,93)</f>
        <v>497</v>
      </c>
      <c r="J111" s="92">
        <f>VLOOKUP($A111,'Data Vlaue (Cr)'!$C:$FB,94)</f>
        <v>0.16420000000000001</v>
      </c>
      <c r="K111" s="91">
        <f>VLOOKUP($A111,'Data Vlaue (Cr)'!$C:$FB,95)</f>
        <v>1753</v>
      </c>
      <c r="L111" s="91">
        <f>VLOOKUP($A111,'Data Vlaue (Cr)'!$C:$FB,97)</f>
        <v>162</v>
      </c>
      <c r="M111" s="92">
        <f>VLOOKUP($A111,'Data Vlaue (Cr)'!$C:$FB,98)</f>
        <v>0.10150000000000001</v>
      </c>
      <c r="N111" s="91">
        <f>VLOOKUP($A111,'Data Vlaue (Cr)'!$C:$FB,79)</f>
        <v>4420</v>
      </c>
      <c r="O111" s="92">
        <f>VLOOKUP($A111,'Data Vlaue (Cr)'!$C:$FB,82)</f>
        <v>-1.5599999999999999E-2</v>
      </c>
    </row>
    <row r="112" spans="1:15" x14ac:dyDescent="0.25">
      <c r="A112" s="97" t="str">
        <f>'Data Vlaue (Cr)'!C107</f>
        <v>JINDALSTEL</v>
      </c>
      <c r="B112" s="142">
        <f>VLOOKUP(A112,'Data Vlaue (Cr)'!C107:CW325,99,0)</f>
        <v>2612</v>
      </c>
      <c r="C112" s="90">
        <f>VLOOKUP(A112,'Data Vlaue (Cr)'!C107:CY325,101,0)</f>
        <v>117</v>
      </c>
      <c r="D112" s="139">
        <f>VLOOKUP(A112,'Data Vlaue (Cr)'!C107:CZ325,102,0)</f>
        <v>4.7E-2</v>
      </c>
      <c r="E112" s="91">
        <f>VLOOKUP($A112,'Data Vlaue (Cr)'!$C:$FB,75)</f>
        <v>1606</v>
      </c>
      <c r="F112" s="91">
        <f>VLOOKUP($A112,'Data Vlaue (Cr)'!$C:$FB,77)</f>
        <v>-30</v>
      </c>
      <c r="G112" s="92">
        <f>VLOOKUP(A112,'Data Vlaue (Cr)'!C107:CB325,78,0)</f>
        <v>-1.83E-2</v>
      </c>
      <c r="H112" s="91">
        <f>VLOOKUP($A112,'Data Vlaue (Cr)'!$C:$FB,91)</f>
        <v>482</v>
      </c>
      <c r="I112" s="91">
        <f>VLOOKUP($A112,'Data Vlaue (Cr)'!$C:$FB,93)</f>
        <v>49</v>
      </c>
      <c r="J112" s="92">
        <f>VLOOKUP($A112,'Data Vlaue (Cr)'!$C:$FB,94)</f>
        <v>0.11210000000000001</v>
      </c>
      <c r="K112" s="91">
        <f>VLOOKUP($A112,'Data Vlaue (Cr)'!$C:$FB,95)</f>
        <v>524</v>
      </c>
      <c r="L112" s="91">
        <f>VLOOKUP($A112,'Data Vlaue (Cr)'!$C:$FB,97)</f>
        <v>99</v>
      </c>
      <c r="M112" s="92">
        <f>VLOOKUP($A112,'Data Vlaue (Cr)'!$C:$FB,98)</f>
        <v>0.2321</v>
      </c>
      <c r="N112" s="91">
        <f>VLOOKUP($A112,'Data Vlaue (Cr)'!$C:$FB,79)</f>
        <v>1408</v>
      </c>
      <c r="O112" s="92">
        <f>VLOOKUP($A112,'Data Vlaue (Cr)'!$C:$FB,82)</f>
        <v>-2.58E-2</v>
      </c>
    </row>
    <row r="113" spans="1:15" x14ac:dyDescent="0.25">
      <c r="A113" s="97" t="str">
        <f>'Data Vlaue (Cr)'!C108</f>
        <v>JIOFIN</v>
      </c>
      <c r="B113" s="142">
        <f>VLOOKUP(A113,'Data Vlaue (Cr)'!C108:CW326,99,0)</f>
        <v>6982</v>
      </c>
      <c r="C113" s="90">
        <f>VLOOKUP(A113,'Data Vlaue (Cr)'!C108:CY326,101,0)</f>
        <v>1067</v>
      </c>
      <c r="D113" s="139">
        <f>VLOOKUP(A113,'Data Vlaue (Cr)'!C108:CZ326,102,0)</f>
        <v>0.1804</v>
      </c>
      <c r="E113" s="91">
        <f>VLOOKUP($A113,'Data Vlaue (Cr)'!$C:$FB,75)</f>
        <v>4155</v>
      </c>
      <c r="F113" s="91">
        <f>VLOOKUP($A113,'Data Vlaue (Cr)'!$C:$FB,77)</f>
        <v>393</v>
      </c>
      <c r="G113" s="92">
        <f>VLOOKUP(A113,'Data Vlaue (Cr)'!C108:CB326,78,0)</f>
        <v>0.1045</v>
      </c>
      <c r="H113" s="91">
        <f>VLOOKUP($A113,'Data Vlaue (Cr)'!$C:$FB,91)</f>
        <v>1691</v>
      </c>
      <c r="I113" s="91">
        <f>VLOOKUP($A113,'Data Vlaue (Cr)'!$C:$FB,93)</f>
        <v>445</v>
      </c>
      <c r="J113" s="92">
        <f>VLOOKUP($A113,'Data Vlaue (Cr)'!$C:$FB,94)</f>
        <v>0.35770000000000002</v>
      </c>
      <c r="K113" s="91">
        <f>VLOOKUP($A113,'Data Vlaue (Cr)'!$C:$FB,95)</f>
        <v>1137</v>
      </c>
      <c r="L113" s="91">
        <f>VLOOKUP($A113,'Data Vlaue (Cr)'!$C:$FB,97)</f>
        <v>228</v>
      </c>
      <c r="M113" s="92">
        <f>VLOOKUP($A113,'Data Vlaue (Cr)'!$C:$FB,98)</f>
        <v>0.25119999999999998</v>
      </c>
      <c r="N113" s="91">
        <f>VLOOKUP($A113,'Data Vlaue (Cr)'!$C:$FB,79)</f>
        <v>3253</v>
      </c>
      <c r="O113" s="92">
        <f>VLOOKUP($A113,'Data Vlaue (Cr)'!$C:$FB,82)</f>
        <v>5.8400000000000001E-2</v>
      </c>
    </row>
    <row r="114" spans="1:15" x14ac:dyDescent="0.25">
      <c r="A114" s="97" t="str">
        <f>'Data Vlaue (Cr)'!C109</f>
        <v>JSWENERGY</v>
      </c>
      <c r="B114" s="142">
        <f>VLOOKUP(A114,'Data Vlaue (Cr)'!C109:CW327,99,0)</f>
        <v>2074</v>
      </c>
      <c r="C114" s="90">
        <f>VLOOKUP(A114,'Data Vlaue (Cr)'!C109:CY327,101,0)</f>
        <v>-22</v>
      </c>
      <c r="D114" s="139">
        <f>VLOOKUP(A114,'Data Vlaue (Cr)'!C109:CZ327,102,0)</f>
        <v>-1.0500000000000001E-2</v>
      </c>
      <c r="E114" s="91">
        <f>VLOOKUP($A114,'Data Vlaue (Cr)'!$C:$FB,75)</f>
        <v>1447</v>
      </c>
      <c r="F114" s="91">
        <f>VLOOKUP($A114,'Data Vlaue (Cr)'!$C:$FB,77)</f>
        <v>-23</v>
      </c>
      <c r="G114" s="92">
        <f>VLOOKUP(A114,'Data Vlaue (Cr)'!C109:CB327,78,0)</f>
        <v>-1.5699999999999999E-2</v>
      </c>
      <c r="H114" s="91">
        <f>VLOOKUP($A114,'Data Vlaue (Cr)'!$C:$FB,91)</f>
        <v>372</v>
      </c>
      <c r="I114" s="91">
        <f>VLOOKUP($A114,'Data Vlaue (Cr)'!$C:$FB,93)</f>
        <v>22</v>
      </c>
      <c r="J114" s="92">
        <f>VLOOKUP($A114,'Data Vlaue (Cr)'!$C:$FB,94)</f>
        <v>6.2100000000000002E-2</v>
      </c>
      <c r="K114" s="91">
        <f>VLOOKUP($A114,'Data Vlaue (Cr)'!$C:$FB,95)</f>
        <v>255</v>
      </c>
      <c r="L114" s="91">
        <f>VLOOKUP($A114,'Data Vlaue (Cr)'!$C:$FB,97)</f>
        <v>-21</v>
      </c>
      <c r="M114" s="92">
        <f>VLOOKUP($A114,'Data Vlaue (Cr)'!$C:$FB,98)</f>
        <v>-7.4800000000000005E-2</v>
      </c>
      <c r="N114" s="91">
        <f>VLOOKUP($A114,'Data Vlaue (Cr)'!$C:$FB,79)</f>
        <v>1403</v>
      </c>
      <c r="O114" s="92">
        <f>VLOOKUP($A114,'Data Vlaue (Cr)'!$C:$FB,82)</f>
        <v>-2.23E-2</v>
      </c>
    </row>
    <row r="115" spans="1:15" x14ac:dyDescent="0.25">
      <c r="A115" s="97" t="str">
        <f>'Data Vlaue (Cr)'!C110</f>
        <v>JSWSTEEL</v>
      </c>
      <c r="B115" s="142">
        <f>VLOOKUP(A115,'Data Vlaue (Cr)'!C110:CW328,99,0)</f>
        <v>7602</v>
      </c>
      <c r="C115" s="90">
        <f>VLOOKUP(A115,'Data Vlaue (Cr)'!C110:CY328,101,0)</f>
        <v>-128</v>
      </c>
      <c r="D115" s="139">
        <f>VLOOKUP(A115,'Data Vlaue (Cr)'!C110:CZ328,102,0)</f>
        <v>-1.66E-2</v>
      </c>
      <c r="E115" s="91">
        <f>VLOOKUP($A115,'Data Vlaue (Cr)'!$C:$FB,75)</f>
        <v>6197</v>
      </c>
      <c r="F115" s="91">
        <f>VLOOKUP($A115,'Data Vlaue (Cr)'!$C:$FB,77)</f>
        <v>-23</v>
      </c>
      <c r="G115" s="92">
        <f>VLOOKUP(A115,'Data Vlaue (Cr)'!C110:CB328,78,0)</f>
        <v>-3.7000000000000002E-3</v>
      </c>
      <c r="H115" s="91">
        <f>VLOOKUP($A115,'Data Vlaue (Cr)'!$C:$FB,91)</f>
        <v>716</v>
      </c>
      <c r="I115" s="91">
        <f>VLOOKUP($A115,'Data Vlaue (Cr)'!$C:$FB,93)</f>
        <v>-115</v>
      </c>
      <c r="J115" s="92">
        <f>VLOOKUP($A115,'Data Vlaue (Cr)'!$C:$FB,94)</f>
        <v>-0.13789999999999999</v>
      </c>
      <c r="K115" s="91">
        <f>VLOOKUP($A115,'Data Vlaue (Cr)'!$C:$FB,95)</f>
        <v>689</v>
      </c>
      <c r="L115" s="91">
        <f>VLOOKUP($A115,'Data Vlaue (Cr)'!$C:$FB,97)</f>
        <v>9</v>
      </c>
      <c r="M115" s="92">
        <f>VLOOKUP($A115,'Data Vlaue (Cr)'!$C:$FB,98)</f>
        <v>1.38E-2</v>
      </c>
      <c r="N115" s="91">
        <f>VLOOKUP($A115,'Data Vlaue (Cr)'!$C:$FB,79)</f>
        <v>5404</v>
      </c>
      <c r="O115" s="92">
        <f>VLOOKUP($A115,'Data Vlaue (Cr)'!$C:$FB,82)</f>
        <v>-3.39E-2</v>
      </c>
    </row>
    <row r="116" spans="1:15" x14ac:dyDescent="0.25">
      <c r="A116" s="97" t="str">
        <f>'Data Vlaue (Cr)'!C111</f>
        <v>JUBLFOOD</v>
      </c>
      <c r="B116" s="142">
        <f>VLOOKUP(A116,'Data Vlaue (Cr)'!C111:CW329,99,0)</f>
        <v>3495</v>
      </c>
      <c r="C116" s="90">
        <f>VLOOKUP(A116,'Data Vlaue (Cr)'!C111:CY329,101,0)</f>
        <v>144</v>
      </c>
      <c r="D116" s="139">
        <f>VLOOKUP(A116,'Data Vlaue (Cr)'!C111:CZ329,102,0)</f>
        <v>4.2999999999999997E-2</v>
      </c>
      <c r="E116" s="91">
        <f>VLOOKUP($A116,'Data Vlaue (Cr)'!$C:$FB,75)</f>
        <v>2352</v>
      </c>
      <c r="F116" s="91">
        <f>VLOOKUP($A116,'Data Vlaue (Cr)'!$C:$FB,77)</f>
        <v>52</v>
      </c>
      <c r="G116" s="92">
        <f>VLOOKUP(A116,'Data Vlaue (Cr)'!C111:CB329,78,0)</f>
        <v>2.24E-2</v>
      </c>
      <c r="H116" s="91">
        <f>VLOOKUP($A116,'Data Vlaue (Cr)'!$C:$FB,91)</f>
        <v>695</v>
      </c>
      <c r="I116" s="91">
        <f>VLOOKUP($A116,'Data Vlaue (Cr)'!$C:$FB,93)</f>
        <v>61</v>
      </c>
      <c r="J116" s="92">
        <f>VLOOKUP($A116,'Data Vlaue (Cr)'!$C:$FB,94)</f>
        <v>9.6199999999999994E-2</v>
      </c>
      <c r="K116" s="91">
        <f>VLOOKUP($A116,'Data Vlaue (Cr)'!$C:$FB,95)</f>
        <v>447</v>
      </c>
      <c r="L116" s="91">
        <f>VLOOKUP($A116,'Data Vlaue (Cr)'!$C:$FB,97)</f>
        <v>32</v>
      </c>
      <c r="M116" s="92">
        <f>VLOOKUP($A116,'Data Vlaue (Cr)'!$C:$FB,98)</f>
        <v>7.5899999999999995E-2</v>
      </c>
      <c r="N116" s="91">
        <f>VLOOKUP($A116,'Data Vlaue (Cr)'!$C:$FB,79)</f>
        <v>1688</v>
      </c>
      <c r="O116" s="92">
        <f>VLOOKUP($A116,'Data Vlaue (Cr)'!$C:$FB,82)</f>
        <v>3.8999999999999998E-3</v>
      </c>
    </row>
    <row r="117" spans="1:15" x14ac:dyDescent="0.25">
      <c r="A117" s="97" t="str">
        <f>'Data Vlaue (Cr)'!C112</f>
        <v>KALYANKJIL</v>
      </c>
      <c r="B117" s="142">
        <f>VLOOKUP(A117,'Data Vlaue (Cr)'!C112:CW330,99,0)</f>
        <v>2041</v>
      </c>
      <c r="C117" s="90">
        <f>VLOOKUP(A117,'Data Vlaue (Cr)'!C112:CY330,101,0)</f>
        <v>441</v>
      </c>
      <c r="D117" s="139">
        <f>VLOOKUP(A117,'Data Vlaue (Cr)'!C112:CZ330,102,0)</f>
        <v>0.27579999999999999</v>
      </c>
      <c r="E117" s="91">
        <f>VLOOKUP($A117,'Data Vlaue (Cr)'!$C:$FB,75)</f>
        <v>1125</v>
      </c>
      <c r="F117" s="91">
        <f>VLOOKUP($A117,'Data Vlaue (Cr)'!$C:$FB,77)</f>
        <v>70</v>
      </c>
      <c r="G117" s="92">
        <f>VLOOKUP(A117,'Data Vlaue (Cr)'!C112:CB330,78,0)</f>
        <v>6.6000000000000003E-2</v>
      </c>
      <c r="H117" s="91">
        <f>VLOOKUP($A117,'Data Vlaue (Cr)'!$C:$FB,91)</f>
        <v>599</v>
      </c>
      <c r="I117" s="91">
        <f>VLOOKUP($A117,'Data Vlaue (Cr)'!$C:$FB,93)</f>
        <v>295</v>
      </c>
      <c r="J117" s="92">
        <f>VLOOKUP($A117,'Data Vlaue (Cr)'!$C:$FB,94)</f>
        <v>0.9748</v>
      </c>
      <c r="K117" s="91">
        <f>VLOOKUP($A117,'Data Vlaue (Cr)'!$C:$FB,95)</f>
        <v>318</v>
      </c>
      <c r="L117" s="91">
        <f>VLOOKUP($A117,'Data Vlaue (Cr)'!$C:$FB,97)</f>
        <v>76</v>
      </c>
      <c r="M117" s="92">
        <f>VLOOKUP($A117,'Data Vlaue (Cr)'!$C:$FB,98)</f>
        <v>0.31480000000000002</v>
      </c>
      <c r="N117" s="91">
        <f>VLOOKUP($A117,'Data Vlaue (Cr)'!$C:$FB,79)</f>
        <v>1050</v>
      </c>
      <c r="O117" s="92">
        <f>VLOOKUP($A117,'Data Vlaue (Cr)'!$C:$FB,82)</f>
        <v>3.7999999999999999E-2</v>
      </c>
    </row>
    <row r="118" spans="1:15" x14ac:dyDescent="0.25">
      <c r="A118" s="97" t="str">
        <f>'Data Vlaue (Cr)'!C113</f>
        <v>KAYNES</v>
      </c>
      <c r="B118" s="142">
        <f>VLOOKUP(A118,'Data Vlaue (Cr)'!C113:CW331,99,0)</f>
        <v>2585</v>
      </c>
      <c r="C118" s="90">
        <f>VLOOKUP(A118,'Data Vlaue (Cr)'!C113:CY331,101,0)</f>
        <v>44</v>
      </c>
      <c r="D118" s="139">
        <f>VLOOKUP(A118,'Data Vlaue (Cr)'!C113:CZ331,102,0)</f>
        <v>1.7399999999999999E-2</v>
      </c>
      <c r="E118" s="91">
        <f>VLOOKUP($A118,'Data Vlaue (Cr)'!$C:$FB,75)</f>
        <v>1439</v>
      </c>
      <c r="F118" s="91">
        <f>VLOOKUP($A118,'Data Vlaue (Cr)'!$C:$FB,77)</f>
        <v>19</v>
      </c>
      <c r="G118" s="92">
        <f>VLOOKUP(A118,'Data Vlaue (Cr)'!C113:CB331,78,0)</f>
        <v>1.34E-2</v>
      </c>
      <c r="H118" s="91">
        <f>VLOOKUP($A118,'Data Vlaue (Cr)'!$C:$FB,91)</f>
        <v>637</v>
      </c>
      <c r="I118" s="91">
        <f>VLOOKUP($A118,'Data Vlaue (Cr)'!$C:$FB,93)</f>
        <v>29</v>
      </c>
      <c r="J118" s="92">
        <f>VLOOKUP($A118,'Data Vlaue (Cr)'!$C:$FB,94)</f>
        <v>4.7300000000000002E-2</v>
      </c>
      <c r="K118" s="91">
        <f>VLOOKUP($A118,'Data Vlaue (Cr)'!$C:$FB,95)</f>
        <v>508</v>
      </c>
      <c r="L118" s="91">
        <f>VLOOKUP($A118,'Data Vlaue (Cr)'!$C:$FB,97)</f>
        <v>-4</v>
      </c>
      <c r="M118" s="92">
        <f>VLOOKUP($A118,'Data Vlaue (Cr)'!$C:$FB,98)</f>
        <v>-7.1000000000000004E-3</v>
      </c>
      <c r="N118" s="91">
        <f>VLOOKUP($A118,'Data Vlaue (Cr)'!$C:$FB,79)</f>
        <v>1210</v>
      </c>
      <c r="O118" s="92">
        <f>VLOOKUP($A118,'Data Vlaue (Cr)'!$C:$FB,82)</f>
        <v>-1.5E-3</v>
      </c>
    </row>
    <row r="119" spans="1:15" x14ac:dyDescent="0.25">
      <c r="A119" s="97" t="str">
        <f>'Data Vlaue (Cr)'!C114</f>
        <v>KEI</v>
      </c>
      <c r="B119" s="142">
        <f>VLOOKUP(A119,'Data Vlaue (Cr)'!C114:CW332,99,0)</f>
        <v>1693</v>
      </c>
      <c r="C119" s="90">
        <f>VLOOKUP(A119,'Data Vlaue (Cr)'!C114:CY332,101,0)</f>
        <v>50</v>
      </c>
      <c r="D119" s="139">
        <f>VLOOKUP(A119,'Data Vlaue (Cr)'!C114:CZ332,102,0)</f>
        <v>3.0499999999999999E-2</v>
      </c>
      <c r="E119" s="91">
        <f>VLOOKUP($A119,'Data Vlaue (Cr)'!$C:$FB,75)</f>
        <v>1124</v>
      </c>
      <c r="F119" s="91">
        <f>VLOOKUP($A119,'Data Vlaue (Cr)'!$C:$FB,77)</f>
        <v>9</v>
      </c>
      <c r="G119" s="92">
        <f>VLOOKUP(A119,'Data Vlaue (Cr)'!C114:CB332,78,0)</f>
        <v>8.3999999999999995E-3</v>
      </c>
      <c r="H119" s="91">
        <f>VLOOKUP($A119,'Data Vlaue (Cr)'!$C:$FB,91)</f>
        <v>335</v>
      </c>
      <c r="I119" s="91">
        <f>VLOOKUP($A119,'Data Vlaue (Cr)'!$C:$FB,93)</f>
        <v>29</v>
      </c>
      <c r="J119" s="92">
        <f>VLOOKUP($A119,'Data Vlaue (Cr)'!$C:$FB,94)</f>
        <v>9.3100000000000002E-2</v>
      </c>
      <c r="K119" s="91">
        <f>VLOOKUP($A119,'Data Vlaue (Cr)'!$C:$FB,95)</f>
        <v>233</v>
      </c>
      <c r="L119" s="91">
        <f>VLOOKUP($A119,'Data Vlaue (Cr)'!$C:$FB,97)</f>
        <v>12</v>
      </c>
      <c r="M119" s="92">
        <f>VLOOKUP($A119,'Data Vlaue (Cr)'!$C:$FB,98)</f>
        <v>5.4899999999999997E-2</v>
      </c>
      <c r="N119" s="91">
        <f>VLOOKUP($A119,'Data Vlaue (Cr)'!$C:$FB,79)</f>
        <v>886</v>
      </c>
      <c r="O119" s="92">
        <f>VLOOKUP($A119,'Data Vlaue (Cr)'!$C:$FB,82)</f>
        <v>-2.5700000000000001E-2</v>
      </c>
    </row>
    <row r="120" spans="1:15" x14ac:dyDescent="0.25">
      <c r="A120" s="97" t="str">
        <f>'Data Vlaue (Cr)'!C115</f>
        <v>KFINTECH</v>
      </c>
      <c r="B120" s="142">
        <f>VLOOKUP(A120,'Data Vlaue (Cr)'!C115:CW333,99,0)</f>
        <v>723</v>
      </c>
      <c r="C120" s="90">
        <f>VLOOKUP(A120,'Data Vlaue (Cr)'!C115:CY333,101,0)</f>
        <v>107</v>
      </c>
      <c r="D120" s="139">
        <f>VLOOKUP(A120,'Data Vlaue (Cr)'!C115:CZ333,102,0)</f>
        <v>0.17319999999999999</v>
      </c>
      <c r="E120" s="91">
        <f>VLOOKUP($A120,'Data Vlaue (Cr)'!$C:$FB,75)</f>
        <v>356</v>
      </c>
      <c r="F120" s="91">
        <f>VLOOKUP($A120,'Data Vlaue (Cr)'!$C:$FB,77)</f>
        <v>20</v>
      </c>
      <c r="G120" s="92">
        <f>VLOOKUP(A120,'Data Vlaue (Cr)'!C115:CB333,78,0)</f>
        <v>5.9400000000000001E-2</v>
      </c>
      <c r="H120" s="91">
        <f>VLOOKUP($A120,'Data Vlaue (Cr)'!$C:$FB,91)</f>
        <v>244</v>
      </c>
      <c r="I120" s="91">
        <f>VLOOKUP($A120,'Data Vlaue (Cr)'!$C:$FB,93)</f>
        <v>59</v>
      </c>
      <c r="J120" s="92">
        <f>VLOOKUP($A120,'Data Vlaue (Cr)'!$C:$FB,94)</f>
        <v>0.32150000000000001</v>
      </c>
      <c r="K120" s="91">
        <f>VLOOKUP($A120,'Data Vlaue (Cr)'!$C:$FB,95)</f>
        <v>122</v>
      </c>
      <c r="L120" s="91">
        <f>VLOOKUP($A120,'Data Vlaue (Cr)'!$C:$FB,97)</f>
        <v>27</v>
      </c>
      <c r="M120" s="92">
        <f>VLOOKUP($A120,'Data Vlaue (Cr)'!$C:$FB,98)</f>
        <v>0.28760000000000002</v>
      </c>
      <c r="N120" s="91">
        <f>VLOOKUP($A120,'Data Vlaue (Cr)'!$C:$FB,79)</f>
        <v>288</v>
      </c>
      <c r="O120" s="92">
        <f>VLOOKUP($A120,'Data Vlaue (Cr)'!$C:$FB,82)</f>
        <v>3.5200000000000002E-2</v>
      </c>
    </row>
    <row r="121" spans="1:15" x14ac:dyDescent="0.25">
      <c r="A121" s="97" t="str">
        <f>'Data Vlaue (Cr)'!C116</f>
        <v>KOTAKBANK</v>
      </c>
      <c r="B121" s="142">
        <f>VLOOKUP(A121,'Data Vlaue (Cr)'!C116:CW334,99,0)</f>
        <v>10590</v>
      </c>
      <c r="C121" s="90">
        <f>VLOOKUP(A121,'Data Vlaue (Cr)'!C116:CY334,101,0)</f>
        <v>-157</v>
      </c>
      <c r="D121" s="139">
        <f>VLOOKUP(A121,'Data Vlaue (Cr)'!C116:CZ334,102,0)</f>
        <v>-1.46E-2</v>
      </c>
      <c r="E121" s="91">
        <f>VLOOKUP($A121,'Data Vlaue (Cr)'!$C:$FB,75)</f>
        <v>8344</v>
      </c>
      <c r="F121" s="91">
        <f>VLOOKUP($A121,'Data Vlaue (Cr)'!$C:$FB,77)</f>
        <v>-150</v>
      </c>
      <c r="G121" s="92">
        <f>VLOOKUP(A121,'Data Vlaue (Cr)'!C116:CB334,78,0)</f>
        <v>-1.7600000000000001E-2</v>
      </c>
      <c r="H121" s="91">
        <f>VLOOKUP($A121,'Data Vlaue (Cr)'!$C:$FB,91)</f>
        <v>1182</v>
      </c>
      <c r="I121" s="91">
        <f>VLOOKUP($A121,'Data Vlaue (Cr)'!$C:$FB,93)</f>
        <v>-43</v>
      </c>
      <c r="J121" s="92">
        <f>VLOOKUP($A121,'Data Vlaue (Cr)'!$C:$FB,94)</f>
        <v>-3.5200000000000002E-2</v>
      </c>
      <c r="K121" s="91">
        <f>VLOOKUP($A121,'Data Vlaue (Cr)'!$C:$FB,95)</f>
        <v>1063</v>
      </c>
      <c r="L121" s="91">
        <f>VLOOKUP($A121,'Data Vlaue (Cr)'!$C:$FB,97)</f>
        <v>35</v>
      </c>
      <c r="M121" s="92">
        <f>VLOOKUP($A121,'Data Vlaue (Cr)'!$C:$FB,98)</f>
        <v>3.4299999999999997E-2</v>
      </c>
      <c r="N121" s="91">
        <f>VLOOKUP($A121,'Data Vlaue (Cr)'!$C:$FB,79)</f>
        <v>6568</v>
      </c>
      <c r="O121" s="92">
        <f>VLOOKUP($A121,'Data Vlaue (Cr)'!$C:$FB,82)</f>
        <v>-5.0099999999999999E-2</v>
      </c>
    </row>
    <row r="122" spans="1:15" x14ac:dyDescent="0.25">
      <c r="A122" s="97" t="str">
        <f>'Data Vlaue (Cr)'!C117</f>
        <v>KPITTECH</v>
      </c>
      <c r="B122" s="142">
        <f>VLOOKUP(A122,'Data Vlaue (Cr)'!C117:CW335,99,0)</f>
        <v>963</v>
      </c>
      <c r="C122" s="90">
        <f>VLOOKUP(A122,'Data Vlaue (Cr)'!C117:CY335,101,0)</f>
        <v>29</v>
      </c>
      <c r="D122" s="139">
        <f>VLOOKUP(A122,'Data Vlaue (Cr)'!C117:CZ335,102,0)</f>
        <v>3.09E-2</v>
      </c>
      <c r="E122" s="91">
        <f>VLOOKUP($A122,'Data Vlaue (Cr)'!$C:$FB,75)</f>
        <v>518</v>
      </c>
      <c r="F122" s="91">
        <f>VLOOKUP($A122,'Data Vlaue (Cr)'!$C:$FB,77)</f>
        <v>0</v>
      </c>
      <c r="G122" s="92">
        <f>VLOOKUP(A122,'Data Vlaue (Cr)'!C117:CB335,78,0)</f>
        <v>4.0000000000000002E-4</v>
      </c>
      <c r="H122" s="91">
        <f>VLOOKUP($A122,'Data Vlaue (Cr)'!$C:$FB,91)</f>
        <v>272</v>
      </c>
      <c r="I122" s="91">
        <f>VLOOKUP($A122,'Data Vlaue (Cr)'!$C:$FB,93)</f>
        <v>19</v>
      </c>
      <c r="J122" s="92">
        <f>VLOOKUP($A122,'Data Vlaue (Cr)'!$C:$FB,94)</f>
        <v>7.3300000000000004E-2</v>
      </c>
      <c r="K122" s="91">
        <f>VLOOKUP($A122,'Data Vlaue (Cr)'!$C:$FB,95)</f>
        <v>173</v>
      </c>
      <c r="L122" s="91">
        <f>VLOOKUP($A122,'Data Vlaue (Cr)'!$C:$FB,97)</f>
        <v>10</v>
      </c>
      <c r="M122" s="92">
        <f>VLOOKUP($A122,'Data Vlaue (Cr)'!$C:$FB,98)</f>
        <v>6.1899999999999997E-2</v>
      </c>
      <c r="N122" s="91">
        <f>VLOOKUP($A122,'Data Vlaue (Cr)'!$C:$FB,79)</f>
        <v>482</v>
      </c>
      <c r="O122" s="92">
        <f>VLOOKUP($A122,'Data Vlaue (Cr)'!$C:$FB,82)</f>
        <v>-6.0000000000000001E-3</v>
      </c>
    </row>
    <row r="123" spans="1:15" x14ac:dyDescent="0.25">
      <c r="A123" s="97" t="str">
        <f>'Data Vlaue (Cr)'!C118</f>
        <v>LAURUSLABS</v>
      </c>
      <c r="B123" s="142">
        <f>VLOOKUP(A123,'Data Vlaue (Cr)'!C118:CW336,99,0)</f>
        <v>3183</v>
      </c>
      <c r="C123" s="90">
        <f>VLOOKUP(A123,'Data Vlaue (Cr)'!C118:CY336,101,0)</f>
        <v>21</v>
      </c>
      <c r="D123" s="139">
        <f>VLOOKUP(A123,'Data Vlaue (Cr)'!C118:CZ336,102,0)</f>
        <v>6.4999999999999997E-3</v>
      </c>
      <c r="E123" s="91">
        <f>VLOOKUP($A123,'Data Vlaue (Cr)'!$C:$FB,75)</f>
        <v>2024</v>
      </c>
      <c r="F123" s="91">
        <f>VLOOKUP($A123,'Data Vlaue (Cr)'!$C:$FB,77)</f>
        <v>-12</v>
      </c>
      <c r="G123" s="92">
        <f>VLOOKUP(A123,'Data Vlaue (Cr)'!C118:CB336,78,0)</f>
        <v>-5.7000000000000002E-3</v>
      </c>
      <c r="H123" s="91">
        <f>VLOOKUP($A123,'Data Vlaue (Cr)'!$C:$FB,91)</f>
        <v>615</v>
      </c>
      <c r="I123" s="91">
        <f>VLOOKUP($A123,'Data Vlaue (Cr)'!$C:$FB,93)</f>
        <v>17</v>
      </c>
      <c r="J123" s="92">
        <f>VLOOKUP($A123,'Data Vlaue (Cr)'!$C:$FB,94)</f>
        <v>2.8299999999999999E-2</v>
      </c>
      <c r="K123" s="91">
        <f>VLOOKUP($A123,'Data Vlaue (Cr)'!$C:$FB,95)</f>
        <v>544</v>
      </c>
      <c r="L123" s="91">
        <f>VLOOKUP($A123,'Data Vlaue (Cr)'!$C:$FB,97)</f>
        <v>15</v>
      </c>
      <c r="M123" s="92">
        <f>VLOOKUP($A123,'Data Vlaue (Cr)'!$C:$FB,98)</f>
        <v>2.8899999999999999E-2</v>
      </c>
      <c r="N123" s="91">
        <f>VLOOKUP($A123,'Data Vlaue (Cr)'!$C:$FB,79)</f>
        <v>1914</v>
      </c>
      <c r="O123" s="92">
        <f>VLOOKUP($A123,'Data Vlaue (Cr)'!$C:$FB,82)</f>
        <v>-1.0500000000000001E-2</v>
      </c>
    </row>
    <row r="124" spans="1:15" x14ac:dyDescent="0.25">
      <c r="A124" s="97" t="str">
        <f>'Data Vlaue (Cr)'!C119</f>
        <v>LICHSGFIN</v>
      </c>
      <c r="B124" s="142">
        <f>VLOOKUP(A124,'Data Vlaue (Cr)'!C119:CW337,99,0)</f>
        <v>2360</v>
      </c>
      <c r="C124" s="90">
        <f>VLOOKUP(A124,'Data Vlaue (Cr)'!C119:CY337,101,0)</f>
        <v>-7</v>
      </c>
      <c r="D124" s="139">
        <f>VLOOKUP(A124,'Data Vlaue (Cr)'!C119:CZ337,102,0)</f>
        <v>-3.0000000000000001E-3</v>
      </c>
      <c r="E124" s="91">
        <f>VLOOKUP($A124,'Data Vlaue (Cr)'!$C:$FB,75)</f>
        <v>1736</v>
      </c>
      <c r="F124" s="91">
        <f>VLOOKUP($A124,'Data Vlaue (Cr)'!$C:$FB,77)</f>
        <v>-20</v>
      </c>
      <c r="G124" s="92">
        <f>VLOOKUP(A124,'Data Vlaue (Cr)'!C119:CB337,78,0)</f>
        <v>-1.1299999999999999E-2</v>
      </c>
      <c r="H124" s="91">
        <f>VLOOKUP($A124,'Data Vlaue (Cr)'!$C:$FB,91)</f>
        <v>317</v>
      </c>
      <c r="I124" s="91">
        <f>VLOOKUP($A124,'Data Vlaue (Cr)'!$C:$FB,93)</f>
        <v>2</v>
      </c>
      <c r="J124" s="92">
        <f>VLOOKUP($A124,'Data Vlaue (Cr)'!$C:$FB,94)</f>
        <v>6.8999999999999999E-3</v>
      </c>
      <c r="K124" s="91">
        <f>VLOOKUP($A124,'Data Vlaue (Cr)'!$C:$FB,95)</f>
        <v>308</v>
      </c>
      <c r="L124" s="91">
        <f>VLOOKUP($A124,'Data Vlaue (Cr)'!$C:$FB,97)</f>
        <v>11</v>
      </c>
      <c r="M124" s="92">
        <f>VLOOKUP($A124,'Data Vlaue (Cr)'!$C:$FB,98)</f>
        <v>3.5799999999999998E-2</v>
      </c>
      <c r="N124" s="91">
        <f>VLOOKUP($A124,'Data Vlaue (Cr)'!$C:$FB,79)</f>
        <v>1679</v>
      </c>
      <c r="O124" s="92">
        <f>VLOOKUP($A124,'Data Vlaue (Cr)'!$C:$FB,82)</f>
        <v>-1.6299999999999999E-2</v>
      </c>
    </row>
    <row r="125" spans="1:15" x14ac:dyDescent="0.25">
      <c r="A125" s="97" t="str">
        <f>'Data Vlaue (Cr)'!C120</f>
        <v>LICI</v>
      </c>
      <c r="B125" s="142">
        <f>VLOOKUP(A125,'Data Vlaue (Cr)'!C120:CW338,99,0)</f>
        <v>1858</v>
      </c>
      <c r="C125" s="90">
        <f>VLOOKUP(A125,'Data Vlaue (Cr)'!C120:CY338,101,0)</f>
        <v>131</v>
      </c>
      <c r="D125" s="139">
        <f>VLOOKUP(A125,'Data Vlaue (Cr)'!C120:CZ338,102,0)</f>
        <v>7.5600000000000001E-2</v>
      </c>
      <c r="E125" s="91">
        <f>VLOOKUP($A125,'Data Vlaue (Cr)'!$C:$FB,75)</f>
        <v>876</v>
      </c>
      <c r="F125" s="91">
        <f>VLOOKUP($A125,'Data Vlaue (Cr)'!$C:$FB,77)</f>
        <v>12</v>
      </c>
      <c r="G125" s="92">
        <f>VLOOKUP(A125,'Data Vlaue (Cr)'!C120:CB338,78,0)</f>
        <v>1.43E-2</v>
      </c>
      <c r="H125" s="91">
        <f>VLOOKUP($A125,'Data Vlaue (Cr)'!$C:$FB,91)</f>
        <v>617</v>
      </c>
      <c r="I125" s="91">
        <f>VLOOKUP($A125,'Data Vlaue (Cr)'!$C:$FB,93)</f>
        <v>89</v>
      </c>
      <c r="J125" s="92">
        <f>VLOOKUP($A125,'Data Vlaue (Cr)'!$C:$FB,94)</f>
        <v>0.16869999999999999</v>
      </c>
      <c r="K125" s="91">
        <f>VLOOKUP($A125,'Data Vlaue (Cr)'!$C:$FB,95)</f>
        <v>364</v>
      </c>
      <c r="L125" s="91">
        <f>VLOOKUP($A125,'Data Vlaue (Cr)'!$C:$FB,97)</f>
        <v>29</v>
      </c>
      <c r="M125" s="92">
        <f>VLOOKUP($A125,'Data Vlaue (Cr)'!$C:$FB,98)</f>
        <v>8.7099999999999997E-2</v>
      </c>
      <c r="N125" s="91">
        <f>VLOOKUP($A125,'Data Vlaue (Cr)'!$C:$FB,79)</f>
        <v>711</v>
      </c>
      <c r="O125" s="92">
        <f>VLOOKUP($A125,'Data Vlaue (Cr)'!$C:$FB,82)</f>
        <v>-1.54E-2</v>
      </c>
    </row>
    <row r="126" spans="1:15" x14ac:dyDescent="0.25">
      <c r="A126" s="97" t="str">
        <f>'Data Vlaue (Cr)'!C121</f>
        <v>LODHA</v>
      </c>
      <c r="B126" s="142">
        <f>VLOOKUP(A126,'Data Vlaue (Cr)'!C121:CW339,99,0)</f>
        <v>2668</v>
      </c>
      <c r="C126" s="90">
        <f>VLOOKUP(A126,'Data Vlaue (Cr)'!C121:CY339,101,0)</f>
        <v>-86</v>
      </c>
      <c r="D126" s="139">
        <f>VLOOKUP(A126,'Data Vlaue (Cr)'!C121:CZ339,102,0)</f>
        <v>-3.1399999999999997E-2</v>
      </c>
      <c r="E126" s="91">
        <f>VLOOKUP($A126,'Data Vlaue (Cr)'!$C:$FB,75)</f>
        <v>1682</v>
      </c>
      <c r="F126" s="91">
        <f>VLOOKUP($A126,'Data Vlaue (Cr)'!$C:$FB,77)</f>
        <v>-61</v>
      </c>
      <c r="G126" s="92">
        <f>VLOOKUP(A126,'Data Vlaue (Cr)'!C121:CB339,78,0)</f>
        <v>-3.5000000000000003E-2</v>
      </c>
      <c r="H126" s="91">
        <f>VLOOKUP($A126,'Data Vlaue (Cr)'!$C:$FB,91)</f>
        <v>535</v>
      </c>
      <c r="I126" s="91">
        <f>VLOOKUP($A126,'Data Vlaue (Cr)'!$C:$FB,93)</f>
        <v>11</v>
      </c>
      <c r="J126" s="92">
        <f>VLOOKUP($A126,'Data Vlaue (Cr)'!$C:$FB,94)</f>
        <v>2.12E-2</v>
      </c>
      <c r="K126" s="91">
        <f>VLOOKUP($A126,'Data Vlaue (Cr)'!$C:$FB,95)</f>
        <v>451</v>
      </c>
      <c r="L126" s="91">
        <f>VLOOKUP($A126,'Data Vlaue (Cr)'!$C:$FB,97)</f>
        <v>-37</v>
      </c>
      <c r="M126" s="92">
        <f>VLOOKUP($A126,'Data Vlaue (Cr)'!$C:$FB,98)</f>
        <v>-7.51E-2</v>
      </c>
      <c r="N126" s="91">
        <f>VLOOKUP($A126,'Data Vlaue (Cr)'!$C:$FB,79)</f>
        <v>1508</v>
      </c>
      <c r="O126" s="92">
        <f>VLOOKUP($A126,'Data Vlaue (Cr)'!$C:$FB,82)</f>
        <v>-4.3499999999999997E-2</v>
      </c>
    </row>
    <row r="127" spans="1:15" x14ac:dyDescent="0.25">
      <c r="A127" s="97" t="str">
        <f>'Data Vlaue (Cr)'!C122</f>
        <v>LT</v>
      </c>
      <c r="B127" s="142">
        <f>VLOOKUP(A127,'Data Vlaue (Cr)'!C122:CW340,99,0)</f>
        <v>13271</v>
      </c>
      <c r="C127" s="90">
        <f>VLOOKUP(A127,'Data Vlaue (Cr)'!C122:CY340,101,0)</f>
        <v>70</v>
      </c>
      <c r="D127" s="139">
        <f>VLOOKUP(A127,'Data Vlaue (Cr)'!C122:CZ340,102,0)</f>
        <v>5.3E-3</v>
      </c>
      <c r="E127" s="91">
        <f>VLOOKUP($A127,'Data Vlaue (Cr)'!$C:$FB,75)</f>
        <v>6096</v>
      </c>
      <c r="F127" s="91">
        <f>VLOOKUP($A127,'Data Vlaue (Cr)'!$C:$FB,77)</f>
        <v>-41</v>
      </c>
      <c r="G127" s="92">
        <f>VLOOKUP(A127,'Data Vlaue (Cr)'!C122:CB340,78,0)</f>
        <v>-6.7000000000000002E-3</v>
      </c>
      <c r="H127" s="91">
        <f>VLOOKUP($A127,'Data Vlaue (Cr)'!$C:$FB,91)</f>
        <v>3798</v>
      </c>
      <c r="I127" s="91">
        <f>VLOOKUP($A127,'Data Vlaue (Cr)'!$C:$FB,93)</f>
        <v>22</v>
      </c>
      <c r="J127" s="92">
        <f>VLOOKUP($A127,'Data Vlaue (Cr)'!$C:$FB,94)</f>
        <v>5.8999999999999999E-3</v>
      </c>
      <c r="K127" s="91">
        <f>VLOOKUP($A127,'Data Vlaue (Cr)'!$C:$FB,95)</f>
        <v>3376</v>
      </c>
      <c r="L127" s="91">
        <f>VLOOKUP($A127,'Data Vlaue (Cr)'!$C:$FB,97)</f>
        <v>89</v>
      </c>
      <c r="M127" s="92">
        <f>VLOOKUP($A127,'Data Vlaue (Cr)'!$C:$FB,98)</f>
        <v>2.69E-2</v>
      </c>
      <c r="N127" s="91">
        <f>VLOOKUP($A127,'Data Vlaue (Cr)'!$C:$FB,79)</f>
        <v>4996</v>
      </c>
      <c r="O127" s="92">
        <f>VLOOKUP($A127,'Data Vlaue (Cr)'!$C:$FB,82)</f>
        <v>-2.6200000000000001E-2</v>
      </c>
    </row>
    <row r="128" spans="1:15" x14ac:dyDescent="0.25">
      <c r="A128" s="97" t="str">
        <f>'Data Vlaue (Cr)'!C123</f>
        <v>LTF</v>
      </c>
      <c r="B128" s="142">
        <f>VLOOKUP(A128,'Data Vlaue (Cr)'!C123:CW341,99,0)</f>
        <v>2535</v>
      </c>
      <c r="C128" s="90">
        <f>VLOOKUP(A128,'Data Vlaue (Cr)'!C123:CY341,101,0)</f>
        <v>-39</v>
      </c>
      <c r="D128" s="139">
        <f>VLOOKUP(A128,'Data Vlaue (Cr)'!C123:CZ341,102,0)</f>
        <v>-1.5299999999999999E-2</v>
      </c>
      <c r="E128" s="91">
        <f>VLOOKUP($A128,'Data Vlaue (Cr)'!$C:$FB,75)</f>
        <v>1519</v>
      </c>
      <c r="F128" s="91">
        <f>VLOOKUP($A128,'Data Vlaue (Cr)'!$C:$FB,77)</f>
        <v>-47</v>
      </c>
      <c r="G128" s="92">
        <f>VLOOKUP(A128,'Data Vlaue (Cr)'!C123:CB341,78,0)</f>
        <v>-3.0099999999999998E-2</v>
      </c>
      <c r="H128" s="91">
        <f>VLOOKUP($A128,'Data Vlaue (Cr)'!$C:$FB,91)</f>
        <v>543</v>
      </c>
      <c r="I128" s="91">
        <f>VLOOKUP($A128,'Data Vlaue (Cr)'!$C:$FB,93)</f>
        <v>-22</v>
      </c>
      <c r="J128" s="92">
        <f>VLOOKUP($A128,'Data Vlaue (Cr)'!$C:$FB,94)</f>
        <v>-3.9100000000000003E-2</v>
      </c>
      <c r="K128" s="91">
        <f>VLOOKUP($A128,'Data Vlaue (Cr)'!$C:$FB,95)</f>
        <v>472</v>
      </c>
      <c r="L128" s="91">
        <f>VLOOKUP($A128,'Data Vlaue (Cr)'!$C:$FB,97)</f>
        <v>30</v>
      </c>
      <c r="M128" s="92">
        <f>VLOOKUP($A128,'Data Vlaue (Cr)'!$C:$FB,98)</f>
        <v>6.7400000000000002E-2</v>
      </c>
      <c r="N128" s="91">
        <f>VLOOKUP($A128,'Data Vlaue (Cr)'!$C:$FB,79)</f>
        <v>1408</v>
      </c>
      <c r="O128" s="92">
        <f>VLOOKUP($A128,'Data Vlaue (Cr)'!$C:$FB,82)</f>
        <v>-4.4499999999999998E-2</v>
      </c>
    </row>
    <row r="129" spans="1:15" x14ac:dyDescent="0.25">
      <c r="A129" s="97" t="str">
        <f>'Data Vlaue (Cr)'!C124</f>
        <v>LTM</v>
      </c>
      <c r="B129" s="142">
        <f>VLOOKUP(A129,'Data Vlaue (Cr)'!C124:CW342,99,0)</f>
        <v>3269</v>
      </c>
      <c r="C129" s="90">
        <f>VLOOKUP(A129,'Data Vlaue (Cr)'!C124:CY342,101,0)</f>
        <v>11</v>
      </c>
      <c r="D129" s="139">
        <f>VLOOKUP(A129,'Data Vlaue (Cr)'!C124:CZ342,102,0)</f>
        <v>3.3999999999999998E-3</v>
      </c>
      <c r="E129" s="91">
        <f>VLOOKUP($A129,'Data Vlaue (Cr)'!$C:$FB,75)</f>
        <v>2349</v>
      </c>
      <c r="F129" s="91">
        <f>VLOOKUP($A129,'Data Vlaue (Cr)'!$C:$FB,77)</f>
        <v>35</v>
      </c>
      <c r="G129" s="92">
        <f>VLOOKUP(A129,'Data Vlaue (Cr)'!C124:CB342,78,0)</f>
        <v>1.5100000000000001E-2</v>
      </c>
      <c r="H129" s="91">
        <f>VLOOKUP($A129,'Data Vlaue (Cr)'!$C:$FB,91)</f>
        <v>492</v>
      </c>
      <c r="I129" s="91">
        <f>VLOOKUP($A129,'Data Vlaue (Cr)'!$C:$FB,93)</f>
        <v>-42</v>
      </c>
      <c r="J129" s="92">
        <f>VLOOKUP($A129,'Data Vlaue (Cr)'!$C:$FB,94)</f>
        <v>-7.85E-2</v>
      </c>
      <c r="K129" s="91">
        <f>VLOOKUP($A129,'Data Vlaue (Cr)'!$C:$FB,95)</f>
        <v>427</v>
      </c>
      <c r="L129" s="91">
        <f>VLOOKUP($A129,'Data Vlaue (Cr)'!$C:$FB,97)</f>
        <v>18</v>
      </c>
      <c r="M129" s="92">
        <f>VLOOKUP($A129,'Data Vlaue (Cr)'!$C:$FB,98)</f>
        <v>4.4200000000000003E-2</v>
      </c>
      <c r="N129" s="91">
        <f>VLOOKUP($A129,'Data Vlaue (Cr)'!$C:$FB,79)</f>
        <v>1926</v>
      </c>
      <c r="O129" s="92">
        <f>VLOOKUP($A129,'Data Vlaue (Cr)'!$C:$FB,82)</f>
        <v>-5.0000000000000001E-4</v>
      </c>
    </row>
    <row r="130" spans="1:15" x14ac:dyDescent="0.25">
      <c r="A130" s="97" t="str">
        <f>'Data Vlaue (Cr)'!C125</f>
        <v>LUPIN</v>
      </c>
      <c r="B130" s="142">
        <f>VLOOKUP(A130,'Data Vlaue (Cr)'!C125:CW343,99,0)</f>
        <v>2532</v>
      </c>
      <c r="C130" s="90">
        <f>VLOOKUP(A130,'Data Vlaue (Cr)'!C125:CY343,101,0)</f>
        <v>49</v>
      </c>
      <c r="D130" s="139">
        <f>VLOOKUP(A130,'Data Vlaue (Cr)'!C125:CZ343,102,0)</f>
        <v>1.9599999999999999E-2</v>
      </c>
      <c r="E130" s="91">
        <f>VLOOKUP($A130,'Data Vlaue (Cr)'!$C:$FB,75)</f>
        <v>1585</v>
      </c>
      <c r="F130" s="91">
        <f>VLOOKUP($A130,'Data Vlaue (Cr)'!$C:$FB,77)</f>
        <v>36</v>
      </c>
      <c r="G130" s="92">
        <f>VLOOKUP(A130,'Data Vlaue (Cr)'!C125:CB343,78,0)</f>
        <v>2.3300000000000001E-2</v>
      </c>
      <c r="H130" s="91">
        <f>VLOOKUP($A130,'Data Vlaue (Cr)'!$C:$FB,91)</f>
        <v>578</v>
      </c>
      <c r="I130" s="91">
        <f>VLOOKUP($A130,'Data Vlaue (Cr)'!$C:$FB,93)</f>
        <v>20</v>
      </c>
      <c r="J130" s="92">
        <f>VLOOKUP($A130,'Data Vlaue (Cr)'!$C:$FB,94)</f>
        <v>3.5999999999999997E-2</v>
      </c>
      <c r="K130" s="91">
        <f>VLOOKUP($A130,'Data Vlaue (Cr)'!$C:$FB,95)</f>
        <v>370</v>
      </c>
      <c r="L130" s="91">
        <f>VLOOKUP($A130,'Data Vlaue (Cr)'!$C:$FB,97)</f>
        <v>-8</v>
      </c>
      <c r="M130" s="92">
        <f>VLOOKUP($A130,'Data Vlaue (Cr)'!$C:$FB,98)</f>
        <v>-1.9900000000000001E-2</v>
      </c>
      <c r="N130" s="91">
        <f>VLOOKUP($A130,'Data Vlaue (Cr)'!$C:$FB,79)</f>
        <v>1518</v>
      </c>
      <c r="O130" s="92">
        <f>VLOOKUP($A130,'Data Vlaue (Cr)'!$C:$FB,82)</f>
        <v>1.9300000000000001E-2</v>
      </c>
    </row>
    <row r="131" spans="1:15" x14ac:dyDescent="0.25">
      <c r="A131" s="97" t="str">
        <f>'Data Vlaue (Cr)'!C126</f>
        <v>M&amp;M</v>
      </c>
      <c r="B131" s="142">
        <f>VLOOKUP(A131,'Data Vlaue (Cr)'!C126:CW344,99,0)</f>
        <v>9265</v>
      </c>
      <c r="C131" s="90">
        <f>VLOOKUP(A131,'Data Vlaue (Cr)'!C126:CY344,101,0)</f>
        <v>288</v>
      </c>
      <c r="D131" s="139">
        <f>VLOOKUP(A131,'Data Vlaue (Cr)'!C126:CZ344,102,0)</f>
        <v>3.2099999999999997E-2</v>
      </c>
      <c r="E131" s="91">
        <f>VLOOKUP($A131,'Data Vlaue (Cr)'!$C:$FB,75)</f>
        <v>6345</v>
      </c>
      <c r="F131" s="91">
        <f>VLOOKUP($A131,'Data Vlaue (Cr)'!$C:$FB,77)</f>
        <v>155</v>
      </c>
      <c r="G131" s="92">
        <f>VLOOKUP(A131,'Data Vlaue (Cr)'!C126:CB344,78,0)</f>
        <v>2.5100000000000001E-2</v>
      </c>
      <c r="H131" s="91">
        <f>VLOOKUP($A131,'Data Vlaue (Cr)'!$C:$FB,91)</f>
        <v>1771</v>
      </c>
      <c r="I131" s="91">
        <f>VLOOKUP($A131,'Data Vlaue (Cr)'!$C:$FB,93)</f>
        <v>123</v>
      </c>
      <c r="J131" s="92">
        <f>VLOOKUP($A131,'Data Vlaue (Cr)'!$C:$FB,94)</f>
        <v>7.4899999999999994E-2</v>
      </c>
      <c r="K131" s="91">
        <f>VLOOKUP($A131,'Data Vlaue (Cr)'!$C:$FB,95)</f>
        <v>1148</v>
      </c>
      <c r="L131" s="91">
        <f>VLOOKUP($A131,'Data Vlaue (Cr)'!$C:$FB,97)</f>
        <v>10</v>
      </c>
      <c r="M131" s="92">
        <f>VLOOKUP($A131,'Data Vlaue (Cr)'!$C:$FB,98)</f>
        <v>8.3999999999999995E-3</v>
      </c>
      <c r="N131" s="91">
        <f>VLOOKUP($A131,'Data Vlaue (Cr)'!$C:$FB,79)</f>
        <v>5000</v>
      </c>
      <c r="O131" s="92">
        <f>VLOOKUP($A131,'Data Vlaue (Cr)'!$C:$FB,82)</f>
        <v>2.3999999999999998E-3</v>
      </c>
    </row>
    <row r="132" spans="1:15" x14ac:dyDescent="0.25">
      <c r="A132" s="97" t="str">
        <f>'Data Vlaue (Cr)'!C127</f>
        <v>MANAPPURAM</v>
      </c>
      <c r="B132" s="142">
        <f>VLOOKUP(A132,'Data Vlaue (Cr)'!C127:CW345,99,0)</f>
        <v>2221</v>
      </c>
      <c r="C132" s="90">
        <f>VLOOKUP(A132,'Data Vlaue (Cr)'!C127:CY345,101,0)</f>
        <v>49</v>
      </c>
      <c r="D132" s="139">
        <f>VLOOKUP(A132,'Data Vlaue (Cr)'!C127:CZ345,102,0)</f>
        <v>2.2700000000000001E-2</v>
      </c>
      <c r="E132" s="91">
        <f>VLOOKUP($A132,'Data Vlaue (Cr)'!$C:$FB,75)</f>
        <v>1446</v>
      </c>
      <c r="F132" s="91">
        <f>VLOOKUP($A132,'Data Vlaue (Cr)'!$C:$FB,77)</f>
        <v>-6</v>
      </c>
      <c r="G132" s="92">
        <f>VLOOKUP(A132,'Data Vlaue (Cr)'!C127:CB345,78,0)</f>
        <v>-4.1000000000000003E-3</v>
      </c>
      <c r="H132" s="91">
        <f>VLOOKUP($A132,'Data Vlaue (Cr)'!$C:$FB,91)</f>
        <v>471</v>
      </c>
      <c r="I132" s="91">
        <f>VLOOKUP($A132,'Data Vlaue (Cr)'!$C:$FB,93)</f>
        <v>26</v>
      </c>
      <c r="J132" s="92">
        <f>VLOOKUP($A132,'Data Vlaue (Cr)'!$C:$FB,94)</f>
        <v>5.96E-2</v>
      </c>
      <c r="K132" s="91">
        <f>VLOOKUP($A132,'Data Vlaue (Cr)'!$C:$FB,95)</f>
        <v>305</v>
      </c>
      <c r="L132" s="91">
        <f>VLOOKUP($A132,'Data Vlaue (Cr)'!$C:$FB,97)</f>
        <v>29</v>
      </c>
      <c r="M132" s="92">
        <f>VLOOKUP($A132,'Data Vlaue (Cr)'!$C:$FB,98)</f>
        <v>0.1046</v>
      </c>
      <c r="N132" s="91">
        <f>VLOOKUP($A132,'Data Vlaue (Cr)'!$C:$FB,79)</f>
        <v>1397</v>
      </c>
      <c r="O132" s="92">
        <f>VLOOKUP($A132,'Data Vlaue (Cr)'!$C:$FB,82)</f>
        <v>-7.4999999999999997E-3</v>
      </c>
    </row>
    <row r="133" spans="1:15" x14ac:dyDescent="0.25">
      <c r="A133" s="97" t="str">
        <f>'Data Vlaue (Cr)'!C128</f>
        <v>MANKIND</v>
      </c>
      <c r="B133" s="142">
        <f>VLOOKUP(A133,'Data Vlaue (Cr)'!C128:CW346,99,0)</f>
        <v>846</v>
      </c>
      <c r="C133" s="90">
        <f>VLOOKUP(A133,'Data Vlaue (Cr)'!C128:CY346,101,0)</f>
        <v>10</v>
      </c>
      <c r="D133" s="139">
        <f>VLOOKUP(A133,'Data Vlaue (Cr)'!C128:CZ346,102,0)</f>
        <v>1.24E-2</v>
      </c>
      <c r="E133" s="91">
        <f>VLOOKUP($A133,'Data Vlaue (Cr)'!$C:$FB,75)</f>
        <v>618</v>
      </c>
      <c r="F133" s="91">
        <f>VLOOKUP($A133,'Data Vlaue (Cr)'!$C:$FB,77)</f>
        <v>0</v>
      </c>
      <c r="G133" s="92">
        <f>VLOOKUP(A133,'Data Vlaue (Cr)'!C128:CB346,78,0)</f>
        <v>6.9999999999999999E-4</v>
      </c>
      <c r="H133" s="91">
        <f>VLOOKUP($A133,'Data Vlaue (Cr)'!$C:$FB,91)</f>
        <v>171</v>
      </c>
      <c r="I133" s="91">
        <f>VLOOKUP($A133,'Data Vlaue (Cr)'!$C:$FB,93)</f>
        <v>10</v>
      </c>
      <c r="J133" s="92">
        <f>VLOOKUP($A133,'Data Vlaue (Cr)'!$C:$FB,94)</f>
        <v>5.9799999999999999E-2</v>
      </c>
      <c r="K133" s="91">
        <f>VLOOKUP($A133,'Data Vlaue (Cr)'!$C:$FB,95)</f>
        <v>57</v>
      </c>
      <c r="L133" s="91">
        <f>VLOOKUP($A133,'Data Vlaue (Cr)'!$C:$FB,97)</f>
        <v>0</v>
      </c>
      <c r="M133" s="92">
        <f>VLOOKUP($A133,'Data Vlaue (Cr)'!$C:$FB,98)</f>
        <v>5.1000000000000004E-3</v>
      </c>
      <c r="N133" s="91">
        <f>VLOOKUP($A133,'Data Vlaue (Cr)'!$C:$FB,79)</f>
        <v>577</v>
      </c>
      <c r="O133" s="92">
        <f>VLOOKUP($A133,'Data Vlaue (Cr)'!$C:$FB,82)</f>
        <v>-3.8E-3</v>
      </c>
    </row>
    <row r="134" spans="1:15" x14ac:dyDescent="0.25">
      <c r="A134" s="97" t="str">
        <f>'Data Vlaue (Cr)'!C129</f>
        <v>MARICO</v>
      </c>
      <c r="B134" s="142">
        <f>VLOOKUP(A134,'Data Vlaue (Cr)'!C129:CW347,99,0)</f>
        <v>2541</v>
      </c>
      <c r="C134" s="90">
        <f>VLOOKUP(A134,'Data Vlaue (Cr)'!C129:CY347,101,0)</f>
        <v>-7</v>
      </c>
      <c r="D134" s="139">
        <f>VLOOKUP(A134,'Data Vlaue (Cr)'!C129:CZ347,102,0)</f>
        <v>-2.5999999999999999E-3</v>
      </c>
      <c r="E134" s="91">
        <f>VLOOKUP($A134,'Data Vlaue (Cr)'!$C:$FB,75)</f>
        <v>1879</v>
      </c>
      <c r="F134" s="91">
        <f>VLOOKUP($A134,'Data Vlaue (Cr)'!$C:$FB,77)</f>
        <v>-15</v>
      </c>
      <c r="G134" s="92">
        <f>VLOOKUP(A134,'Data Vlaue (Cr)'!C129:CB347,78,0)</f>
        <v>-7.7999999999999996E-3</v>
      </c>
      <c r="H134" s="91">
        <f>VLOOKUP($A134,'Data Vlaue (Cr)'!$C:$FB,91)</f>
        <v>357</v>
      </c>
      <c r="I134" s="91">
        <f>VLOOKUP($A134,'Data Vlaue (Cr)'!$C:$FB,93)</f>
        <v>9</v>
      </c>
      <c r="J134" s="92">
        <f>VLOOKUP($A134,'Data Vlaue (Cr)'!$C:$FB,94)</f>
        <v>2.7300000000000001E-2</v>
      </c>
      <c r="K134" s="91">
        <f>VLOOKUP($A134,'Data Vlaue (Cr)'!$C:$FB,95)</f>
        <v>305</v>
      </c>
      <c r="L134" s="91">
        <f>VLOOKUP($A134,'Data Vlaue (Cr)'!$C:$FB,97)</f>
        <v>-1</v>
      </c>
      <c r="M134" s="92">
        <f>VLOOKUP($A134,'Data Vlaue (Cr)'!$C:$FB,98)</f>
        <v>-4.1999999999999997E-3</v>
      </c>
      <c r="N134" s="91">
        <f>VLOOKUP($A134,'Data Vlaue (Cr)'!$C:$FB,79)</f>
        <v>1766</v>
      </c>
      <c r="O134" s="92">
        <f>VLOOKUP($A134,'Data Vlaue (Cr)'!$C:$FB,82)</f>
        <v>-5.8700000000000002E-2</v>
      </c>
    </row>
    <row r="135" spans="1:15" x14ac:dyDescent="0.25">
      <c r="A135" s="97" t="str">
        <f>'Data Vlaue (Cr)'!C130</f>
        <v>MARUTI</v>
      </c>
      <c r="B135" s="142">
        <f>VLOOKUP(A135,'Data Vlaue (Cr)'!C130:CW348,99,0)</f>
        <v>9231</v>
      </c>
      <c r="C135" s="90">
        <f>VLOOKUP(A135,'Data Vlaue (Cr)'!C130:CY348,101,0)</f>
        <v>153</v>
      </c>
      <c r="D135" s="139">
        <f>VLOOKUP(A135,'Data Vlaue (Cr)'!C130:CZ348,102,0)</f>
        <v>1.6799999999999999E-2</v>
      </c>
      <c r="E135" s="91">
        <f>VLOOKUP($A135,'Data Vlaue (Cr)'!$C:$FB,75)</f>
        <v>4713</v>
      </c>
      <c r="F135" s="91">
        <f>VLOOKUP($A135,'Data Vlaue (Cr)'!$C:$FB,77)</f>
        <v>27</v>
      </c>
      <c r="G135" s="92">
        <f>VLOOKUP(A135,'Data Vlaue (Cr)'!C130:CB348,78,0)</f>
        <v>5.7000000000000002E-3</v>
      </c>
      <c r="H135" s="91">
        <f>VLOOKUP($A135,'Data Vlaue (Cr)'!$C:$FB,91)</f>
        <v>2837</v>
      </c>
      <c r="I135" s="91">
        <f>VLOOKUP($A135,'Data Vlaue (Cr)'!$C:$FB,93)</f>
        <v>25</v>
      </c>
      <c r="J135" s="92">
        <f>VLOOKUP($A135,'Data Vlaue (Cr)'!$C:$FB,94)</f>
        <v>8.9999999999999993E-3</v>
      </c>
      <c r="K135" s="91">
        <f>VLOOKUP($A135,'Data Vlaue (Cr)'!$C:$FB,95)</f>
        <v>1681</v>
      </c>
      <c r="L135" s="91">
        <f>VLOOKUP($A135,'Data Vlaue (Cr)'!$C:$FB,97)</f>
        <v>101</v>
      </c>
      <c r="M135" s="92">
        <f>VLOOKUP($A135,'Data Vlaue (Cr)'!$C:$FB,98)</f>
        <v>6.3700000000000007E-2</v>
      </c>
      <c r="N135" s="91">
        <f>VLOOKUP($A135,'Data Vlaue (Cr)'!$C:$FB,79)</f>
        <v>3997</v>
      </c>
      <c r="O135" s="92">
        <f>VLOOKUP($A135,'Data Vlaue (Cr)'!$C:$FB,82)</f>
        <v>-5.0000000000000001E-3</v>
      </c>
    </row>
    <row r="136" spans="1:15" x14ac:dyDescent="0.25">
      <c r="A136" s="97" t="str">
        <f>'Data Vlaue (Cr)'!C131</f>
        <v>MAXHEALTH</v>
      </c>
      <c r="B136" s="142">
        <f>VLOOKUP(A136,'Data Vlaue (Cr)'!C131:CW349,99,0)</f>
        <v>2152</v>
      </c>
      <c r="C136" s="90">
        <f>VLOOKUP(A136,'Data Vlaue (Cr)'!C131:CY349,101,0)</f>
        <v>54</v>
      </c>
      <c r="D136" s="139">
        <f>VLOOKUP(A136,'Data Vlaue (Cr)'!C131:CZ349,102,0)</f>
        <v>2.5499999999999998E-2</v>
      </c>
      <c r="E136" s="91">
        <f>VLOOKUP($A136,'Data Vlaue (Cr)'!$C:$FB,75)</f>
        <v>1465</v>
      </c>
      <c r="F136" s="91">
        <f>VLOOKUP($A136,'Data Vlaue (Cr)'!$C:$FB,77)</f>
        <v>-40</v>
      </c>
      <c r="G136" s="92">
        <f>VLOOKUP(A136,'Data Vlaue (Cr)'!C131:CB349,78,0)</f>
        <v>-2.6800000000000001E-2</v>
      </c>
      <c r="H136" s="91">
        <f>VLOOKUP($A136,'Data Vlaue (Cr)'!$C:$FB,91)</f>
        <v>441</v>
      </c>
      <c r="I136" s="91">
        <f>VLOOKUP($A136,'Data Vlaue (Cr)'!$C:$FB,93)</f>
        <v>82</v>
      </c>
      <c r="J136" s="92">
        <f>VLOOKUP($A136,'Data Vlaue (Cr)'!$C:$FB,94)</f>
        <v>0.2291</v>
      </c>
      <c r="K136" s="91">
        <f>VLOOKUP($A136,'Data Vlaue (Cr)'!$C:$FB,95)</f>
        <v>246</v>
      </c>
      <c r="L136" s="91">
        <f>VLOOKUP($A136,'Data Vlaue (Cr)'!$C:$FB,97)</f>
        <v>12</v>
      </c>
      <c r="M136" s="92">
        <f>VLOOKUP($A136,'Data Vlaue (Cr)'!$C:$FB,98)</f>
        <v>4.99E-2</v>
      </c>
      <c r="N136" s="91">
        <f>VLOOKUP($A136,'Data Vlaue (Cr)'!$C:$FB,79)</f>
        <v>1383</v>
      </c>
      <c r="O136" s="92">
        <f>VLOOKUP($A136,'Data Vlaue (Cr)'!$C:$FB,82)</f>
        <v>-2.9000000000000001E-2</v>
      </c>
    </row>
    <row r="137" spans="1:15" x14ac:dyDescent="0.25">
      <c r="A137" s="97" t="str">
        <f>'Data Vlaue (Cr)'!C132</f>
        <v>MAZDOCK</v>
      </c>
      <c r="B137" s="142">
        <f>VLOOKUP(A137,'Data Vlaue (Cr)'!C132:CW350,99,0)</f>
        <v>2890</v>
      </c>
      <c r="C137" s="90">
        <f>VLOOKUP(A137,'Data Vlaue (Cr)'!C132:CY350,101,0)</f>
        <v>233</v>
      </c>
      <c r="D137" s="139">
        <f>VLOOKUP(A137,'Data Vlaue (Cr)'!C132:CZ350,102,0)</f>
        <v>8.7599999999999997E-2</v>
      </c>
      <c r="E137" s="91">
        <f>VLOOKUP($A137,'Data Vlaue (Cr)'!$C:$FB,75)</f>
        <v>1268</v>
      </c>
      <c r="F137" s="91">
        <f>VLOOKUP($A137,'Data Vlaue (Cr)'!$C:$FB,77)</f>
        <v>22</v>
      </c>
      <c r="G137" s="92">
        <f>VLOOKUP(A137,'Data Vlaue (Cr)'!C132:CB350,78,0)</f>
        <v>1.7399999999999999E-2</v>
      </c>
      <c r="H137" s="91">
        <f>VLOOKUP($A137,'Data Vlaue (Cr)'!$C:$FB,91)</f>
        <v>936</v>
      </c>
      <c r="I137" s="91">
        <f>VLOOKUP($A137,'Data Vlaue (Cr)'!$C:$FB,93)</f>
        <v>145</v>
      </c>
      <c r="J137" s="92">
        <f>VLOOKUP($A137,'Data Vlaue (Cr)'!$C:$FB,94)</f>
        <v>0.1837</v>
      </c>
      <c r="K137" s="91">
        <f>VLOOKUP($A137,'Data Vlaue (Cr)'!$C:$FB,95)</f>
        <v>686</v>
      </c>
      <c r="L137" s="91">
        <f>VLOOKUP($A137,'Data Vlaue (Cr)'!$C:$FB,97)</f>
        <v>66</v>
      </c>
      <c r="M137" s="92">
        <f>VLOOKUP($A137,'Data Vlaue (Cr)'!$C:$FB,98)</f>
        <v>0.1062</v>
      </c>
      <c r="N137" s="91">
        <f>VLOOKUP($A137,'Data Vlaue (Cr)'!$C:$FB,79)</f>
        <v>1156</v>
      </c>
      <c r="O137" s="92">
        <f>VLOOKUP($A137,'Data Vlaue (Cr)'!$C:$FB,82)</f>
        <v>-7.7000000000000002E-3</v>
      </c>
    </row>
    <row r="138" spans="1:15" x14ac:dyDescent="0.25">
      <c r="A138" s="97" t="str">
        <f>'Data Vlaue (Cr)'!C133</f>
        <v>MCX</v>
      </c>
      <c r="B138" s="142">
        <f>VLOOKUP(A138,'Data Vlaue (Cr)'!C133:CW351,99,0)</f>
        <v>8544</v>
      </c>
      <c r="C138" s="90">
        <f>VLOOKUP(A138,'Data Vlaue (Cr)'!C133:CY351,101,0)</f>
        <v>107</v>
      </c>
      <c r="D138" s="139">
        <f>VLOOKUP(A138,'Data Vlaue (Cr)'!C133:CZ351,102,0)</f>
        <v>1.2699999999999999E-2</v>
      </c>
      <c r="E138" s="91">
        <f>VLOOKUP($A138,'Data Vlaue (Cr)'!$C:$FB,75)</f>
        <v>3755</v>
      </c>
      <c r="F138" s="91">
        <f>VLOOKUP($A138,'Data Vlaue (Cr)'!$C:$FB,77)</f>
        <v>-47</v>
      </c>
      <c r="G138" s="92">
        <f>VLOOKUP(A138,'Data Vlaue (Cr)'!C133:CB351,78,0)</f>
        <v>-1.24E-2</v>
      </c>
      <c r="H138" s="91">
        <f>VLOOKUP($A138,'Data Vlaue (Cr)'!$C:$FB,91)</f>
        <v>2508</v>
      </c>
      <c r="I138" s="91">
        <f>VLOOKUP($A138,'Data Vlaue (Cr)'!$C:$FB,93)</f>
        <v>127</v>
      </c>
      <c r="J138" s="92">
        <f>VLOOKUP($A138,'Data Vlaue (Cr)'!$C:$FB,94)</f>
        <v>5.33E-2</v>
      </c>
      <c r="K138" s="91">
        <f>VLOOKUP($A138,'Data Vlaue (Cr)'!$C:$FB,95)</f>
        <v>2281</v>
      </c>
      <c r="L138" s="91">
        <f>VLOOKUP($A138,'Data Vlaue (Cr)'!$C:$FB,97)</f>
        <v>27</v>
      </c>
      <c r="M138" s="92">
        <f>VLOOKUP($A138,'Data Vlaue (Cr)'!$C:$FB,98)</f>
        <v>1.2E-2</v>
      </c>
      <c r="N138" s="91">
        <f>VLOOKUP($A138,'Data Vlaue (Cr)'!$C:$FB,79)</f>
        <v>3588</v>
      </c>
      <c r="O138" s="92">
        <f>VLOOKUP($A138,'Data Vlaue (Cr)'!$C:$FB,82)</f>
        <v>-1.9E-2</v>
      </c>
    </row>
    <row r="139" spans="1:15" x14ac:dyDescent="0.25">
      <c r="A139" s="97" t="str">
        <f>'Data Vlaue (Cr)'!C134</f>
        <v>MFSL</v>
      </c>
      <c r="B139" s="142">
        <f>VLOOKUP(A139,'Data Vlaue (Cr)'!C134:CW352,99,0)</f>
        <v>1880</v>
      </c>
      <c r="C139" s="90">
        <f>VLOOKUP(A139,'Data Vlaue (Cr)'!C134:CY352,101,0)</f>
        <v>-38</v>
      </c>
      <c r="D139" s="139">
        <f>VLOOKUP(A139,'Data Vlaue (Cr)'!C134:CZ352,102,0)</f>
        <v>-0.02</v>
      </c>
      <c r="E139" s="91">
        <f>VLOOKUP($A139,'Data Vlaue (Cr)'!$C:$FB,75)</f>
        <v>1607</v>
      </c>
      <c r="F139" s="91">
        <f>VLOOKUP($A139,'Data Vlaue (Cr)'!$C:$FB,77)</f>
        <v>-52</v>
      </c>
      <c r="G139" s="92">
        <f>VLOOKUP(A139,'Data Vlaue (Cr)'!C134:CB352,78,0)</f>
        <v>-3.1600000000000003E-2</v>
      </c>
      <c r="H139" s="91">
        <f>VLOOKUP($A139,'Data Vlaue (Cr)'!$C:$FB,91)</f>
        <v>169</v>
      </c>
      <c r="I139" s="91">
        <f>VLOOKUP($A139,'Data Vlaue (Cr)'!$C:$FB,93)</f>
        <v>11</v>
      </c>
      <c r="J139" s="92">
        <f>VLOOKUP($A139,'Data Vlaue (Cr)'!$C:$FB,94)</f>
        <v>7.1199999999999999E-2</v>
      </c>
      <c r="K139" s="91">
        <f>VLOOKUP($A139,'Data Vlaue (Cr)'!$C:$FB,95)</f>
        <v>103</v>
      </c>
      <c r="L139" s="91">
        <f>VLOOKUP($A139,'Data Vlaue (Cr)'!$C:$FB,97)</f>
        <v>3</v>
      </c>
      <c r="M139" s="92">
        <f>VLOOKUP($A139,'Data Vlaue (Cr)'!$C:$FB,98)</f>
        <v>2.81E-2</v>
      </c>
      <c r="N139" s="91">
        <f>VLOOKUP($A139,'Data Vlaue (Cr)'!$C:$FB,79)</f>
        <v>1601</v>
      </c>
      <c r="O139" s="92">
        <f>VLOOKUP($A139,'Data Vlaue (Cr)'!$C:$FB,82)</f>
        <v>-3.1699999999999999E-2</v>
      </c>
    </row>
    <row r="140" spans="1:15" x14ac:dyDescent="0.25">
      <c r="A140" s="97" t="str">
        <f>'Data Vlaue (Cr)'!C135</f>
        <v>MIDCPNIFTY</v>
      </c>
      <c r="B140" s="142">
        <f>VLOOKUP(A140,'Data Vlaue (Cr)'!C135:CW353,99,0)</f>
        <v>21736</v>
      </c>
      <c r="C140" s="90">
        <f>VLOOKUP(A140,'Data Vlaue (Cr)'!C135:CY353,101,0)</f>
        <v>2818</v>
      </c>
      <c r="D140" s="139">
        <f>VLOOKUP(A140,'Data Vlaue (Cr)'!C135:CZ353,102,0)</f>
        <v>0.14899999999999999</v>
      </c>
      <c r="E140" s="91">
        <f>VLOOKUP($A140,'Data Vlaue (Cr)'!$C:$FB,75)</f>
        <v>3477</v>
      </c>
      <c r="F140" s="91">
        <f>VLOOKUP($A140,'Data Vlaue (Cr)'!$C:$FB,77)</f>
        <v>-103</v>
      </c>
      <c r="G140" s="92">
        <f>VLOOKUP(A140,'Data Vlaue (Cr)'!C135:CB353,78,0)</f>
        <v>-2.87E-2</v>
      </c>
      <c r="H140" s="91">
        <f>VLOOKUP($A140,'Data Vlaue (Cr)'!$C:$FB,91)</f>
        <v>8247</v>
      </c>
      <c r="I140" s="91">
        <f>VLOOKUP($A140,'Data Vlaue (Cr)'!$C:$FB,93)</f>
        <v>1488</v>
      </c>
      <c r="J140" s="92">
        <f>VLOOKUP($A140,'Data Vlaue (Cr)'!$C:$FB,94)</f>
        <v>0.22009999999999999</v>
      </c>
      <c r="K140" s="91">
        <f>VLOOKUP($A140,'Data Vlaue (Cr)'!$C:$FB,95)</f>
        <v>10012</v>
      </c>
      <c r="L140" s="91">
        <f>VLOOKUP($A140,'Data Vlaue (Cr)'!$C:$FB,97)</f>
        <v>1434</v>
      </c>
      <c r="M140" s="92">
        <f>VLOOKUP($A140,'Data Vlaue (Cr)'!$C:$FB,98)</f>
        <v>0.1671</v>
      </c>
      <c r="N140" s="91">
        <f>VLOOKUP($A140,'Data Vlaue (Cr)'!$C:$FB,79)</f>
        <v>3298</v>
      </c>
      <c r="O140" s="92">
        <f>VLOOKUP($A140,'Data Vlaue (Cr)'!$C:$FB,82)</f>
        <v>-3.15E-2</v>
      </c>
    </row>
    <row r="141" spans="1:15" x14ac:dyDescent="0.25">
      <c r="A141" s="97" t="str">
        <f>'Data Vlaue (Cr)'!C136</f>
        <v>MOTHERSON</v>
      </c>
      <c r="B141" s="142">
        <f>VLOOKUP(A141,'Data Vlaue (Cr)'!C136:CW354,99,0)</f>
        <v>2556</v>
      </c>
      <c r="C141" s="90">
        <f>VLOOKUP(A141,'Data Vlaue (Cr)'!C136:CY354,101,0)</f>
        <v>-62</v>
      </c>
      <c r="D141" s="139">
        <f>VLOOKUP(A141,'Data Vlaue (Cr)'!C136:CZ354,102,0)</f>
        <v>-2.3599999999999999E-2</v>
      </c>
      <c r="E141" s="91">
        <f>VLOOKUP($A141,'Data Vlaue (Cr)'!$C:$FB,75)</f>
        <v>1649</v>
      </c>
      <c r="F141" s="91">
        <f>VLOOKUP($A141,'Data Vlaue (Cr)'!$C:$FB,77)</f>
        <v>-30</v>
      </c>
      <c r="G141" s="92">
        <f>VLOOKUP(A141,'Data Vlaue (Cr)'!C136:CB354,78,0)</f>
        <v>-1.7600000000000001E-2</v>
      </c>
      <c r="H141" s="91">
        <f>VLOOKUP($A141,'Data Vlaue (Cr)'!$C:$FB,91)</f>
        <v>481</v>
      </c>
      <c r="I141" s="91">
        <f>VLOOKUP($A141,'Data Vlaue (Cr)'!$C:$FB,93)</f>
        <v>9</v>
      </c>
      <c r="J141" s="92">
        <f>VLOOKUP($A141,'Data Vlaue (Cr)'!$C:$FB,94)</f>
        <v>1.8100000000000002E-2</v>
      </c>
      <c r="K141" s="91">
        <f>VLOOKUP($A141,'Data Vlaue (Cr)'!$C:$FB,95)</f>
        <v>426</v>
      </c>
      <c r="L141" s="91">
        <f>VLOOKUP($A141,'Data Vlaue (Cr)'!$C:$FB,97)</f>
        <v>-41</v>
      </c>
      <c r="M141" s="92">
        <f>VLOOKUP($A141,'Data Vlaue (Cr)'!$C:$FB,98)</f>
        <v>-8.72E-2</v>
      </c>
      <c r="N141" s="91">
        <f>VLOOKUP($A141,'Data Vlaue (Cr)'!$C:$FB,79)</f>
        <v>1501</v>
      </c>
      <c r="O141" s="92">
        <f>VLOOKUP($A141,'Data Vlaue (Cr)'!$C:$FB,82)</f>
        <v>-7.9100000000000004E-2</v>
      </c>
    </row>
    <row r="142" spans="1:15" x14ac:dyDescent="0.25">
      <c r="A142" s="97" t="str">
        <f>'Data Vlaue (Cr)'!C137</f>
        <v>MOTILALOFS</v>
      </c>
      <c r="B142" s="142">
        <f>VLOOKUP(A142,'Data Vlaue (Cr)'!C137:CW355,99,0)</f>
        <v>464</v>
      </c>
      <c r="C142" s="90">
        <f>VLOOKUP(A142,'Data Vlaue (Cr)'!C137:CY355,101,0)</f>
        <v>113</v>
      </c>
      <c r="D142" s="139">
        <f>VLOOKUP(A142,'Data Vlaue (Cr)'!C137:CZ355,102,0)</f>
        <v>0.32019999999999998</v>
      </c>
      <c r="E142" s="91">
        <f>VLOOKUP($A142,'Data Vlaue (Cr)'!$C:$FB,75)</f>
        <v>234</v>
      </c>
      <c r="F142" s="91">
        <f>VLOOKUP($A142,'Data Vlaue (Cr)'!$C:$FB,77)</f>
        <v>65</v>
      </c>
      <c r="G142" s="92">
        <f>VLOOKUP(A142,'Data Vlaue (Cr)'!C137:CB355,78,0)</f>
        <v>0.38059999999999999</v>
      </c>
      <c r="H142" s="91">
        <f>VLOOKUP($A142,'Data Vlaue (Cr)'!$C:$FB,91)</f>
        <v>129</v>
      </c>
      <c r="I142" s="91">
        <f>VLOOKUP($A142,'Data Vlaue (Cr)'!$C:$FB,93)</f>
        <v>31</v>
      </c>
      <c r="J142" s="92">
        <f>VLOOKUP($A142,'Data Vlaue (Cr)'!$C:$FB,94)</f>
        <v>0.31590000000000001</v>
      </c>
      <c r="K142" s="91">
        <f>VLOOKUP($A142,'Data Vlaue (Cr)'!$C:$FB,95)</f>
        <v>101</v>
      </c>
      <c r="L142" s="91">
        <f>VLOOKUP($A142,'Data Vlaue (Cr)'!$C:$FB,97)</f>
        <v>17</v>
      </c>
      <c r="M142" s="92">
        <f>VLOOKUP($A142,'Data Vlaue (Cr)'!$C:$FB,98)</f>
        <v>0.20319999999999999</v>
      </c>
      <c r="N142" s="91">
        <f>VLOOKUP($A142,'Data Vlaue (Cr)'!$C:$FB,79)</f>
        <v>225</v>
      </c>
      <c r="O142" s="92">
        <f>VLOOKUP($A142,'Data Vlaue (Cr)'!$C:$FB,82)</f>
        <v>0.38440000000000002</v>
      </c>
    </row>
    <row r="143" spans="1:15" x14ac:dyDescent="0.25">
      <c r="A143" s="97" t="str">
        <f>'Data Vlaue (Cr)'!C138</f>
        <v>MPHASIS</v>
      </c>
      <c r="B143" s="142">
        <f>VLOOKUP(A143,'Data Vlaue (Cr)'!C138:CW356,99,0)</f>
        <v>1687</v>
      </c>
      <c r="C143" s="90">
        <f>VLOOKUP(A143,'Data Vlaue (Cr)'!C138:CY356,101,0)</f>
        <v>-55</v>
      </c>
      <c r="D143" s="139">
        <f>VLOOKUP(A143,'Data Vlaue (Cr)'!C138:CZ356,102,0)</f>
        <v>-3.1600000000000003E-2</v>
      </c>
      <c r="E143" s="91">
        <f>VLOOKUP($A143,'Data Vlaue (Cr)'!$C:$FB,75)</f>
        <v>1165</v>
      </c>
      <c r="F143" s="91">
        <f>VLOOKUP($A143,'Data Vlaue (Cr)'!$C:$FB,77)</f>
        <v>-27</v>
      </c>
      <c r="G143" s="92">
        <f>VLOOKUP(A143,'Data Vlaue (Cr)'!C138:CB356,78,0)</f>
        <v>-2.29E-2</v>
      </c>
      <c r="H143" s="91">
        <f>VLOOKUP($A143,'Data Vlaue (Cr)'!$C:$FB,91)</f>
        <v>293</v>
      </c>
      <c r="I143" s="91">
        <f>VLOOKUP($A143,'Data Vlaue (Cr)'!$C:$FB,93)</f>
        <v>-15</v>
      </c>
      <c r="J143" s="92">
        <f>VLOOKUP($A143,'Data Vlaue (Cr)'!$C:$FB,94)</f>
        <v>-4.7699999999999999E-2</v>
      </c>
      <c r="K143" s="91">
        <f>VLOOKUP($A143,'Data Vlaue (Cr)'!$C:$FB,95)</f>
        <v>228</v>
      </c>
      <c r="L143" s="91">
        <f>VLOOKUP($A143,'Data Vlaue (Cr)'!$C:$FB,97)</f>
        <v>-13</v>
      </c>
      <c r="M143" s="92">
        <f>VLOOKUP($A143,'Data Vlaue (Cr)'!$C:$FB,98)</f>
        <v>-5.3800000000000001E-2</v>
      </c>
      <c r="N143" s="91">
        <f>VLOOKUP($A143,'Data Vlaue (Cr)'!$C:$FB,79)</f>
        <v>1100</v>
      </c>
      <c r="O143" s="92">
        <f>VLOOKUP($A143,'Data Vlaue (Cr)'!$C:$FB,82)</f>
        <v>-2.4400000000000002E-2</v>
      </c>
    </row>
    <row r="144" spans="1:15" x14ac:dyDescent="0.25">
      <c r="A144" s="97" t="str">
        <f>'Data Vlaue (Cr)'!C139</f>
        <v>MUTHOOTFIN</v>
      </c>
      <c r="B144" s="142">
        <f>VLOOKUP(A144,'Data Vlaue (Cr)'!C139:CW357,99,0)</f>
        <v>2752</v>
      </c>
      <c r="C144" s="90">
        <f>VLOOKUP(A144,'Data Vlaue (Cr)'!C139:CY357,101,0)</f>
        <v>74</v>
      </c>
      <c r="D144" s="139">
        <f>VLOOKUP(A144,'Data Vlaue (Cr)'!C139:CZ357,102,0)</f>
        <v>2.7699999999999999E-2</v>
      </c>
      <c r="E144" s="91">
        <f>VLOOKUP($A144,'Data Vlaue (Cr)'!$C:$FB,75)</f>
        <v>1396</v>
      </c>
      <c r="F144" s="91">
        <f>VLOOKUP($A144,'Data Vlaue (Cr)'!$C:$FB,77)</f>
        <v>25</v>
      </c>
      <c r="G144" s="92">
        <f>VLOOKUP(A144,'Data Vlaue (Cr)'!C139:CB357,78,0)</f>
        <v>1.8599999999999998E-2</v>
      </c>
      <c r="H144" s="91">
        <f>VLOOKUP($A144,'Data Vlaue (Cr)'!$C:$FB,91)</f>
        <v>843</v>
      </c>
      <c r="I144" s="91">
        <f>VLOOKUP($A144,'Data Vlaue (Cr)'!$C:$FB,93)</f>
        <v>61</v>
      </c>
      <c r="J144" s="92">
        <f>VLOOKUP($A144,'Data Vlaue (Cr)'!$C:$FB,94)</f>
        <v>7.7600000000000002E-2</v>
      </c>
      <c r="K144" s="91">
        <f>VLOOKUP($A144,'Data Vlaue (Cr)'!$C:$FB,95)</f>
        <v>514</v>
      </c>
      <c r="L144" s="91">
        <f>VLOOKUP($A144,'Data Vlaue (Cr)'!$C:$FB,97)</f>
        <v>-12</v>
      </c>
      <c r="M144" s="92">
        <f>VLOOKUP($A144,'Data Vlaue (Cr)'!$C:$FB,98)</f>
        <v>-2.3E-2</v>
      </c>
      <c r="N144" s="91">
        <f>VLOOKUP($A144,'Data Vlaue (Cr)'!$C:$FB,79)</f>
        <v>1313</v>
      </c>
      <c r="O144" s="92">
        <f>VLOOKUP($A144,'Data Vlaue (Cr)'!$C:$FB,82)</f>
        <v>3.8E-3</v>
      </c>
    </row>
    <row r="145" spans="1:15" x14ac:dyDescent="0.25">
      <c r="A145" s="97" t="str">
        <f>'Data Vlaue (Cr)'!C140</f>
        <v>NAM-INDIA</v>
      </c>
      <c r="B145" s="142">
        <f>VLOOKUP(A145,'Data Vlaue (Cr)'!C140:CW358,99,0)</f>
        <v>444</v>
      </c>
      <c r="C145" s="90">
        <f>VLOOKUP(A145,'Data Vlaue (Cr)'!C140:CY358,101,0)</f>
        <v>70</v>
      </c>
      <c r="D145" s="139">
        <f>VLOOKUP(A145,'Data Vlaue (Cr)'!C140:CZ358,102,0)</f>
        <v>0.186</v>
      </c>
      <c r="E145" s="91">
        <f>VLOOKUP($A145,'Data Vlaue (Cr)'!$C:$FB,75)</f>
        <v>319</v>
      </c>
      <c r="F145" s="91">
        <f>VLOOKUP($A145,'Data Vlaue (Cr)'!$C:$FB,77)</f>
        <v>65</v>
      </c>
      <c r="G145" s="92">
        <f>VLOOKUP(A145,'Data Vlaue (Cr)'!C140:CB358,78,0)</f>
        <v>0.2555</v>
      </c>
      <c r="H145" s="91">
        <f>VLOOKUP($A145,'Data Vlaue (Cr)'!$C:$FB,91)</f>
        <v>73</v>
      </c>
      <c r="I145" s="91">
        <f>VLOOKUP($A145,'Data Vlaue (Cr)'!$C:$FB,93)</f>
        <v>-4</v>
      </c>
      <c r="J145" s="92">
        <f>VLOOKUP($A145,'Data Vlaue (Cr)'!$C:$FB,94)</f>
        <v>-4.7300000000000002E-2</v>
      </c>
      <c r="K145" s="91">
        <f>VLOOKUP($A145,'Data Vlaue (Cr)'!$C:$FB,95)</f>
        <v>53</v>
      </c>
      <c r="L145" s="91">
        <f>VLOOKUP($A145,'Data Vlaue (Cr)'!$C:$FB,97)</f>
        <v>9</v>
      </c>
      <c r="M145" s="92">
        <f>VLOOKUP($A145,'Data Vlaue (Cr)'!$C:$FB,98)</f>
        <v>0.1913</v>
      </c>
      <c r="N145" s="91">
        <f>VLOOKUP($A145,'Data Vlaue (Cr)'!$C:$FB,79)</f>
        <v>291</v>
      </c>
      <c r="O145" s="92">
        <f>VLOOKUP($A145,'Data Vlaue (Cr)'!$C:$FB,82)</f>
        <v>0.21440000000000001</v>
      </c>
    </row>
    <row r="146" spans="1:15" x14ac:dyDescent="0.25">
      <c r="A146" s="97" t="str">
        <f>'Data Vlaue (Cr)'!C141</f>
        <v>NATIONALUM</v>
      </c>
      <c r="B146" s="142">
        <f>VLOOKUP(A146,'Data Vlaue (Cr)'!C141:CW359,99,0)</f>
        <v>5363</v>
      </c>
      <c r="C146" s="90">
        <f>VLOOKUP(A146,'Data Vlaue (Cr)'!C141:CY359,101,0)</f>
        <v>-37</v>
      </c>
      <c r="D146" s="139">
        <f>VLOOKUP(A146,'Data Vlaue (Cr)'!C141:CZ359,102,0)</f>
        <v>-6.7999999999999996E-3</v>
      </c>
      <c r="E146" s="91">
        <f>VLOOKUP($A146,'Data Vlaue (Cr)'!$C:$FB,75)</f>
        <v>2374</v>
      </c>
      <c r="F146" s="91">
        <f>VLOOKUP($A146,'Data Vlaue (Cr)'!$C:$FB,77)</f>
        <v>-2</v>
      </c>
      <c r="G146" s="92">
        <f>VLOOKUP(A146,'Data Vlaue (Cr)'!C141:CB359,78,0)</f>
        <v>-8.9999999999999998E-4</v>
      </c>
      <c r="H146" s="91">
        <f>VLOOKUP($A146,'Data Vlaue (Cr)'!$C:$FB,91)</f>
        <v>1496</v>
      </c>
      <c r="I146" s="91">
        <f>VLOOKUP($A146,'Data Vlaue (Cr)'!$C:$FB,93)</f>
        <v>-73</v>
      </c>
      <c r="J146" s="92">
        <f>VLOOKUP($A146,'Data Vlaue (Cr)'!$C:$FB,94)</f>
        <v>-4.65E-2</v>
      </c>
      <c r="K146" s="91">
        <f>VLOOKUP($A146,'Data Vlaue (Cr)'!$C:$FB,95)</f>
        <v>1493</v>
      </c>
      <c r="L146" s="91">
        <f>VLOOKUP($A146,'Data Vlaue (Cr)'!$C:$FB,97)</f>
        <v>38</v>
      </c>
      <c r="M146" s="92">
        <f>VLOOKUP($A146,'Data Vlaue (Cr)'!$C:$FB,98)</f>
        <v>2.6499999999999999E-2</v>
      </c>
      <c r="N146" s="91">
        <f>VLOOKUP($A146,'Data Vlaue (Cr)'!$C:$FB,79)</f>
        <v>2243</v>
      </c>
      <c r="O146" s="92">
        <f>VLOOKUP($A146,'Data Vlaue (Cr)'!$C:$FB,82)</f>
        <v>-3.3999999999999998E-3</v>
      </c>
    </row>
    <row r="147" spans="1:15" x14ac:dyDescent="0.25">
      <c r="A147" s="97" t="str">
        <f>'Data Vlaue (Cr)'!C142</f>
        <v>NAUKRI</v>
      </c>
      <c r="B147" s="142">
        <f>VLOOKUP(A147,'Data Vlaue (Cr)'!C142:CW360,99,0)</f>
        <v>1522</v>
      </c>
      <c r="C147" s="90">
        <f>VLOOKUP(A147,'Data Vlaue (Cr)'!C142:CY360,101,0)</f>
        <v>10</v>
      </c>
      <c r="D147" s="139">
        <f>VLOOKUP(A147,'Data Vlaue (Cr)'!C142:CZ360,102,0)</f>
        <v>6.4999999999999997E-3</v>
      </c>
      <c r="E147" s="91">
        <f>VLOOKUP($A147,'Data Vlaue (Cr)'!$C:$FB,75)</f>
        <v>1051</v>
      </c>
      <c r="F147" s="91">
        <f>VLOOKUP($A147,'Data Vlaue (Cr)'!$C:$FB,77)</f>
        <v>-22</v>
      </c>
      <c r="G147" s="92">
        <f>VLOOKUP(A147,'Data Vlaue (Cr)'!C142:CB360,78,0)</f>
        <v>-2.01E-2</v>
      </c>
      <c r="H147" s="91">
        <f>VLOOKUP($A147,'Data Vlaue (Cr)'!$C:$FB,91)</f>
        <v>328</v>
      </c>
      <c r="I147" s="91">
        <f>VLOOKUP($A147,'Data Vlaue (Cr)'!$C:$FB,93)</f>
        <v>26</v>
      </c>
      <c r="J147" s="92">
        <f>VLOOKUP($A147,'Data Vlaue (Cr)'!$C:$FB,94)</f>
        <v>8.72E-2</v>
      </c>
      <c r="K147" s="91">
        <f>VLOOKUP($A147,'Data Vlaue (Cr)'!$C:$FB,95)</f>
        <v>142</v>
      </c>
      <c r="L147" s="91">
        <f>VLOOKUP($A147,'Data Vlaue (Cr)'!$C:$FB,97)</f>
        <v>5</v>
      </c>
      <c r="M147" s="92">
        <f>VLOOKUP($A147,'Data Vlaue (Cr)'!$C:$FB,98)</f>
        <v>3.6700000000000003E-2</v>
      </c>
      <c r="N147" s="91">
        <f>VLOOKUP($A147,'Data Vlaue (Cr)'!$C:$FB,79)</f>
        <v>1028</v>
      </c>
      <c r="O147" s="92">
        <f>VLOOKUP($A147,'Data Vlaue (Cr)'!$C:$FB,82)</f>
        <v>-2.06E-2</v>
      </c>
    </row>
    <row r="148" spans="1:15" x14ac:dyDescent="0.25">
      <c r="A148" s="97" t="str">
        <f>'Data Vlaue (Cr)'!C143</f>
        <v>NBCC</v>
      </c>
      <c r="B148" s="142">
        <f>VLOOKUP(A148,'Data Vlaue (Cr)'!C143:CW361,99,0)</f>
        <v>1064</v>
      </c>
      <c r="C148" s="90">
        <f>VLOOKUP(A148,'Data Vlaue (Cr)'!C143:CY361,101,0)</f>
        <v>43</v>
      </c>
      <c r="D148" s="139">
        <f>VLOOKUP(A148,'Data Vlaue (Cr)'!C143:CZ361,102,0)</f>
        <v>4.2299999999999997E-2</v>
      </c>
      <c r="E148" s="91">
        <f>VLOOKUP($A148,'Data Vlaue (Cr)'!$C:$FB,75)</f>
        <v>748</v>
      </c>
      <c r="F148" s="91">
        <f>VLOOKUP($A148,'Data Vlaue (Cr)'!$C:$FB,77)</f>
        <v>22</v>
      </c>
      <c r="G148" s="92">
        <f>VLOOKUP(A148,'Data Vlaue (Cr)'!C143:CB361,78,0)</f>
        <v>3.0700000000000002E-2</v>
      </c>
      <c r="H148" s="91">
        <f>VLOOKUP($A148,'Data Vlaue (Cr)'!$C:$FB,91)</f>
        <v>189</v>
      </c>
      <c r="I148" s="91">
        <f>VLOOKUP($A148,'Data Vlaue (Cr)'!$C:$FB,93)</f>
        <v>21</v>
      </c>
      <c r="J148" s="92">
        <f>VLOOKUP($A148,'Data Vlaue (Cr)'!$C:$FB,94)</f>
        <v>0.12379999999999999</v>
      </c>
      <c r="K148" s="91">
        <f>VLOOKUP($A148,'Data Vlaue (Cr)'!$C:$FB,95)</f>
        <v>128</v>
      </c>
      <c r="L148" s="91">
        <f>VLOOKUP($A148,'Data Vlaue (Cr)'!$C:$FB,97)</f>
        <v>0</v>
      </c>
      <c r="M148" s="92">
        <f>VLOOKUP($A148,'Data Vlaue (Cr)'!$C:$FB,98)</f>
        <v>5.0000000000000001E-4</v>
      </c>
      <c r="N148" s="91">
        <f>VLOOKUP($A148,'Data Vlaue (Cr)'!$C:$FB,79)</f>
        <v>693</v>
      </c>
      <c r="O148" s="92">
        <f>VLOOKUP($A148,'Data Vlaue (Cr)'!$C:$FB,82)</f>
        <v>-5.0000000000000001E-4</v>
      </c>
    </row>
    <row r="149" spans="1:15" x14ac:dyDescent="0.25">
      <c r="A149" s="97" t="str">
        <f>'Data Vlaue (Cr)'!C144</f>
        <v>NESTLEIND</v>
      </c>
      <c r="B149" s="142">
        <f>VLOOKUP(A149,'Data Vlaue (Cr)'!C144:CW362,99,0)</f>
        <v>3276</v>
      </c>
      <c r="C149" s="90">
        <f>VLOOKUP(A149,'Data Vlaue (Cr)'!C144:CY362,101,0)</f>
        <v>177</v>
      </c>
      <c r="D149" s="139">
        <f>VLOOKUP(A149,'Data Vlaue (Cr)'!C144:CZ362,102,0)</f>
        <v>5.7000000000000002E-2</v>
      </c>
      <c r="E149" s="91">
        <f>VLOOKUP($A149,'Data Vlaue (Cr)'!$C:$FB,75)</f>
        <v>2435</v>
      </c>
      <c r="F149" s="91">
        <f>VLOOKUP($A149,'Data Vlaue (Cr)'!$C:$FB,77)</f>
        <v>-32</v>
      </c>
      <c r="G149" s="92">
        <f>VLOOKUP(A149,'Data Vlaue (Cr)'!C144:CB362,78,0)</f>
        <v>-1.3100000000000001E-2</v>
      </c>
      <c r="H149" s="91">
        <f>VLOOKUP($A149,'Data Vlaue (Cr)'!$C:$FB,91)</f>
        <v>538</v>
      </c>
      <c r="I149" s="91">
        <f>VLOOKUP($A149,'Data Vlaue (Cr)'!$C:$FB,93)</f>
        <v>167</v>
      </c>
      <c r="J149" s="92">
        <f>VLOOKUP($A149,'Data Vlaue (Cr)'!$C:$FB,94)</f>
        <v>0.44979999999999998</v>
      </c>
      <c r="K149" s="91">
        <f>VLOOKUP($A149,'Data Vlaue (Cr)'!$C:$FB,95)</f>
        <v>302</v>
      </c>
      <c r="L149" s="91">
        <f>VLOOKUP($A149,'Data Vlaue (Cr)'!$C:$FB,97)</f>
        <v>42</v>
      </c>
      <c r="M149" s="92">
        <f>VLOOKUP($A149,'Data Vlaue (Cr)'!$C:$FB,98)</f>
        <v>0.161</v>
      </c>
      <c r="N149" s="91">
        <f>VLOOKUP($A149,'Data Vlaue (Cr)'!$C:$FB,79)</f>
        <v>2266</v>
      </c>
      <c r="O149" s="92">
        <f>VLOOKUP($A149,'Data Vlaue (Cr)'!$C:$FB,82)</f>
        <v>-1.5299999999999999E-2</v>
      </c>
    </row>
    <row r="150" spans="1:15" x14ac:dyDescent="0.25">
      <c r="A150" s="97" t="str">
        <f>'Data Vlaue (Cr)'!C145</f>
        <v>NHPC</v>
      </c>
      <c r="B150" s="142">
        <f>VLOOKUP(A150,'Data Vlaue (Cr)'!C145:CW363,99,0)</f>
        <v>1264</v>
      </c>
      <c r="C150" s="90">
        <f>VLOOKUP(A150,'Data Vlaue (Cr)'!C145:CY363,101,0)</f>
        <v>54</v>
      </c>
      <c r="D150" s="139">
        <f>VLOOKUP(A150,'Data Vlaue (Cr)'!C145:CZ363,102,0)</f>
        <v>4.4600000000000001E-2</v>
      </c>
      <c r="E150" s="91">
        <f>VLOOKUP($A150,'Data Vlaue (Cr)'!$C:$FB,75)</f>
        <v>703</v>
      </c>
      <c r="F150" s="91">
        <f>VLOOKUP($A150,'Data Vlaue (Cr)'!$C:$FB,77)</f>
        <v>71</v>
      </c>
      <c r="G150" s="92">
        <f>VLOOKUP(A150,'Data Vlaue (Cr)'!C145:CB363,78,0)</f>
        <v>0.1125</v>
      </c>
      <c r="H150" s="91">
        <f>VLOOKUP($A150,'Data Vlaue (Cr)'!$C:$FB,91)</f>
        <v>311</v>
      </c>
      <c r="I150" s="91">
        <f>VLOOKUP($A150,'Data Vlaue (Cr)'!$C:$FB,93)</f>
        <v>-23</v>
      </c>
      <c r="J150" s="92">
        <f>VLOOKUP($A150,'Data Vlaue (Cr)'!$C:$FB,94)</f>
        <v>-6.8000000000000005E-2</v>
      </c>
      <c r="K150" s="91">
        <f>VLOOKUP($A150,'Data Vlaue (Cr)'!$C:$FB,95)</f>
        <v>250</v>
      </c>
      <c r="L150" s="91">
        <f>VLOOKUP($A150,'Data Vlaue (Cr)'!$C:$FB,97)</f>
        <v>6</v>
      </c>
      <c r="M150" s="92">
        <f>VLOOKUP($A150,'Data Vlaue (Cr)'!$C:$FB,98)</f>
        <v>2.29E-2</v>
      </c>
      <c r="N150" s="91">
        <f>VLOOKUP($A150,'Data Vlaue (Cr)'!$C:$FB,79)</f>
        <v>657</v>
      </c>
      <c r="O150" s="92">
        <f>VLOOKUP($A150,'Data Vlaue (Cr)'!$C:$FB,82)</f>
        <v>9.8199999999999996E-2</v>
      </c>
    </row>
    <row r="151" spans="1:15" x14ac:dyDescent="0.25">
      <c r="A151" s="97" t="str">
        <f>'Data Vlaue (Cr)'!C146</f>
        <v>NIFTY</v>
      </c>
      <c r="B151" s="142">
        <f>VLOOKUP(A151,'Data Vlaue (Cr)'!C146:CW364,99,0)</f>
        <v>1264392</v>
      </c>
      <c r="C151" s="90">
        <f>VLOOKUP(A151,'Data Vlaue (Cr)'!C146:CY364,101,0)</f>
        <v>160278</v>
      </c>
      <c r="D151" s="139">
        <f>VLOOKUP(A151,'Data Vlaue (Cr)'!C146:CZ364,102,0)</f>
        <v>0.1452</v>
      </c>
      <c r="E151" s="91">
        <f>VLOOKUP($A151,'Data Vlaue (Cr)'!$C:$FB,75)</f>
        <v>50062</v>
      </c>
      <c r="F151" s="91">
        <f>VLOOKUP($A151,'Data Vlaue (Cr)'!$C:$FB,77)</f>
        <v>-575</v>
      </c>
      <c r="G151" s="92">
        <f>VLOOKUP(A151,'Data Vlaue (Cr)'!C146:CB364,78,0)</f>
        <v>-1.14E-2</v>
      </c>
      <c r="H151" s="91">
        <f>VLOOKUP($A151,'Data Vlaue (Cr)'!$C:$FB,91)</f>
        <v>579699</v>
      </c>
      <c r="I151" s="91">
        <f>VLOOKUP($A151,'Data Vlaue (Cr)'!$C:$FB,93)</f>
        <v>48167</v>
      </c>
      <c r="J151" s="92">
        <f>VLOOKUP($A151,'Data Vlaue (Cr)'!$C:$FB,94)</f>
        <v>9.06E-2</v>
      </c>
      <c r="K151" s="91">
        <f>VLOOKUP($A151,'Data Vlaue (Cr)'!$C:$FB,95)</f>
        <v>634632</v>
      </c>
      <c r="L151" s="91">
        <f>VLOOKUP($A151,'Data Vlaue (Cr)'!$C:$FB,97)</f>
        <v>112686</v>
      </c>
      <c r="M151" s="92">
        <f>VLOOKUP($A151,'Data Vlaue (Cr)'!$C:$FB,98)</f>
        <v>0.21590000000000001</v>
      </c>
      <c r="N151" s="91">
        <f>VLOOKUP($A151,'Data Vlaue (Cr)'!$C:$FB,79)</f>
        <v>41917</v>
      </c>
      <c r="O151" s="92">
        <f>VLOOKUP($A151,'Data Vlaue (Cr)'!$C:$FB,82)</f>
        <v>-1.44E-2</v>
      </c>
    </row>
    <row r="152" spans="1:15" x14ac:dyDescent="0.25">
      <c r="A152" s="97" t="str">
        <f>'Data Vlaue (Cr)'!C147</f>
        <v>NIFTYNXT50</v>
      </c>
      <c r="B152" s="142">
        <f>VLOOKUP(A152,'Data Vlaue (Cr)'!C147:CW365,99,0)</f>
        <v>277</v>
      </c>
      <c r="C152" s="90">
        <f>VLOOKUP(A152,'Data Vlaue (Cr)'!C147:CY365,101,0)</f>
        <v>76</v>
      </c>
      <c r="D152" s="139">
        <f>VLOOKUP(A152,'Data Vlaue (Cr)'!C147:CZ365,102,0)</f>
        <v>0.37740000000000001</v>
      </c>
      <c r="E152" s="91">
        <f>VLOOKUP($A152,'Data Vlaue (Cr)'!$C:$FB,75)</f>
        <v>146</v>
      </c>
      <c r="F152" s="91">
        <f>VLOOKUP($A152,'Data Vlaue (Cr)'!$C:$FB,77)</f>
        <v>6</v>
      </c>
      <c r="G152" s="92">
        <f>VLOOKUP(A152,'Data Vlaue (Cr)'!C147:CB365,78,0)</f>
        <v>4.3999999999999997E-2</v>
      </c>
      <c r="H152" s="91">
        <f>VLOOKUP($A152,'Data Vlaue (Cr)'!$C:$FB,91)</f>
        <v>96</v>
      </c>
      <c r="I152" s="91">
        <f>VLOOKUP($A152,'Data Vlaue (Cr)'!$C:$FB,93)</f>
        <v>66</v>
      </c>
      <c r="J152" s="92">
        <f>VLOOKUP($A152,'Data Vlaue (Cr)'!$C:$FB,94)</f>
        <v>2.2118000000000002</v>
      </c>
      <c r="K152" s="91">
        <f>VLOOKUP($A152,'Data Vlaue (Cr)'!$C:$FB,95)</f>
        <v>34</v>
      </c>
      <c r="L152" s="91">
        <f>VLOOKUP($A152,'Data Vlaue (Cr)'!$C:$FB,97)</f>
        <v>4</v>
      </c>
      <c r="M152" s="92">
        <f>VLOOKUP($A152,'Data Vlaue (Cr)'!$C:$FB,98)</f>
        <v>0.11360000000000001</v>
      </c>
      <c r="N152" s="91">
        <f>VLOOKUP($A152,'Data Vlaue (Cr)'!$C:$FB,79)</f>
        <v>130</v>
      </c>
      <c r="O152" s="92">
        <f>VLOOKUP($A152,'Data Vlaue (Cr)'!$C:$FB,82)</f>
        <v>3.49E-2</v>
      </c>
    </row>
    <row r="153" spans="1:15" x14ac:dyDescent="0.25">
      <c r="A153" s="97" t="str">
        <f>'Data Vlaue (Cr)'!C148</f>
        <v>NMDC</v>
      </c>
      <c r="B153" s="142">
        <f>VLOOKUP(A153,'Data Vlaue (Cr)'!C148:CW366,99,0)</f>
        <v>4152</v>
      </c>
      <c r="C153" s="90">
        <f>VLOOKUP(A153,'Data Vlaue (Cr)'!C148:CY366,101,0)</f>
        <v>131</v>
      </c>
      <c r="D153" s="139">
        <f>VLOOKUP(A153,'Data Vlaue (Cr)'!C148:CZ366,102,0)</f>
        <v>3.2500000000000001E-2</v>
      </c>
      <c r="E153" s="91">
        <f>VLOOKUP($A153,'Data Vlaue (Cr)'!$C:$FB,75)</f>
        <v>2936</v>
      </c>
      <c r="F153" s="91">
        <f>VLOOKUP($A153,'Data Vlaue (Cr)'!$C:$FB,77)</f>
        <v>3</v>
      </c>
      <c r="G153" s="92">
        <f>VLOOKUP(A153,'Data Vlaue (Cr)'!C148:CB366,78,0)</f>
        <v>1.1000000000000001E-3</v>
      </c>
      <c r="H153" s="91">
        <f>VLOOKUP($A153,'Data Vlaue (Cr)'!$C:$FB,91)</f>
        <v>721</v>
      </c>
      <c r="I153" s="91">
        <f>VLOOKUP($A153,'Data Vlaue (Cr)'!$C:$FB,93)</f>
        <v>60</v>
      </c>
      <c r="J153" s="92">
        <f>VLOOKUP($A153,'Data Vlaue (Cr)'!$C:$FB,94)</f>
        <v>9.0899999999999995E-2</v>
      </c>
      <c r="K153" s="91">
        <f>VLOOKUP($A153,'Data Vlaue (Cr)'!$C:$FB,95)</f>
        <v>495</v>
      </c>
      <c r="L153" s="91">
        <f>VLOOKUP($A153,'Data Vlaue (Cr)'!$C:$FB,97)</f>
        <v>68</v>
      </c>
      <c r="M153" s="92">
        <f>VLOOKUP($A153,'Data Vlaue (Cr)'!$C:$FB,98)</f>
        <v>0.158</v>
      </c>
      <c r="N153" s="91">
        <f>VLOOKUP($A153,'Data Vlaue (Cr)'!$C:$FB,79)</f>
        <v>2758</v>
      </c>
      <c r="O153" s="92">
        <f>VLOOKUP($A153,'Data Vlaue (Cr)'!$C:$FB,82)</f>
        <v>-1.8700000000000001E-2</v>
      </c>
    </row>
    <row r="154" spans="1:15" x14ac:dyDescent="0.25">
      <c r="A154" s="97" t="str">
        <f>'Data Vlaue (Cr)'!C149</f>
        <v>NTPC</v>
      </c>
      <c r="B154" s="142">
        <f>VLOOKUP(A154,'Data Vlaue (Cr)'!C149:CW367,99,0)</f>
        <v>7458</v>
      </c>
      <c r="C154" s="90">
        <f>VLOOKUP(A154,'Data Vlaue (Cr)'!C149:CY367,101,0)</f>
        <v>669</v>
      </c>
      <c r="D154" s="139">
        <f>VLOOKUP(A154,'Data Vlaue (Cr)'!C149:CZ367,102,0)</f>
        <v>9.8500000000000004E-2</v>
      </c>
      <c r="E154" s="91">
        <f>VLOOKUP($A154,'Data Vlaue (Cr)'!$C:$FB,75)</f>
        <v>3874</v>
      </c>
      <c r="F154" s="91">
        <f>VLOOKUP($A154,'Data Vlaue (Cr)'!$C:$FB,77)</f>
        <v>263</v>
      </c>
      <c r="G154" s="92">
        <f>VLOOKUP(A154,'Data Vlaue (Cr)'!C149:CB367,78,0)</f>
        <v>7.2900000000000006E-2</v>
      </c>
      <c r="H154" s="91">
        <f>VLOOKUP($A154,'Data Vlaue (Cr)'!$C:$FB,91)</f>
        <v>2345</v>
      </c>
      <c r="I154" s="91">
        <f>VLOOKUP($A154,'Data Vlaue (Cr)'!$C:$FB,93)</f>
        <v>314</v>
      </c>
      <c r="J154" s="92">
        <f>VLOOKUP($A154,'Data Vlaue (Cr)'!$C:$FB,94)</f>
        <v>0.15429999999999999</v>
      </c>
      <c r="K154" s="91">
        <f>VLOOKUP($A154,'Data Vlaue (Cr)'!$C:$FB,95)</f>
        <v>1238</v>
      </c>
      <c r="L154" s="91">
        <f>VLOOKUP($A154,'Data Vlaue (Cr)'!$C:$FB,97)</f>
        <v>92</v>
      </c>
      <c r="M154" s="92">
        <f>VLOOKUP($A154,'Data Vlaue (Cr)'!$C:$FB,98)</f>
        <v>8.0299999999999996E-2</v>
      </c>
      <c r="N154" s="91">
        <f>VLOOKUP($A154,'Data Vlaue (Cr)'!$C:$FB,79)</f>
        <v>3265</v>
      </c>
      <c r="O154" s="92">
        <f>VLOOKUP($A154,'Data Vlaue (Cr)'!$C:$FB,82)</f>
        <v>5.21E-2</v>
      </c>
    </row>
    <row r="155" spans="1:15" x14ac:dyDescent="0.25">
      <c r="A155" s="97" t="str">
        <f>'Data Vlaue (Cr)'!C150</f>
        <v>NUVAMA</v>
      </c>
      <c r="B155" s="142">
        <f>VLOOKUP(A155,'Data Vlaue (Cr)'!C150:CW368,99,0)</f>
        <v>532</v>
      </c>
      <c r="C155" s="90">
        <f>VLOOKUP(A155,'Data Vlaue (Cr)'!C150:CY368,101,0)</f>
        <v>21</v>
      </c>
      <c r="D155" s="139">
        <f>VLOOKUP(A155,'Data Vlaue (Cr)'!C150:CZ368,102,0)</f>
        <v>0.04</v>
      </c>
      <c r="E155" s="91">
        <f>VLOOKUP($A155,'Data Vlaue (Cr)'!$C:$FB,75)</f>
        <v>284</v>
      </c>
      <c r="F155" s="91">
        <f>VLOOKUP($A155,'Data Vlaue (Cr)'!$C:$FB,77)</f>
        <v>4</v>
      </c>
      <c r="G155" s="92">
        <f>VLOOKUP(A155,'Data Vlaue (Cr)'!C150:CB368,78,0)</f>
        <v>1.54E-2</v>
      </c>
      <c r="H155" s="91">
        <f>VLOOKUP($A155,'Data Vlaue (Cr)'!$C:$FB,91)</f>
        <v>134</v>
      </c>
      <c r="I155" s="91">
        <f>VLOOKUP($A155,'Data Vlaue (Cr)'!$C:$FB,93)</f>
        <v>12</v>
      </c>
      <c r="J155" s="92">
        <f>VLOOKUP($A155,'Data Vlaue (Cr)'!$C:$FB,94)</f>
        <v>9.6699999999999994E-2</v>
      </c>
      <c r="K155" s="91">
        <f>VLOOKUP($A155,'Data Vlaue (Cr)'!$C:$FB,95)</f>
        <v>114</v>
      </c>
      <c r="L155" s="91">
        <f>VLOOKUP($A155,'Data Vlaue (Cr)'!$C:$FB,97)</f>
        <v>4</v>
      </c>
      <c r="M155" s="92">
        <f>VLOOKUP($A155,'Data Vlaue (Cr)'!$C:$FB,98)</f>
        <v>3.95E-2</v>
      </c>
      <c r="N155" s="91">
        <f>VLOOKUP($A155,'Data Vlaue (Cr)'!$C:$FB,79)</f>
        <v>262</v>
      </c>
      <c r="O155" s="92">
        <f>VLOOKUP($A155,'Data Vlaue (Cr)'!$C:$FB,82)</f>
        <v>-1.37E-2</v>
      </c>
    </row>
    <row r="156" spans="1:15" x14ac:dyDescent="0.25">
      <c r="A156" s="97" t="str">
        <f>'Data Vlaue (Cr)'!C151</f>
        <v>NYKAA</v>
      </c>
      <c r="B156" s="142">
        <f>VLOOKUP(A156,'Data Vlaue (Cr)'!C151:CW369,99,0)</f>
        <v>1583</v>
      </c>
      <c r="C156" s="90">
        <f>VLOOKUP(A156,'Data Vlaue (Cr)'!C151:CY369,101,0)</f>
        <v>2</v>
      </c>
      <c r="D156" s="139">
        <f>VLOOKUP(A156,'Data Vlaue (Cr)'!C151:CZ369,102,0)</f>
        <v>1.4E-3</v>
      </c>
      <c r="E156" s="91">
        <f>VLOOKUP($A156,'Data Vlaue (Cr)'!$C:$FB,75)</f>
        <v>1230</v>
      </c>
      <c r="F156" s="91">
        <f>VLOOKUP($A156,'Data Vlaue (Cr)'!$C:$FB,77)</f>
        <v>-5</v>
      </c>
      <c r="G156" s="92">
        <f>VLOOKUP(A156,'Data Vlaue (Cr)'!C151:CB369,78,0)</f>
        <v>-3.8E-3</v>
      </c>
      <c r="H156" s="91">
        <f>VLOOKUP($A156,'Data Vlaue (Cr)'!$C:$FB,91)</f>
        <v>207</v>
      </c>
      <c r="I156" s="91">
        <f>VLOOKUP($A156,'Data Vlaue (Cr)'!$C:$FB,93)</f>
        <v>-14</v>
      </c>
      <c r="J156" s="92">
        <f>VLOOKUP($A156,'Data Vlaue (Cr)'!$C:$FB,94)</f>
        <v>-6.4500000000000002E-2</v>
      </c>
      <c r="K156" s="91">
        <f>VLOOKUP($A156,'Data Vlaue (Cr)'!$C:$FB,95)</f>
        <v>146</v>
      </c>
      <c r="L156" s="91">
        <f>VLOOKUP($A156,'Data Vlaue (Cr)'!$C:$FB,97)</f>
        <v>21</v>
      </c>
      <c r="M156" s="92">
        <f>VLOOKUP($A156,'Data Vlaue (Cr)'!$C:$FB,98)</f>
        <v>0.1696</v>
      </c>
      <c r="N156" s="91">
        <f>VLOOKUP($A156,'Data Vlaue (Cr)'!$C:$FB,79)</f>
        <v>1196</v>
      </c>
      <c r="O156" s="92">
        <f>VLOOKUP($A156,'Data Vlaue (Cr)'!$C:$FB,82)</f>
        <v>-6.8999999999999999E-3</v>
      </c>
    </row>
    <row r="157" spans="1:15" x14ac:dyDescent="0.25">
      <c r="A157" s="97" t="str">
        <f>'Data Vlaue (Cr)'!C152</f>
        <v>OBEROIRLTY</v>
      </c>
      <c r="B157" s="142">
        <f>VLOOKUP(A157,'Data Vlaue (Cr)'!C152:CW370,99,0)</f>
        <v>2100</v>
      </c>
      <c r="C157" s="90">
        <f>VLOOKUP(A157,'Data Vlaue (Cr)'!C152:CY370,101,0)</f>
        <v>-17</v>
      </c>
      <c r="D157" s="139">
        <f>VLOOKUP(A157,'Data Vlaue (Cr)'!C152:CZ370,102,0)</f>
        <v>-8.2000000000000007E-3</v>
      </c>
      <c r="E157" s="91">
        <f>VLOOKUP($A157,'Data Vlaue (Cr)'!$C:$FB,75)</f>
        <v>1706</v>
      </c>
      <c r="F157" s="91">
        <f>VLOOKUP($A157,'Data Vlaue (Cr)'!$C:$FB,77)</f>
        <v>-12</v>
      </c>
      <c r="G157" s="92">
        <f>VLOOKUP(A157,'Data Vlaue (Cr)'!C152:CB370,78,0)</f>
        <v>-6.8999999999999999E-3</v>
      </c>
      <c r="H157" s="91">
        <f>VLOOKUP($A157,'Data Vlaue (Cr)'!$C:$FB,91)</f>
        <v>204</v>
      </c>
      <c r="I157" s="91">
        <f>VLOOKUP($A157,'Data Vlaue (Cr)'!$C:$FB,93)</f>
        <v>-1</v>
      </c>
      <c r="J157" s="92">
        <f>VLOOKUP($A157,'Data Vlaue (Cr)'!$C:$FB,94)</f>
        <v>-3.5000000000000001E-3</v>
      </c>
      <c r="K157" s="91">
        <f>VLOOKUP($A157,'Data Vlaue (Cr)'!$C:$FB,95)</f>
        <v>189</v>
      </c>
      <c r="L157" s="91">
        <f>VLOOKUP($A157,'Data Vlaue (Cr)'!$C:$FB,97)</f>
        <v>-5</v>
      </c>
      <c r="M157" s="92">
        <f>VLOOKUP($A157,'Data Vlaue (Cr)'!$C:$FB,98)</f>
        <v>-2.47E-2</v>
      </c>
      <c r="N157" s="91">
        <f>VLOOKUP($A157,'Data Vlaue (Cr)'!$C:$FB,79)</f>
        <v>1491</v>
      </c>
      <c r="O157" s="92">
        <f>VLOOKUP($A157,'Data Vlaue (Cr)'!$C:$FB,82)</f>
        <v>-1.2999999999999999E-2</v>
      </c>
    </row>
    <row r="158" spans="1:15" x14ac:dyDescent="0.25">
      <c r="A158" s="97" t="str">
        <f>'Data Vlaue (Cr)'!C153</f>
        <v>OFSS</v>
      </c>
      <c r="B158" s="142">
        <f>VLOOKUP(A158,'Data Vlaue (Cr)'!C153:CW371,99,0)</f>
        <v>2056</v>
      </c>
      <c r="C158" s="90">
        <f>VLOOKUP(A158,'Data Vlaue (Cr)'!C153:CY371,101,0)</f>
        <v>16</v>
      </c>
      <c r="D158" s="139">
        <f>VLOOKUP(A158,'Data Vlaue (Cr)'!C153:CZ371,102,0)</f>
        <v>7.7999999999999996E-3</v>
      </c>
      <c r="E158" s="91">
        <f>VLOOKUP($A158,'Data Vlaue (Cr)'!$C:$FB,75)</f>
        <v>1150</v>
      </c>
      <c r="F158" s="91">
        <f>VLOOKUP($A158,'Data Vlaue (Cr)'!$C:$FB,77)</f>
        <v>-23</v>
      </c>
      <c r="G158" s="92">
        <f>VLOOKUP(A158,'Data Vlaue (Cr)'!C153:CB371,78,0)</f>
        <v>-1.9900000000000001E-2</v>
      </c>
      <c r="H158" s="91">
        <f>VLOOKUP($A158,'Data Vlaue (Cr)'!$C:$FB,91)</f>
        <v>425</v>
      </c>
      <c r="I158" s="91">
        <f>VLOOKUP($A158,'Data Vlaue (Cr)'!$C:$FB,93)</f>
        <v>3</v>
      </c>
      <c r="J158" s="92">
        <f>VLOOKUP($A158,'Data Vlaue (Cr)'!$C:$FB,94)</f>
        <v>7.0000000000000001E-3</v>
      </c>
      <c r="K158" s="91">
        <f>VLOOKUP($A158,'Data Vlaue (Cr)'!$C:$FB,95)</f>
        <v>481</v>
      </c>
      <c r="L158" s="91">
        <f>VLOOKUP($A158,'Data Vlaue (Cr)'!$C:$FB,97)</f>
        <v>36</v>
      </c>
      <c r="M158" s="92">
        <f>VLOOKUP($A158,'Data Vlaue (Cr)'!$C:$FB,98)</f>
        <v>8.1500000000000003E-2</v>
      </c>
      <c r="N158" s="91">
        <f>VLOOKUP($A158,'Data Vlaue (Cr)'!$C:$FB,79)</f>
        <v>1079</v>
      </c>
      <c r="O158" s="92">
        <f>VLOOKUP($A158,'Data Vlaue (Cr)'!$C:$FB,82)</f>
        <v>-2.7799999999999998E-2</v>
      </c>
    </row>
    <row r="159" spans="1:15" x14ac:dyDescent="0.25">
      <c r="A159" s="97" t="str">
        <f>'Data Vlaue (Cr)'!C154</f>
        <v>OIL</v>
      </c>
      <c r="B159" s="142">
        <f>VLOOKUP(A159,'Data Vlaue (Cr)'!C154:CW372,99,0)</f>
        <v>1766</v>
      </c>
      <c r="C159" s="90">
        <f>VLOOKUP(A159,'Data Vlaue (Cr)'!C154:CY372,101,0)</f>
        <v>-38</v>
      </c>
      <c r="D159" s="139">
        <f>VLOOKUP(A159,'Data Vlaue (Cr)'!C154:CZ372,102,0)</f>
        <v>-2.0899999999999998E-2</v>
      </c>
      <c r="E159" s="91">
        <f>VLOOKUP($A159,'Data Vlaue (Cr)'!$C:$FB,75)</f>
        <v>1010</v>
      </c>
      <c r="F159" s="91">
        <f>VLOOKUP($A159,'Data Vlaue (Cr)'!$C:$FB,77)</f>
        <v>-17</v>
      </c>
      <c r="G159" s="92">
        <f>VLOOKUP(A159,'Data Vlaue (Cr)'!C154:CB372,78,0)</f>
        <v>-1.6500000000000001E-2</v>
      </c>
      <c r="H159" s="91">
        <f>VLOOKUP($A159,'Data Vlaue (Cr)'!$C:$FB,91)</f>
        <v>526</v>
      </c>
      <c r="I159" s="91">
        <f>VLOOKUP($A159,'Data Vlaue (Cr)'!$C:$FB,93)</f>
        <v>-15</v>
      </c>
      <c r="J159" s="92">
        <f>VLOOKUP($A159,'Data Vlaue (Cr)'!$C:$FB,94)</f>
        <v>-2.8000000000000001E-2</v>
      </c>
      <c r="K159" s="91">
        <f>VLOOKUP($A159,'Data Vlaue (Cr)'!$C:$FB,95)</f>
        <v>230</v>
      </c>
      <c r="L159" s="91">
        <f>VLOOKUP($A159,'Data Vlaue (Cr)'!$C:$FB,97)</f>
        <v>-6</v>
      </c>
      <c r="M159" s="92">
        <f>VLOOKUP($A159,'Data Vlaue (Cr)'!$C:$FB,98)</f>
        <v>-2.3800000000000002E-2</v>
      </c>
      <c r="N159" s="91">
        <f>VLOOKUP($A159,'Data Vlaue (Cr)'!$C:$FB,79)</f>
        <v>961</v>
      </c>
      <c r="O159" s="92">
        <f>VLOOKUP($A159,'Data Vlaue (Cr)'!$C:$FB,82)</f>
        <v>-1.7399999999999999E-2</v>
      </c>
    </row>
    <row r="160" spans="1:15" x14ac:dyDescent="0.25">
      <c r="A160" s="97" t="str">
        <f>'Data Vlaue (Cr)'!C155</f>
        <v>ONGC</v>
      </c>
      <c r="B160" s="142">
        <f>VLOOKUP(A160,'Data Vlaue (Cr)'!C155:CW373,99,0)</f>
        <v>6549</v>
      </c>
      <c r="C160" s="90">
        <f>VLOOKUP(A160,'Data Vlaue (Cr)'!C155:CY373,101,0)</f>
        <v>36</v>
      </c>
      <c r="D160" s="139">
        <f>VLOOKUP(A160,'Data Vlaue (Cr)'!C155:CZ373,102,0)</f>
        <v>5.4999999999999997E-3</v>
      </c>
      <c r="E160" s="91">
        <f>VLOOKUP($A160,'Data Vlaue (Cr)'!$C:$FB,75)</f>
        <v>2750</v>
      </c>
      <c r="F160" s="91">
        <f>VLOOKUP($A160,'Data Vlaue (Cr)'!$C:$FB,77)</f>
        <v>12</v>
      </c>
      <c r="G160" s="92">
        <f>VLOOKUP(A160,'Data Vlaue (Cr)'!C155:CB373,78,0)</f>
        <v>4.3E-3</v>
      </c>
      <c r="H160" s="91">
        <f>VLOOKUP($A160,'Data Vlaue (Cr)'!$C:$FB,91)</f>
        <v>2768</v>
      </c>
      <c r="I160" s="91">
        <f>VLOOKUP($A160,'Data Vlaue (Cr)'!$C:$FB,93)</f>
        <v>10</v>
      </c>
      <c r="J160" s="92">
        <f>VLOOKUP($A160,'Data Vlaue (Cr)'!$C:$FB,94)</f>
        <v>3.8E-3</v>
      </c>
      <c r="K160" s="91">
        <f>VLOOKUP($A160,'Data Vlaue (Cr)'!$C:$FB,95)</f>
        <v>1031</v>
      </c>
      <c r="L160" s="91">
        <f>VLOOKUP($A160,'Data Vlaue (Cr)'!$C:$FB,97)</f>
        <v>13</v>
      </c>
      <c r="M160" s="92">
        <f>VLOOKUP($A160,'Data Vlaue (Cr)'!$C:$FB,98)</f>
        <v>1.3100000000000001E-2</v>
      </c>
      <c r="N160" s="91">
        <f>VLOOKUP($A160,'Data Vlaue (Cr)'!$C:$FB,79)</f>
        <v>2461</v>
      </c>
      <c r="O160" s="92">
        <f>VLOOKUP($A160,'Data Vlaue (Cr)'!$C:$FB,82)</f>
        <v>-2.23E-2</v>
      </c>
    </row>
    <row r="161" spans="1:15" x14ac:dyDescent="0.25">
      <c r="A161" s="97" t="str">
        <f>'Data Vlaue (Cr)'!C156</f>
        <v>PAGEIND</v>
      </c>
      <c r="B161" s="142">
        <f>VLOOKUP(A161,'Data Vlaue (Cr)'!C156:CW374,99,0)</f>
        <v>1909</v>
      </c>
      <c r="C161" s="90">
        <f>VLOOKUP(A161,'Data Vlaue (Cr)'!C156:CY374,101,0)</f>
        <v>43</v>
      </c>
      <c r="D161" s="139">
        <f>VLOOKUP(A161,'Data Vlaue (Cr)'!C156:CZ374,102,0)</f>
        <v>2.3099999999999999E-2</v>
      </c>
      <c r="E161" s="91">
        <f>VLOOKUP($A161,'Data Vlaue (Cr)'!$C:$FB,75)</f>
        <v>1373</v>
      </c>
      <c r="F161" s="91">
        <f>VLOOKUP($A161,'Data Vlaue (Cr)'!$C:$FB,77)</f>
        <v>-16</v>
      </c>
      <c r="G161" s="92">
        <f>VLOOKUP(A161,'Data Vlaue (Cr)'!C156:CB374,78,0)</f>
        <v>-1.14E-2</v>
      </c>
      <c r="H161" s="91">
        <f>VLOOKUP($A161,'Data Vlaue (Cr)'!$C:$FB,91)</f>
        <v>256</v>
      </c>
      <c r="I161" s="91">
        <f>VLOOKUP($A161,'Data Vlaue (Cr)'!$C:$FB,93)</f>
        <v>13</v>
      </c>
      <c r="J161" s="92">
        <f>VLOOKUP($A161,'Data Vlaue (Cr)'!$C:$FB,94)</f>
        <v>5.2999999999999999E-2</v>
      </c>
      <c r="K161" s="91">
        <f>VLOOKUP($A161,'Data Vlaue (Cr)'!$C:$FB,95)</f>
        <v>280</v>
      </c>
      <c r="L161" s="91">
        <f>VLOOKUP($A161,'Data Vlaue (Cr)'!$C:$FB,97)</f>
        <v>46</v>
      </c>
      <c r="M161" s="92">
        <f>VLOOKUP($A161,'Data Vlaue (Cr)'!$C:$FB,98)</f>
        <v>0.1973</v>
      </c>
      <c r="N161" s="91">
        <f>VLOOKUP($A161,'Data Vlaue (Cr)'!$C:$FB,79)</f>
        <v>1325</v>
      </c>
      <c r="O161" s="92">
        <f>VLOOKUP($A161,'Data Vlaue (Cr)'!$C:$FB,82)</f>
        <v>-1.9800000000000002E-2</v>
      </c>
    </row>
    <row r="162" spans="1:15" x14ac:dyDescent="0.25">
      <c r="A162" s="97" t="str">
        <f>'Data Vlaue (Cr)'!C157</f>
        <v>PATANJALI</v>
      </c>
      <c r="B162" s="142">
        <f>VLOOKUP(A162,'Data Vlaue (Cr)'!C157:CW375,99,0)</f>
        <v>2003</v>
      </c>
      <c r="C162" s="90">
        <f>VLOOKUP(A162,'Data Vlaue (Cr)'!C157:CY375,101,0)</f>
        <v>102</v>
      </c>
      <c r="D162" s="139">
        <f>VLOOKUP(A162,'Data Vlaue (Cr)'!C157:CZ375,102,0)</f>
        <v>5.3499999999999999E-2</v>
      </c>
      <c r="E162" s="91">
        <f>VLOOKUP($A162,'Data Vlaue (Cr)'!$C:$FB,75)</f>
        <v>1617</v>
      </c>
      <c r="F162" s="91">
        <f>VLOOKUP($A162,'Data Vlaue (Cr)'!$C:$FB,77)</f>
        <v>17</v>
      </c>
      <c r="G162" s="92">
        <f>VLOOKUP(A162,'Data Vlaue (Cr)'!C157:CB375,78,0)</f>
        <v>1.0800000000000001E-2</v>
      </c>
      <c r="H162" s="91">
        <f>VLOOKUP($A162,'Data Vlaue (Cr)'!$C:$FB,91)</f>
        <v>243</v>
      </c>
      <c r="I162" s="91">
        <f>VLOOKUP($A162,'Data Vlaue (Cr)'!$C:$FB,93)</f>
        <v>58</v>
      </c>
      <c r="J162" s="92">
        <f>VLOOKUP($A162,'Data Vlaue (Cr)'!$C:$FB,94)</f>
        <v>0.31140000000000001</v>
      </c>
      <c r="K162" s="91">
        <f>VLOOKUP($A162,'Data Vlaue (Cr)'!$C:$FB,95)</f>
        <v>142</v>
      </c>
      <c r="L162" s="91">
        <f>VLOOKUP($A162,'Data Vlaue (Cr)'!$C:$FB,97)</f>
        <v>27</v>
      </c>
      <c r="M162" s="92">
        <f>VLOOKUP($A162,'Data Vlaue (Cr)'!$C:$FB,98)</f>
        <v>0.23230000000000001</v>
      </c>
      <c r="N162" s="91">
        <f>VLOOKUP($A162,'Data Vlaue (Cr)'!$C:$FB,79)</f>
        <v>1595</v>
      </c>
      <c r="O162" s="92">
        <f>VLOOKUP($A162,'Data Vlaue (Cr)'!$C:$FB,82)</f>
        <v>6.6E-3</v>
      </c>
    </row>
    <row r="163" spans="1:15" x14ac:dyDescent="0.25">
      <c r="A163" s="97" t="str">
        <f>'Data Vlaue (Cr)'!C158</f>
        <v>PAYTM</v>
      </c>
      <c r="B163" s="142">
        <f>VLOOKUP(A163,'Data Vlaue (Cr)'!C158:CW376,99,0)</f>
        <v>3263</v>
      </c>
      <c r="C163" s="90">
        <f>VLOOKUP(A163,'Data Vlaue (Cr)'!C158:CY376,101,0)</f>
        <v>108</v>
      </c>
      <c r="D163" s="139">
        <f>VLOOKUP(A163,'Data Vlaue (Cr)'!C158:CZ376,102,0)</f>
        <v>3.4299999999999997E-2</v>
      </c>
      <c r="E163" s="91">
        <f>VLOOKUP($A163,'Data Vlaue (Cr)'!$C:$FB,75)</f>
        <v>1814</v>
      </c>
      <c r="F163" s="91">
        <f>VLOOKUP($A163,'Data Vlaue (Cr)'!$C:$FB,77)</f>
        <v>-31</v>
      </c>
      <c r="G163" s="92">
        <f>VLOOKUP(A163,'Data Vlaue (Cr)'!C158:CB376,78,0)</f>
        <v>-1.7000000000000001E-2</v>
      </c>
      <c r="H163" s="91">
        <f>VLOOKUP($A163,'Data Vlaue (Cr)'!$C:$FB,91)</f>
        <v>739</v>
      </c>
      <c r="I163" s="91">
        <f>VLOOKUP($A163,'Data Vlaue (Cr)'!$C:$FB,93)</f>
        <v>32</v>
      </c>
      <c r="J163" s="92">
        <f>VLOOKUP($A163,'Data Vlaue (Cr)'!$C:$FB,94)</f>
        <v>4.5900000000000003E-2</v>
      </c>
      <c r="K163" s="91">
        <f>VLOOKUP($A163,'Data Vlaue (Cr)'!$C:$FB,95)</f>
        <v>709</v>
      </c>
      <c r="L163" s="91">
        <f>VLOOKUP($A163,'Data Vlaue (Cr)'!$C:$FB,97)</f>
        <v>107</v>
      </c>
      <c r="M163" s="92">
        <f>VLOOKUP($A163,'Data Vlaue (Cr)'!$C:$FB,98)</f>
        <v>0.17799999999999999</v>
      </c>
      <c r="N163" s="91">
        <f>VLOOKUP($A163,'Data Vlaue (Cr)'!$C:$FB,79)</f>
        <v>1729</v>
      </c>
      <c r="O163" s="92">
        <f>VLOOKUP($A163,'Data Vlaue (Cr)'!$C:$FB,82)</f>
        <v>-1.7999999999999999E-2</v>
      </c>
    </row>
    <row r="164" spans="1:15" x14ac:dyDescent="0.25">
      <c r="A164" s="97" t="str">
        <f>'Data Vlaue (Cr)'!C159</f>
        <v>PERSISTENT</v>
      </c>
      <c r="B164" s="142">
        <f>VLOOKUP(A164,'Data Vlaue (Cr)'!C159:CW377,99,0)</f>
        <v>4557</v>
      </c>
      <c r="C164" s="90">
        <f>VLOOKUP(A164,'Data Vlaue (Cr)'!C159:CY377,101,0)</f>
        <v>107</v>
      </c>
      <c r="D164" s="139">
        <f>VLOOKUP(A164,'Data Vlaue (Cr)'!C159:CZ377,102,0)</f>
        <v>2.41E-2</v>
      </c>
      <c r="E164" s="91">
        <f>VLOOKUP($A164,'Data Vlaue (Cr)'!$C:$FB,75)</f>
        <v>3269</v>
      </c>
      <c r="F164" s="91">
        <f>VLOOKUP($A164,'Data Vlaue (Cr)'!$C:$FB,77)</f>
        <v>61</v>
      </c>
      <c r="G164" s="92">
        <f>VLOOKUP(A164,'Data Vlaue (Cr)'!C159:CB377,78,0)</f>
        <v>1.9E-2</v>
      </c>
      <c r="H164" s="91">
        <f>VLOOKUP($A164,'Data Vlaue (Cr)'!$C:$FB,91)</f>
        <v>658</v>
      </c>
      <c r="I164" s="91">
        <f>VLOOKUP($A164,'Data Vlaue (Cr)'!$C:$FB,93)</f>
        <v>49</v>
      </c>
      <c r="J164" s="92">
        <f>VLOOKUP($A164,'Data Vlaue (Cr)'!$C:$FB,94)</f>
        <v>8.0399999999999999E-2</v>
      </c>
      <c r="K164" s="91">
        <f>VLOOKUP($A164,'Data Vlaue (Cr)'!$C:$FB,95)</f>
        <v>629</v>
      </c>
      <c r="L164" s="91">
        <f>VLOOKUP($A164,'Data Vlaue (Cr)'!$C:$FB,97)</f>
        <v>-3</v>
      </c>
      <c r="M164" s="92">
        <f>VLOOKUP($A164,'Data Vlaue (Cr)'!$C:$FB,98)</f>
        <v>-4.0000000000000001E-3</v>
      </c>
      <c r="N164" s="91">
        <f>VLOOKUP($A164,'Data Vlaue (Cr)'!$C:$FB,79)</f>
        <v>2834</v>
      </c>
      <c r="O164" s="92">
        <f>VLOOKUP($A164,'Data Vlaue (Cr)'!$C:$FB,82)</f>
        <v>-2.5000000000000001E-3</v>
      </c>
    </row>
    <row r="165" spans="1:15" x14ac:dyDescent="0.25">
      <c r="A165" s="97" t="str">
        <f>'Data Vlaue (Cr)'!C160</f>
        <v>PETRONET</v>
      </c>
      <c r="B165" s="142">
        <f>VLOOKUP(A165,'Data Vlaue (Cr)'!C160:CW378,99,0)</f>
        <v>1688</v>
      </c>
      <c r="C165" s="90">
        <f>VLOOKUP(A165,'Data Vlaue (Cr)'!C160:CY378,101,0)</f>
        <v>24</v>
      </c>
      <c r="D165" s="139">
        <f>VLOOKUP(A165,'Data Vlaue (Cr)'!C160:CZ378,102,0)</f>
        <v>1.46E-2</v>
      </c>
      <c r="E165" s="91">
        <f>VLOOKUP($A165,'Data Vlaue (Cr)'!$C:$FB,75)</f>
        <v>978</v>
      </c>
      <c r="F165" s="91">
        <f>VLOOKUP($A165,'Data Vlaue (Cr)'!$C:$FB,77)</f>
        <v>-8</v>
      </c>
      <c r="G165" s="92">
        <f>VLOOKUP(A165,'Data Vlaue (Cr)'!C160:CB378,78,0)</f>
        <v>-8.0999999999999996E-3</v>
      </c>
      <c r="H165" s="91">
        <f>VLOOKUP($A165,'Data Vlaue (Cr)'!$C:$FB,91)</f>
        <v>432</v>
      </c>
      <c r="I165" s="91">
        <f>VLOOKUP($A165,'Data Vlaue (Cr)'!$C:$FB,93)</f>
        <v>22</v>
      </c>
      <c r="J165" s="92">
        <f>VLOOKUP($A165,'Data Vlaue (Cr)'!$C:$FB,94)</f>
        <v>5.4199999999999998E-2</v>
      </c>
      <c r="K165" s="91">
        <f>VLOOKUP($A165,'Data Vlaue (Cr)'!$C:$FB,95)</f>
        <v>278</v>
      </c>
      <c r="L165" s="91">
        <f>VLOOKUP($A165,'Data Vlaue (Cr)'!$C:$FB,97)</f>
        <v>10</v>
      </c>
      <c r="M165" s="92">
        <f>VLOOKUP($A165,'Data Vlaue (Cr)'!$C:$FB,98)</f>
        <v>3.7600000000000001E-2</v>
      </c>
      <c r="N165" s="91">
        <f>VLOOKUP($A165,'Data Vlaue (Cr)'!$C:$FB,79)</f>
        <v>941</v>
      </c>
      <c r="O165" s="92">
        <f>VLOOKUP($A165,'Data Vlaue (Cr)'!$C:$FB,82)</f>
        <v>-1.26E-2</v>
      </c>
    </row>
    <row r="166" spans="1:15" x14ac:dyDescent="0.25">
      <c r="A166" s="97" t="str">
        <f>'Data Vlaue (Cr)'!C161</f>
        <v>PFC</v>
      </c>
      <c r="B166" s="142">
        <f>VLOOKUP(A166,'Data Vlaue (Cr)'!C161:CW379,99,0)</f>
        <v>4897</v>
      </c>
      <c r="C166" s="90">
        <f>VLOOKUP(A166,'Data Vlaue (Cr)'!C161:CY379,101,0)</f>
        <v>193</v>
      </c>
      <c r="D166" s="139">
        <f>VLOOKUP(A166,'Data Vlaue (Cr)'!C161:CZ379,102,0)</f>
        <v>4.0899999999999999E-2</v>
      </c>
      <c r="E166" s="91">
        <f>VLOOKUP($A166,'Data Vlaue (Cr)'!$C:$FB,75)</f>
        <v>2707</v>
      </c>
      <c r="F166" s="91">
        <f>VLOOKUP($A166,'Data Vlaue (Cr)'!$C:$FB,77)</f>
        <v>71</v>
      </c>
      <c r="G166" s="92">
        <f>VLOOKUP(A166,'Data Vlaue (Cr)'!C161:CB379,78,0)</f>
        <v>2.7099999999999999E-2</v>
      </c>
      <c r="H166" s="91">
        <f>VLOOKUP($A166,'Data Vlaue (Cr)'!$C:$FB,91)</f>
        <v>1265</v>
      </c>
      <c r="I166" s="91">
        <f>VLOOKUP($A166,'Data Vlaue (Cr)'!$C:$FB,93)</f>
        <v>48</v>
      </c>
      <c r="J166" s="92">
        <f>VLOOKUP($A166,'Data Vlaue (Cr)'!$C:$FB,94)</f>
        <v>3.9699999999999999E-2</v>
      </c>
      <c r="K166" s="91">
        <f>VLOOKUP($A166,'Data Vlaue (Cr)'!$C:$FB,95)</f>
        <v>925</v>
      </c>
      <c r="L166" s="91">
        <f>VLOOKUP($A166,'Data Vlaue (Cr)'!$C:$FB,97)</f>
        <v>73</v>
      </c>
      <c r="M166" s="92">
        <f>VLOOKUP($A166,'Data Vlaue (Cr)'!$C:$FB,98)</f>
        <v>8.5599999999999996E-2</v>
      </c>
      <c r="N166" s="91">
        <f>VLOOKUP($A166,'Data Vlaue (Cr)'!$C:$FB,79)</f>
        <v>2330</v>
      </c>
      <c r="O166" s="92">
        <f>VLOOKUP($A166,'Data Vlaue (Cr)'!$C:$FB,82)</f>
        <v>1.9699999999999999E-2</v>
      </c>
    </row>
    <row r="167" spans="1:15" x14ac:dyDescent="0.25">
      <c r="A167" s="97" t="str">
        <f>'Data Vlaue (Cr)'!C162</f>
        <v>PGEL</v>
      </c>
      <c r="B167" s="142">
        <f>VLOOKUP(A167,'Data Vlaue (Cr)'!C162:CW380,99,0)</f>
        <v>1945</v>
      </c>
      <c r="C167" s="90">
        <f>VLOOKUP(A167,'Data Vlaue (Cr)'!C162:CY380,101,0)</f>
        <v>-21</v>
      </c>
      <c r="D167" s="139">
        <f>VLOOKUP(A167,'Data Vlaue (Cr)'!C162:CZ380,102,0)</f>
        <v>-1.0500000000000001E-2</v>
      </c>
      <c r="E167" s="91">
        <f>VLOOKUP($A167,'Data Vlaue (Cr)'!$C:$FB,75)</f>
        <v>897</v>
      </c>
      <c r="F167" s="91">
        <f>VLOOKUP($A167,'Data Vlaue (Cr)'!$C:$FB,77)</f>
        <v>-15</v>
      </c>
      <c r="G167" s="92">
        <f>VLOOKUP(A167,'Data Vlaue (Cr)'!C162:CB380,78,0)</f>
        <v>-1.6899999999999998E-2</v>
      </c>
      <c r="H167" s="91">
        <f>VLOOKUP($A167,'Data Vlaue (Cr)'!$C:$FB,91)</f>
        <v>480</v>
      </c>
      <c r="I167" s="91">
        <f>VLOOKUP($A167,'Data Vlaue (Cr)'!$C:$FB,93)</f>
        <v>-2</v>
      </c>
      <c r="J167" s="92">
        <f>VLOOKUP($A167,'Data Vlaue (Cr)'!$C:$FB,94)</f>
        <v>-3.5000000000000001E-3</v>
      </c>
      <c r="K167" s="91">
        <f>VLOOKUP($A167,'Data Vlaue (Cr)'!$C:$FB,95)</f>
        <v>568</v>
      </c>
      <c r="L167" s="91">
        <f>VLOOKUP($A167,'Data Vlaue (Cr)'!$C:$FB,97)</f>
        <v>-4</v>
      </c>
      <c r="M167" s="92">
        <f>VLOOKUP($A167,'Data Vlaue (Cr)'!$C:$FB,98)</f>
        <v>-6.1999999999999998E-3</v>
      </c>
      <c r="N167" s="91">
        <f>VLOOKUP($A167,'Data Vlaue (Cr)'!$C:$FB,79)</f>
        <v>754</v>
      </c>
      <c r="O167" s="92">
        <f>VLOOKUP($A167,'Data Vlaue (Cr)'!$C:$FB,82)</f>
        <v>-3.5000000000000003E-2</v>
      </c>
    </row>
    <row r="168" spans="1:15" x14ac:dyDescent="0.25">
      <c r="A168" s="97" t="str">
        <f>'Data Vlaue (Cr)'!C163</f>
        <v>PHOENIXLTD</v>
      </c>
      <c r="B168" s="142">
        <f>VLOOKUP(A168,'Data Vlaue (Cr)'!C163:CW381,99,0)</f>
        <v>927</v>
      </c>
      <c r="C168" s="90">
        <f>VLOOKUP(A168,'Data Vlaue (Cr)'!C163:CY381,101,0)</f>
        <v>-8</v>
      </c>
      <c r="D168" s="139">
        <f>VLOOKUP(A168,'Data Vlaue (Cr)'!C163:CZ381,102,0)</f>
        <v>-8.6E-3</v>
      </c>
      <c r="E168" s="91">
        <f>VLOOKUP($A168,'Data Vlaue (Cr)'!$C:$FB,75)</f>
        <v>681</v>
      </c>
      <c r="F168" s="91">
        <f>VLOOKUP($A168,'Data Vlaue (Cr)'!$C:$FB,77)</f>
        <v>-4</v>
      </c>
      <c r="G168" s="92">
        <f>VLOOKUP(A168,'Data Vlaue (Cr)'!C163:CB381,78,0)</f>
        <v>-6.1999999999999998E-3</v>
      </c>
      <c r="H168" s="91">
        <f>VLOOKUP($A168,'Data Vlaue (Cr)'!$C:$FB,91)</f>
        <v>133</v>
      </c>
      <c r="I168" s="91">
        <f>VLOOKUP($A168,'Data Vlaue (Cr)'!$C:$FB,93)</f>
        <v>5</v>
      </c>
      <c r="J168" s="92">
        <f>VLOOKUP($A168,'Data Vlaue (Cr)'!$C:$FB,94)</f>
        <v>3.5400000000000001E-2</v>
      </c>
      <c r="K168" s="91">
        <f>VLOOKUP($A168,'Data Vlaue (Cr)'!$C:$FB,95)</f>
        <v>113</v>
      </c>
      <c r="L168" s="91">
        <f>VLOOKUP($A168,'Data Vlaue (Cr)'!$C:$FB,97)</f>
        <v>-8</v>
      </c>
      <c r="M168" s="92">
        <f>VLOOKUP($A168,'Data Vlaue (Cr)'!$C:$FB,98)</f>
        <v>-6.83E-2</v>
      </c>
      <c r="N168" s="91">
        <f>VLOOKUP($A168,'Data Vlaue (Cr)'!$C:$FB,79)</f>
        <v>614</v>
      </c>
      <c r="O168" s="92">
        <f>VLOOKUP($A168,'Data Vlaue (Cr)'!$C:$FB,82)</f>
        <v>-7.1999999999999998E-3</v>
      </c>
    </row>
    <row r="169" spans="1:15" x14ac:dyDescent="0.25">
      <c r="A169" s="97" t="str">
        <f>'Data Vlaue (Cr)'!C164</f>
        <v>PIDILITIND</v>
      </c>
      <c r="B169" s="142">
        <f>VLOOKUP(A169,'Data Vlaue (Cr)'!C164:CW382,99,0)</f>
        <v>1621</v>
      </c>
      <c r="C169" s="90">
        <f>VLOOKUP(A169,'Data Vlaue (Cr)'!C164:CY382,101,0)</f>
        <v>28</v>
      </c>
      <c r="D169" s="139">
        <f>VLOOKUP(A169,'Data Vlaue (Cr)'!C164:CZ382,102,0)</f>
        <v>1.77E-2</v>
      </c>
      <c r="E169" s="91">
        <f>VLOOKUP($A169,'Data Vlaue (Cr)'!$C:$FB,75)</f>
        <v>1214</v>
      </c>
      <c r="F169" s="91">
        <f>VLOOKUP($A169,'Data Vlaue (Cr)'!$C:$FB,77)</f>
        <v>-27</v>
      </c>
      <c r="G169" s="92">
        <f>VLOOKUP(A169,'Data Vlaue (Cr)'!C164:CB382,78,0)</f>
        <v>-2.1999999999999999E-2</v>
      </c>
      <c r="H169" s="91">
        <f>VLOOKUP($A169,'Data Vlaue (Cr)'!$C:$FB,91)</f>
        <v>246</v>
      </c>
      <c r="I169" s="91">
        <f>VLOOKUP($A169,'Data Vlaue (Cr)'!$C:$FB,93)</f>
        <v>35</v>
      </c>
      <c r="J169" s="92">
        <f>VLOOKUP($A169,'Data Vlaue (Cr)'!$C:$FB,94)</f>
        <v>0.16550000000000001</v>
      </c>
      <c r="K169" s="91">
        <f>VLOOKUP($A169,'Data Vlaue (Cr)'!$C:$FB,95)</f>
        <v>161</v>
      </c>
      <c r="L169" s="91">
        <f>VLOOKUP($A169,'Data Vlaue (Cr)'!$C:$FB,97)</f>
        <v>21</v>
      </c>
      <c r="M169" s="92">
        <f>VLOOKUP($A169,'Data Vlaue (Cr)'!$C:$FB,98)</f>
        <v>0.14649999999999999</v>
      </c>
      <c r="N169" s="91">
        <f>VLOOKUP($A169,'Data Vlaue (Cr)'!$C:$FB,79)</f>
        <v>1176</v>
      </c>
      <c r="O169" s="92">
        <f>VLOOKUP($A169,'Data Vlaue (Cr)'!$C:$FB,82)</f>
        <v>-2.1700000000000001E-2</v>
      </c>
    </row>
    <row r="170" spans="1:15" x14ac:dyDescent="0.25">
      <c r="A170" s="97" t="str">
        <f>'Data Vlaue (Cr)'!C165</f>
        <v>PIIND</v>
      </c>
      <c r="B170" s="142">
        <f>VLOOKUP(A170,'Data Vlaue (Cr)'!C165:CW383,99,0)</f>
        <v>1251</v>
      </c>
      <c r="C170" s="90">
        <f>VLOOKUP(A170,'Data Vlaue (Cr)'!C165:CY383,101,0)</f>
        <v>60</v>
      </c>
      <c r="D170" s="139">
        <f>VLOOKUP(A170,'Data Vlaue (Cr)'!C165:CZ383,102,0)</f>
        <v>4.99E-2</v>
      </c>
      <c r="E170" s="91">
        <f>VLOOKUP($A170,'Data Vlaue (Cr)'!$C:$FB,75)</f>
        <v>833</v>
      </c>
      <c r="F170" s="91">
        <f>VLOOKUP($A170,'Data Vlaue (Cr)'!$C:$FB,77)</f>
        <v>37</v>
      </c>
      <c r="G170" s="92">
        <f>VLOOKUP(A170,'Data Vlaue (Cr)'!C165:CB383,78,0)</f>
        <v>4.6199999999999998E-2</v>
      </c>
      <c r="H170" s="91">
        <f>VLOOKUP($A170,'Data Vlaue (Cr)'!$C:$FB,91)</f>
        <v>208</v>
      </c>
      <c r="I170" s="91">
        <f>VLOOKUP($A170,'Data Vlaue (Cr)'!$C:$FB,93)</f>
        <v>13</v>
      </c>
      <c r="J170" s="92">
        <f>VLOOKUP($A170,'Data Vlaue (Cr)'!$C:$FB,94)</f>
        <v>6.9099999999999995E-2</v>
      </c>
      <c r="K170" s="91">
        <f>VLOOKUP($A170,'Data Vlaue (Cr)'!$C:$FB,95)</f>
        <v>210</v>
      </c>
      <c r="L170" s="91">
        <f>VLOOKUP($A170,'Data Vlaue (Cr)'!$C:$FB,97)</f>
        <v>9</v>
      </c>
      <c r="M170" s="92">
        <f>VLOOKUP($A170,'Data Vlaue (Cr)'!$C:$FB,98)</f>
        <v>4.6199999999999998E-2</v>
      </c>
      <c r="N170" s="91">
        <f>VLOOKUP($A170,'Data Vlaue (Cr)'!$C:$FB,79)</f>
        <v>778</v>
      </c>
      <c r="O170" s="92">
        <f>VLOOKUP($A170,'Data Vlaue (Cr)'!$C:$FB,82)</f>
        <v>2.24E-2</v>
      </c>
    </row>
    <row r="171" spans="1:15" x14ac:dyDescent="0.25">
      <c r="A171" s="97" t="str">
        <f>'Data Vlaue (Cr)'!C166</f>
        <v>PNB</v>
      </c>
      <c r="B171" s="142">
        <f>VLOOKUP(A171,'Data Vlaue (Cr)'!C166:CW384,99,0)</f>
        <v>4873</v>
      </c>
      <c r="C171" s="90">
        <f>VLOOKUP(A171,'Data Vlaue (Cr)'!C166:CY384,101,0)</f>
        <v>15</v>
      </c>
      <c r="D171" s="139">
        <f>VLOOKUP(A171,'Data Vlaue (Cr)'!C166:CZ384,102,0)</f>
        <v>3.0000000000000001E-3</v>
      </c>
      <c r="E171" s="91">
        <f>VLOOKUP($A171,'Data Vlaue (Cr)'!$C:$FB,75)</f>
        <v>3092</v>
      </c>
      <c r="F171" s="91">
        <f>VLOOKUP($A171,'Data Vlaue (Cr)'!$C:$FB,77)</f>
        <v>-32</v>
      </c>
      <c r="G171" s="92">
        <f>VLOOKUP(A171,'Data Vlaue (Cr)'!C166:CB384,78,0)</f>
        <v>-1.04E-2</v>
      </c>
      <c r="H171" s="91">
        <f>VLOOKUP($A171,'Data Vlaue (Cr)'!$C:$FB,91)</f>
        <v>948</v>
      </c>
      <c r="I171" s="91">
        <f>VLOOKUP($A171,'Data Vlaue (Cr)'!$C:$FB,93)</f>
        <v>31</v>
      </c>
      <c r="J171" s="92">
        <f>VLOOKUP($A171,'Data Vlaue (Cr)'!$C:$FB,94)</f>
        <v>3.4000000000000002E-2</v>
      </c>
      <c r="K171" s="91">
        <f>VLOOKUP($A171,'Data Vlaue (Cr)'!$C:$FB,95)</f>
        <v>833</v>
      </c>
      <c r="L171" s="91">
        <f>VLOOKUP($A171,'Data Vlaue (Cr)'!$C:$FB,97)</f>
        <v>16</v>
      </c>
      <c r="M171" s="92">
        <f>VLOOKUP($A171,'Data Vlaue (Cr)'!$C:$FB,98)</f>
        <v>1.9699999999999999E-2</v>
      </c>
      <c r="N171" s="91">
        <f>VLOOKUP($A171,'Data Vlaue (Cr)'!$C:$FB,79)</f>
        <v>2667</v>
      </c>
      <c r="O171" s="92">
        <f>VLOOKUP($A171,'Data Vlaue (Cr)'!$C:$FB,82)</f>
        <v>-2.52E-2</v>
      </c>
    </row>
    <row r="172" spans="1:15" x14ac:dyDescent="0.25">
      <c r="A172" s="97" t="str">
        <f>'Data Vlaue (Cr)'!C167</f>
        <v>PNBHOUSING</v>
      </c>
      <c r="B172" s="142">
        <f>VLOOKUP(A172,'Data Vlaue (Cr)'!C167:CW385,99,0)</f>
        <v>1748</v>
      </c>
      <c r="C172" s="90">
        <f>VLOOKUP(A172,'Data Vlaue (Cr)'!C167:CY385,101,0)</f>
        <v>131</v>
      </c>
      <c r="D172" s="139">
        <f>VLOOKUP(A172,'Data Vlaue (Cr)'!C167:CZ385,102,0)</f>
        <v>8.1100000000000005E-2</v>
      </c>
      <c r="E172" s="91">
        <f>VLOOKUP($A172,'Data Vlaue (Cr)'!$C:$FB,75)</f>
        <v>1274</v>
      </c>
      <c r="F172" s="91">
        <f>VLOOKUP($A172,'Data Vlaue (Cr)'!$C:$FB,77)</f>
        <v>30</v>
      </c>
      <c r="G172" s="92">
        <f>VLOOKUP(A172,'Data Vlaue (Cr)'!C167:CB385,78,0)</f>
        <v>2.3800000000000002E-2</v>
      </c>
      <c r="H172" s="91">
        <f>VLOOKUP($A172,'Data Vlaue (Cr)'!$C:$FB,91)</f>
        <v>237</v>
      </c>
      <c r="I172" s="91">
        <f>VLOOKUP($A172,'Data Vlaue (Cr)'!$C:$FB,93)</f>
        <v>43</v>
      </c>
      <c r="J172" s="92">
        <f>VLOOKUP($A172,'Data Vlaue (Cr)'!$C:$FB,94)</f>
        <v>0.2243</v>
      </c>
      <c r="K172" s="91">
        <f>VLOOKUP($A172,'Data Vlaue (Cr)'!$C:$FB,95)</f>
        <v>237</v>
      </c>
      <c r="L172" s="91">
        <f>VLOOKUP($A172,'Data Vlaue (Cr)'!$C:$FB,97)</f>
        <v>58</v>
      </c>
      <c r="M172" s="92">
        <f>VLOOKUP($A172,'Data Vlaue (Cr)'!$C:$FB,98)</f>
        <v>0.32569999999999999</v>
      </c>
      <c r="N172" s="91">
        <f>VLOOKUP($A172,'Data Vlaue (Cr)'!$C:$FB,79)</f>
        <v>1240</v>
      </c>
      <c r="O172" s="92">
        <f>VLOOKUP($A172,'Data Vlaue (Cr)'!$C:$FB,82)</f>
        <v>1.9E-2</v>
      </c>
    </row>
    <row r="173" spans="1:15" x14ac:dyDescent="0.25">
      <c r="A173" s="97" t="str">
        <f>'Data Vlaue (Cr)'!C168</f>
        <v>POLICYBZR</v>
      </c>
      <c r="B173" s="142">
        <f>VLOOKUP(A173,'Data Vlaue (Cr)'!C168:CW386,99,0)</f>
        <v>1929</v>
      </c>
      <c r="C173" s="90">
        <f>VLOOKUP(A173,'Data Vlaue (Cr)'!C168:CY386,101,0)</f>
        <v>-52</v>
      </c>
      <c r="D173" s="139">
        <f>VLOOKUP(A173,'Data Vlaue (Cr)'!C168:CZ386,102,0)</f>
        <v>-2.63E-2</v>
      </c>
      <c r="E173" s="91">
        <f>VLOOKUP($A173,'Data Vlaue (Cr)'!$C:$FB,75)</f>
        <v>1289</v>
      </c>
      <c r="F173" s="91">
        <f>VLOOKUP($A173,'Data Vlaue (Cr)'!$C:$FB,77)</f>
        <v>-162</v>
      </c>
      <c r="G173" s="92">
        <f>VLOOKUP(A173,'Data Vlaue (Cr)'!C168:CB386,78,0)</f>
        <v>-0.11169999999999999</v>
      </c>
      <c r="H173" s="91">
        <f>VLOOKUP($A173,'Data Vlaue (Cr)'!$C:$FB,91)</f>
        <v>385</v>
      </c>
      <c r="I173" s="91">
        <f>VLOOKUP($A173,'Data Vlaue (Cr)'!$C:$FB,93)</f>
        <v>54</v>
      </c>
      <c r="J173" s="92">
        <f>VLOOKUP($A173,'Data Vlaue (Cr)'!$C:$FB,94)</f>
        <v>0.16309999999999999</v>
      </c>
      <c r="K173" s="91">
        <f>VLOOKUP($A173,'Data Vlaue (Cr)'!$C:$FB,95)</f>
        <v>255</v>
      </c>
      <c r="L173" s="91">
        <f>VLOOKUP($A173,'Data Vlaue (Cr)'!$C:$FB,97)</f>
        <v>56</v>
      </c>
      <c r="M173" s="92">
        <f>VLOOKUP($A173,'Data Vlaue (Cr)'!$C:$FB,98)</f>
        <v>0.28249999999999997</v>
      </c>
      <c r="N173" s="91">
        <f>VLOOKUP($A173,'Data Vlaue (Cr)'!$C:$FB,79)</f>
        <v>1264</v>
      </c>
      <c r="O173" s="92">
        <f>VLOOKUP($A173,'Data Vlaue (Cr)'!$C:$FB,82)</f>
        <v>-0.1167</v>
      </c>
    </row>
    <row r="174" spans="1:15" x14ac:dyDescent="0.25">
      <c r="A174" s="97" t="str">
        <f>'Data Vlaue (Cr)'!C169</f>
        <v>POLYCAB</v>
      </c>
      <c r="B174" s="142">
        <f>VLOOKUP(A174,'Data Vlaue (Cr)'!C169:CW387,99,0)</f>
        <v>3638</v>
      </c>
      <c r="C174" s="90">
        <f>VLOOKUP(A174,'Data Vlaue (Cr)'!C169:CY387,101,0)</f>
        <v>263</v>
      </c>
      <c r="D174" s="139">
        <f>VLOOKUP(A174,'Data Vlaue (Cr)'!C169:CZ387,102,0)</f>
        <v>7.8E-2</v>
      </c>
      <c r="E174" s="91">
        <f>VLOOKUP($A174,'Data Vlaue (Cr)'!$C:$FB,75)</f>
        <v>1524</v>
      </c>
      <c r="F174" s="91">
        <f>VLOOKUP($A174,'Data Vlaue (Cr)'!$C:$FB,77)</f>
        <v>-68</v>
      </c>
      <c r="G174" s="92">
        <f>VLOOKUP(A174,'Data Vlaue (Cr)'!C169:CB387,78,0)</f>
        <v>-4.2799999999999998E-2</v>
      </c>
      <c r="H174" s="91">
        <f>VLOOKUP($A174,'Data Vlaue (Cr)'!$C:$FB,91)</f>
        <v>943</v>
      </c>
      <c r="I174" s="91">
        <f>VLOOKUP($A174,'Data Vlaue (Cr)'!$C:$FB,93)</f>
        <v>197</v>
      </c>
      <c r="J174" s="92">
        <f>VLOOKUP($A174,'Data Vlaue (Cr)'!$C:$FB,94)</f>
        <v>0.26400000000000001</v>
      </c>
      <c r="K174" s="91">
        <f>VLOOKUP($A174,'Data Vlaue (Cr)'!$C:$FB,95)</f>
        <v>1171</v>
      </c>
      <c r="L174" s="91">
        <f>VLOOKUP($A174,'Data Vlaue (Cr)'!$C:$FB,97)</f>
        <v>135</v>
      </c>
      <c r="M174" s="92">
        <f>VLOOKUP($A174,'Data Vlaue (Cr)'!$C:$FB,98)</f>
        <v>0.1298</v>
      </c>
      <c r="N174" s="91">
        <f>VLOOKUP($A174,'Data Vlaue (Cr)'!$C:$FB,79)</f>
        <v>1442</v>
      </c>
      <c r="O174" s="92">
        <f>VLOOKUP($A174,'Data Vlaue (Cr)'!$C:$FB,82)</f>
        <v>-5.2999999999999999E-2</v>
      </c>
    </row>
    <row r="175" spans="1:15" x14ac:dyDescent="0.25">
      <c r="A175" s="97" t="str">
        <f>'Data Vlaue (Cr)'!C170</f>
        <v>POWERGRID</v>
      </c>
      <c r="B175" s="142">
        <f>VLOOKUP(A175,'Data Vlaue (Cr)'!C170:CW388,99,0)</f>
        <v>4456</v>
      </c>
      <c r="C175" s="90">
        <f>VLOOKUP(A175,'Data Vlaue (Cr)'!C170:CY388,101,0)</f>
        <v>30</v>
      </c>
      <c r="D175" s="139">
        <f>VLOOKUP(A175,'Data Vlaue (Cr)'!C170:CZ388,102,0)</f>
        <v>6.7999999999999996E-3</v>
      </c>
      <c r="E175" s="91">
        <f>VLOOKUP($A175,'Data Vlaue (Cr)'!$C:$FB,75)</f>
        <v>2516</v>
      </c>
      <c r="F175" s="91">
        <f>VLOOKUP($A175,'Data Vlaue (Cr)'!$C:$FB,77)</f>
        <v>-19</v>
      </c>
      <c r="G175" s="92">
        <f>VLOOKUP(A175,'Data Vlaue (Cr)'!C170:CB388,78,0)</f>
        <v>-7.7000000000000002E-3</v>
      </c>
      <c r="H175" s="91">
        <f>VLOOKUP($A175,'Data Vlaue (Cr)'!$C:$FB,91)</f>
        <v>1189</v>
      </c>
      <c r="I175" s="91">
        <f>VLOOKUP($A175,'Data Vlaue (Cr)'!$C:$FB,93)</f>
        <v>-71</v>
      </c>
      <c r="J175" s="92">
        <f>VLOOKUP($A175,'Data Vlaue (Cr)'!$C:$FB,94)</f>
        <v>-5.6500000000000002E-2</v>
      </c>
      <c r="K175" s="91">
        <f>VLOOKUP($A175,'Data Vlaue (Cr)'!$C:$FB,95)</f>
        <v>750</v>
      </c>
      <c r="L175" s="91">
        <f>VLOOKUP($A175,'Data Vlaue (Cr)'!$C:$FB,97)</f>
        <v>121</v>
      </c>
      <c r="M175" s="92">
        <f>VLOOKUP($A175,'Data Vlaue (Cr)'!$C:$FB,98)</f>
        <v>0.19139999999999999</v>
      </c>
      <c r="N175" s="91">
        <f>VLOOKUP($A175,'Data Vlaue (Cr)'!$C:$FB,79)</f>
        <v>2240</v>
      </c>
      <c r="O175" s="92">
        <f>VLOOKUP($A175,'Data Vlaue (Cr)'!$C:$FB,82)</f>
        <v>-1.37E-2</v>
      </c>
    </row>
    <row r="176" spans="1:15" x14ac:dyDescent="0.25">
      <c r="A176" s="97" t="str">
        <f>'Data Vlaue (Cr)'!C171</f>
        <v>POWERINDIA</v>
      </c>
      <c r="B176" s="142">
        <f>VLOOKUP(A176,'Data Vlaue (Cr)'!C171:CW389,99,0)</f>
        <v>2615</v>
      </c>
      <c r="C176" s="90">
        <f>VLOOKUP(A176,'Data Vlaue (Cr)'!C171:CY389,101,0)</f>
        <v>38</v>
      </c>
      <c r="D176" s="139">
        <f>VLOOKUP(A176,'Data Vlaue (Cr)'!C171:CZ389,102,0)</f>
        <v>1.47E-2</v>
      </c>
      <c r="E176" s="91">
        <f>VLOOKUP($A176,'Data Vlaue (Cr)'!$C:$FB,75)</f>
        <v>1127</v>
      </c>
      <c r="F176" s="91">
        <f>VLOOKUP($A176,'Data Vlaue (Cr)'!$C:$FB,77)</f>
        <v>-6</v>
      </c>
      <c r="G176" s="92">
        <f>VLOOKUP(A176,'Data Vlaue (Cr)'!C171:CB389,78,0)</f>
        <v>-5.0000000000000001E-3</v>
      </c>
      <c r="H176" s="91">
        <f>VLOOKUP($A176,'Data Vlaue (Cr)'!$C:$FB,91)</f>
        <v>725</v>
      </c>
      <c r="I176" s="91">
        <f>VLOOKUP($A176,'Data Vlaue (Cr)'!$C:$FB,93)</f>
        <v>-55</v>
      </c>
      <c r="J176" s="92">
        <f>VLOOKUP($A176,'Data Vlaue (Cr)'!$C:$FB,94)</f>
        <v>-7.1099999999999997E-2</v>
      </c>
      <c r="K176" s="91">
        <f>VLOOKUP($A176,'Data Vlaue (Cr)'!$C:$FB,95)</f>
        <v>763</v>
      </c>
      <c r="L176" s="91">
        <f>VLOOKUP($A176,'Data Vlaue (Cr)'!$C:$FB,97)</f>
        <v>99</v>
      </c>
      <c r="M176" s="92">
        <f>VLOOKUP($A176,'Data Vlaue (Cr)'!$C:$FB,98)</f>
        <v>0.1492</v>
      </c>
      <c r="N176" s="91">
        <f>VLOOKUP($A176,'Data Vlaue (Cr)'!$C:$FB,79)</f>
        <v>1051</v>
      </c>
      <c r="O176" s="92">
        <f>VLOOKUP($A176,'Data Vlaue (Cr)'!$C:$FB,82)</f>
        <v>-5.1000000000000004E-3</v>
      </c>
    </row>
    <row r="177" spans="1:15" x14ac:dyDescent="0.25">
      <c r="A177" s="97" t="str">
        <f>'Data Vlaue (Cr)'!C172</f>
        <v>PPLPHARMA</v>
      </c>
      <c r="B177" s="142">
        <f>VLOOKUP(A177,'Data Vlaue (Cr)'!C172:CW390,99,0)</f>
        <v>307</v>
      </c>
      <c r="C177" s="90">
        <f>VLOOKUP(A177,'Data Vlaue (Cr)'!C172:CY390,101,0)</f>
        <v>-1</v>
      </c>
      <c r="D177" s="139">
        <f>VLOOKUP(A177,'Data Vlaue (Cr)'!C172:CZ390,102,0)</f>
        <v>-4.7000000000000002E-3</v>
      </c>
      <c r="E177" s="91">
        <f>VLOOKUP($A177,'Data Vlaue (Cr)'!$C:$FB,75)</f>
        <v>176</v>
      </c>
      <c r="F177" s="91">
        <f>VLOOKUP($A177,'Data Vlaue (Cr)'!$C:$FB,77)</f>
        <v>1</v>
      </c>
      <c r="G177" s="92">
        <f>VLOOKUP(A177,'Data Vlaue (Cr)'!C172:CB390,78,0)</f>
        <v>7.7999999999999996E-3</v>
      </c>
      <c r="H177" s="91">
        <f>VLOOKUP($A177,'Data Vlaue (Cr)'!$C:$FB,91)</f>
        <v>82</v>
      </c>
      <c r="I177" s="91">
        <f>VLOOKUP($A177,'Data Vlaue (Cr)'!$C:$FB,93)</f>
        <v>-3</v>
      </c>
      <c r="J177" s="92">
        <f>VLOOKUP($A177,'Data Vlaue (Cr)'!$C:$FB,94)</f>
        <v>-3.2599999999999997E-2</v>
      </c>
      <c r="K177" s="91">
        <f>VLOOKUP($A177,'Data Vlaue (Cr)'!$C:$FB,95)</f>
        <v>49</v>
      </c>
      <c r="L177" s="91">
        <f>VLOOKUP($A177,'Data Vlaue (Cr)'!$C:$FB,97)</f>
        <v>0</v>
      </c>
      <c r="M177" s="92">
        <f>VLOOKUP($A177,'Data Vlaue (Cr)'!$C:$FB,98)</f>
        <v>-8.0000000000000004E-4</v>
      </c>
      <c r="N177" s="91">
        <f>VLOOKUP($A177,'Data Vlaue (Cr)'!$C:$FB,79)</f>
        <v>176</v>
      </c>
      <c r="O177" s="92">
        <f>VLOOKUP($A177,'Data Vlaue (Cr)'!$C:$FB,82)</f>
        <v>7.7999999999999996E-3</v>
      </c>
    </row>
    <row r="178" spans="1:15" x14ac:dyDescent="0.25">
      <c r="A178" s="97" t="str">
        <f>'Data Vlaue (Cr)'!C173</f>
        <v>PREMIERENE</v>
      </c>
      <c r="B178" s="142">
        <f>VLOOKUP(A178,'Data Vlaue (Cr)'!C173:CW391,99,0)</f>
        <v>1730</v>
      </c>
      <c r="C178" s="90">
        <f>VLOOKUP(A178,'Data Vlaue (Cr)'!C173:CY391,101,0)</f>
        <v>243</v>
      </c>
      <c r="D178" s="139">
        <f>VLOOKUP(A178,'Data Vlaue (Cr)'!C173:CZ391,102,0)</f>
        <v>0.16370000000000001</v>
      </c>
      <c r="E178" s="91">
        <f>VLOOKUP($A178,'Data Vlaue (Cr)'!$C:$FB,75)</f>
        <v>1326</v>
      </c>
      <c r="F178" s="91">
        <f>VLOOKUP($A178,'Data Vlaue (Cr)'!$C:$FB,77)</f>
        <v>225</v>
      </c>
      <c r="G178" s="92">
        <f>VLOOKUP(A178,'Data Vlaue (Cr)'!C173:CB391,78,0)</f>
        <v>0.2039</v>
      </c>
      <c r="H178" s="91">
        <f>VLOOKUP($A178,'Data Vlaue (Cr)'!$C:$FB,91)</f>
        <v>223</v>
      </c>
      <c r="I178" s="91">
        <f>VLOOKUP($A178,'Data Vlaue (Cr)'!$C:$FB,93)</f>
        <v>11</v>
      </c>
      <c r="J178" s="92">
        <f>VLOOKUP($A178,'Data Vlaue (Cr)'!$C:$FB,94)</f>
        <v>5.3699999999999998E-2</v>
      </c>
      <c r="K178" s="91">
        <f>VLOOKUP($A178,'Data Vlaue (Cr)'!$C:$FB,95)</f>
        <v>181</v>
      </c>
      <c r="L178" s="91">
        <f>VLOOKUP($A178,'Data Vlaue (Cr)'!$C:$FB,97)</f>
        <v>7</v>
      </c>
      <c r="M178" s="92">
        <f>VLOOKUP($A178,'Data Vlaue (Cr)'!$C:$FB,98)</f>
        <v>4.2700000000000002E-2</v>
      </c>
      <c r="N178" s="91">
        <f>VLOOKUP($A178,'Data Vlaue (Cr)'!$C:$FB,79)</f>
        <v>1127</v>
      </c>
      <c r="O178" s="92">
        <f>VLOOKUP($A178,'Data Vlaue (Cr)'!$C:$FB,82)</f>
        <v>0.1273</v>
      </c>
    </row>
    <row r="179" spans="1:15" x14ac:dyDescent="0.25">
      <c r="A179" s="97" t="str">
        <f>'Data Vlaue (Cr)'!C174</f>
        <v>PRESTIGE</v>
      </c>
      <c r="B179" s="142">
        <f>VLOOKUP(A179,'Data Vlaue (Cr)'!C174:CW392,99,0)</f>
        <v>1465</v>
      </c>
      <c r="C179" s="90">
        <f>VLOOKUP(A179,'Data Vlaue (Cr)'!C174:CY392,101,0)</f>
        <v>-20</v>
      </c>
      <c r="D179" s="139">
        <f>VLOOKUP(A179,'Data Vlaue (Cr)'!C174:CZ392,102,0)</f>
        <v>-1.34E-2</v>
      </c>
      <c r="E179" s="91">
        <f>VLOOKUP($A179,'Data Vlaue (Cr)'!$C:$FB,75)</f>
        <v>941</v>
      </c>
      <c r="F179" s="91">
        <f>VLOOKUP($A179,'Data Vlaue (Cr)'!$C:$FB,77)</f>
        <v>-13</v>
      </c>
      <c r="G179" s="92">
        <f>VLOOKUP(A179,'Data Vlaue (Cr)'!C174:CB392,78,0)</f>
        <v>-1.3299999999999999E-2</v>
      </c>
      <c r="H179" s="91">
        <f>VLOOKUP($A179,'Data Vlaue (Cr)'!$C:$FB,91)</f>
        <v>300</v>
      </c>
      <c r="I179" s="91">
        <f>VLOOKUP($A179,'Data Vlaue (Cr)'!$C:$FB,93)</f>
        <v>-16</v>
      </c>
      <c r="J179" s="92">
        <f>VLOOKUP($A179,'Data Vlaue (Cr)'!$C:$FB,94)</f>
        <v>-5.0700000000000002E-2</v>
      </c>
      <c r="K179" s="91">
        <f>VLOOKUP($A179,'Data Vlaue (Cr)'!$C:$FB,95)</f>
        <v>223</v>
      </c>
      <c r="L179" s="91">
        <f>VLOOKUP($A179,'Data Vlaue (Cr)'!$C:$FB,97)</f>
        <v>9</v>
      </c>
      <c r="M179" s="92">
        <f>VLOOKUP($A179,'Data Vlaue (Cr)'!$C:$FB,98)</f>
        <v>4.1000000000000002E-2</v>
      </c>
      <c r="N179" s="91">
        <f>VLOOKUP($A179,'Data Vlaue (Cr)'!$C:$FB,79)</f>
        <v>930</v>
      </c>
      <c r="O179" s="92">
        <f>VLOOKUP($A179,'Data Vlaue (Cr)'!$C:$FB,82)</f>
        <v>-1.2999999999999999E-2</v>
      </c>
    </row>
    <row r="180" spans="1:15" x14ac:dyDescent="0.25">
      <c r="A180" s="97" t="str">
        <f>'Data Vlaue (Cr)'!C175</f>
        <v>RBLBANK</v>
      </c>
      <c r="B180" s="142">
        <f>VLOOKUP(A180,'Data Vlaue (Cr)'!C175:CW393,99,0)</f>
        <v>3798</v>
      </c>
      <c r="C180" s="90">
        <f>VLOOKUP(A180,'Data Vlaue (Cr)'!C175:CY393,101,0)</f>
        <v>-8</v>
      </c>
      <c r="D180" s="139">
        <f>VLOOKUP(A180,'Data Vlaue (Cr)'!C175:CZ393,102,0)</f>
        <v>-2E-3</v>
      </c>
      <c r="E180" s="91">
        <f>VLOOKUP($A180,'Data Vlaue (Cr)'!$C:$FB,75)</f>
        <v>1948</v>
      </c>
      <c r="F180" s="91">
        <f>VLOOKUP($A180,'Data Vlaue (Cr)'!$C:$FB,77)</f>
        <v>-10</v>
      </c>
      <c r="G180" s="92">
        <f>VLOOKUP(A180,'Data Vlaue (Cr)'!C175:CB393,78,0)</f>
        <v>-5.0000000000000001E-3</v>
      </c>
      <c r="H180" s="91">
        <f>VLOOKUP($A180,'Data Vlaue (Cr)'!$C:$FB,91)</f>
        <v>973</v>
      </c>
      <c r="I180" s="91">
        <f>VLOOKUP($A180,'Data Vlaue (Cr)'!$C:$FB,93)</f>
        <v>-12</v>
      </c>
      <c r="J180" s="92">
        <f>VLOOKUP($A180,'Data Vlaue (Cr)'!$C:$FB,94)</f>
        <v>-1.17E-2</v>
      </c>
      <c r="K180" s="91">
        <f>VLOOKUP($A180,'Data Vlaue (Cr)'!$C:$FB,95)</f>
        <v>877</v>
      </c>
      <c r="L180" s="91">
        <f>VLOOKUP($A180,'Data Vlaue (Cr)'!$C:$FB,97)</f>
        <v>14</v>
      </c>
      <c r="M180" s="92">
        <f>VLOOKUP($A180,'Data Vlaue (Cr)'!$C:$FB,98)</f>
        <v>1.6E-2</v>
      </c>
      <c r="N180" s="91">
        <f>VLOOKUP($A180,'Data Vlaue (Cr)'!$C:$FB,79)</f>
        <v>1906</v>
      </c>
      <c r="O180" s="92">
        <f>VLOOKUP($A180,'Data Vlaue (Cr)'!$C:$FB,82)</f>
        <v>-8.3999999999999995E-3</v>
      </c>
    </row>
    <row r="181" spans="1:15" x14ac:dyDescent="0.25">
      <c r="A181" s="97" t="str">
        <f>'Data Vlaue (Cr)'!C176</f>
        <v>RECLTD</v>
      </c>
      <c r="B181" s="142">
        <f>VLOOKUP(A181,'Data Vlaue (Cr)'!C176:CW394,99,0)</f>
        <v>4478</v>
      </c>
      <c r="C181" s="90">
        <f>VLOOKUP(A181,'Data Vlaue (Cr)'!C176:CY394,101,0)</f>
        <v>-7</v>
      </c>
      <c r="D181" s="139">
        <f>VLOOKUP(A181,'Data Vlaue (Cr)'!C176:CZ394,102,0)</f>
        <v>-1.5E-3</v>
      </c>
      <c r="E181" s="91">
        <f>VLOOKUP($A181,'Data Vlaue (Cr)'!$C:$FB,75)</f>
        <v>2522</v>
      </c>
      <c r="F181" s="91">
        <f>VLOOKUP($A181,'Data Vlaue (Cr)'!$C:$FB,77)</f>
        <v>4</v>
      </c>
      <c r="G181" s="92">
        <f>VLOOKUP(A181,'Data Vlaue (Cr)'!C176:CB394,78,0)</f>
        <v>1.6000000000000001E-3</v>
      </c>
      <c r="H181" s="91">
        <f>VLOOKUP($A181,'Data Vlaue (Cr)'!$C:$FB,91)</f>
        <v>1020</v>
      </c>
      <c r="I181" s="91">
        <f>VLOOKUP($A181,'Data Vlaue (Cr)'!$C:$FB,93)</f>
        <v>-56</v>
      </c>
      <c r="J181" s="92">
        <f>VLOOKUP($A181,'Data Vlaue (Cr)'!$C:$FB,94)</f>
        <v>-5.1700000000000003E-2</v>
      </c>
      <c r="K181" s="91">
        <f>VLOOKUP($A181,'Data Vlaue (Cr)'!$C:$FB,95)</f>
        <v>937</v>
      </c>
      <c r="L181" s="91">
        <f>VLOOKUP($A181,'Data Vlaue (Cr)'!$C:$FB,97)</f>
        <v>45</v>
      </c>
      <c r="M181" s="92">
        <f>VLOOKUP($A181,'Data Vlaue (Cr)'!$C:$FB,98)</f>
        <v>5.0500000000000003E-2</v>
      </c>
      <c r="N181" s="91">
        <f>VLOOKUP($A181,'Data Vlaue (Cr)'!$C:$FB,79)</f>
        <v>2196</v>
      </c>
      <c r="O181" s="92">
        <f>VLOOKUP($A181,'Data Vlaue (Cr)'!$C:$FB,82)</f>
        <v>-3.5099999999999999E-2</v>
      </c>
    </row>
    <row r="182" spans="1:15" x14ac:dyDescent="0.25">
      <c r="A182" s="97" t="str">
        <f>'Data Vlaue (Cr)'!C177</f>
        <v>RELIANCE</v>
      </c>
      <c r="B182" s="142">
        <f>VLOOKUP(A182,'Data Vlaue (Cr)'!C177:CW395,99,0)</f>
        <v>29317</v>
      </c>
      <c r="C182" s="90">
        <f>VLOOKUP(A182,'Data Vlaue (Cr)'!C177:CY395,101,0)</f>
        <v>-478</v>
      </c>
      <c r="D182" s="139">
        <f>VLOOKUP(A182,'Data Vlaue (Cr)'!C177:CZ395,102,0)</f>
        <v>-1.6E-2</v>
      </c>
      <c r="E182" s="91">
        <f>VLOOKUP($A182,'Data Vlaue (Cr)'!$C:$FB,75)</f>
        <v>13152</v>
      </c>
      <c r="F182" s="91">
        <f>VLOOKUP($A182,'Data Vlaue (Cr)'!$C:$FB,77)</f>
        <v>0</v>
      </c>
      <c r="G182" s="92">
        <f>VLOOKUP(A182,'Data Vlaue (Cr)'!C177:CB395,78,0)</f>
        <v>0</v>
      </c>
      <c r="H182" s="91">
        <f>VLOOKUP($A182,'Data Vlaue (Cr)'!$C:$FB,91)</f>
        <v>10896</v>
      </c>
      <c r="I182" s="91">
        <f>VLOOKUP($A182,'Data Vlaue (Cr)'!$C:$FB,93)</f>
        <v>-561</v>
      </c>
      <c r="J182" s="92">
        <f>VLOOKUP($A182,'Data Vlaue (Cr)'!$C:$FB,94)</f>
        <v>-4.8899999999999999E-2</v>
      </c>
      <c r="K182" s="91">
        <f>VLOOKUP($A182,'Data Vlaue (Cr)'!$C:$FB,95)</f>
        <v>5269</v>
      </c>
      <c r="L182" s="91">
        <f>VLOOKUP($A182,'Data Vlaue (Cr)'!$C:$FB,97)</f>
        <v>83</v>
      </c>
      <c r="M182" s="92">
        <f>VLOOKUP($A182,'Data Vlaue (Cr)'!$C:$FB,98)</f>
        <v>1.6E-2</v>
      </c>
      <c r="N182" s="91">
        <f>VLOOKUP($A182,'Data Vlaue (Cr)'!$C:$FB,79)</f>
        <v>10410</v>
      </c>
      <c r="O182" s="92">
        <f>VLOOKUP($A182,'Data Vlaue (Cr)'!$C:$FB,82)</f>
        <v>-1.2200000000000001E-2</v>
      </c>
    </row>
    <row r="183" spans="1:15" x14ac:dyDescent="0.25">
      <c r="A183" s="97" t="str">
        <f>'Data Vlaue (Cr)'!C178</f>
        <v>RVNL</v>
      </c>
      <c r="B183" s="142">
        <f>VLOOKUP(A183,'Data Vlaue (Cr)'!C178:CW396,99,0)</f>
        <v>3196</v>
      </c>
      <c r="C183" s="90">
        <f>VLOOKUP(A183,'Data Vlaue (Cr)'!C178:CY396,101,0)</f>
        <v>451</v>
      </c>
      <c r="D183" s="139">
        <f>VLOOKUP(A183,'Data Vlaue (Cr)'!C178:CZ396,102,0)</f>
        <v>0.16450000000000001</v>
      </c>
      <c r="E183" s="91">
        <f>VLOOKUP($A183,'Data Vlaue (Cr)'!$C:$FB,75)</f>
        <v>1971</v>
      </c>
      <c r="F183" s="91">
        <f>VLOOKUP($A183,'Data Vlaue (Cr)'!$C:$FB,77)</f>
        <v>198</v>
      </c>
      <c r="G183" s="92">
        <f>VLOOKUP(A183,'Data Vlaue (Cr)'!C178:CB396,78,0)</f>
        <v>0.1116</v>
      </c>
      <c r="H183" s="91">
        <f>VLOOKUP($A183,'Data Vlaue (Cr)'!$C:$FB,91)</f>
        <v>738</v>
      </c>
      <c r="I183" s="91">
        <f>VLOOKUP($A183,'Data Vlaue (Cr)'!$C:$FB,93)</f>
        <v>172</v>
      </c>
      <c r="J183" s="92">
        <f>VLOOKUP($A183,'Data Vlaue (Cr)'!$C:$FB,94)</f>
        <v>0.3049</v>
      </c>
      <c r="K183" s="91">
        <f>VLOOKUP($A183,'Data Vlaue (Cr)'!$C:$FB,95)</f>
        <v>487</v>
      </c>
      <c r="L183" s="91">
        <f>VLOOKUP($A183,'Data Vlaue (Cr)'!$C:$FB,97)</f>
        <v>81</v>
      </c>
      <c r="M183" s="92">
        <f>VLOOKUP($A183,'Data Vlaue (Cr)'!$C:$FB,98)</f>
        <v>0.20019999999999999</v>
      </c>
      <c r="N183" s="91">
        <f>VLOOKUP($A183,'Data Vlaue (Cr)'!$C:$FB,79)</f>
        <v>1495</v>
      </c>
      <c r="O183" s="92">
        <f>VLOOKUP($A183,'Data Vlaue (Cr)'!$C:$FB,82)</f>
        <v>7.9399999999999998E-2</v>
      </c>
    </row>
    <row r="184" spans="1:15" x14ac:dyDescent="0.25">
      <c r="A184" s="97" t="str">
        <f>'Data Vlaue (Cr)'!C179</f>
        <v>SAIL</v>
      </c>
      <c r="B184" s="142">
        <f>VLOOKUP(A184,'Data Vlaue (Cr)'!C179:CW397,99,0)</f>
        <v>3804</v>
      </c>
      <c r="C184" s="90">
        <f>VLOOKUP(A184,'Data Vlaue (Cr)'!C179:CY397,101,0)</f>
        <v>-35</v>
      </c>
      <c r="D184" s="139">
        <f>VLOOKUP(A184,'Data Vlaue (Cr)'!C179:CZ397,102,0)</f>
        <v>-9.1999999999999998E-3</v>
      </c>
      <c r="E184" s="91">
        <f>VLOOKUP($A184,'Data Vlaue (Cr)'!$C:$FB,75)</f>
        <v>3483</v>
      </c>
      <c r="F184" s="91">
        <f>VLOOKUP($A184,'Data Vlaue (Cr)'!$C:$FB,77)</f>
        <v>-29</v>
      </c>
      <c r="G184" s="92">
        <f>VLOOKUP(A184,'Data Vlaue (Cr)'!C179:CB397,78,0)</f>
        <v>-8.3000000000000001E-3</v>
      </c>
      <c r="H184" s="91">
        <f>VLOOKUP($A184,'Data Vlaue (Cr)'!$C:$FB,91)</f>
        <v>184</v>
      </c>
      <c r="I184" s="91">
        <f>VLOOKUP($A184,'Data Vlaue (Cr)'!$C:$FB,93)</f>
        <v>-4</v>
      </c>
      <c r="J184" s="92">
        <f>VLOOKUP($A184,'Data Vlaue (Cr)'!$C:$FB,94)</f>
        <v>-1.95E-2</v>
      </c>
      <c r="K184" s="91">
        <f>VLOOKUP($A184,'Data Vlaue (Cr)'!$C:$FB,95)</f>
        <v>137</v>
      </c>
      <c r="L184" s="91">
        <f>VLOOKUP($A184,'Data Vlaue (Cr)'!$C:$FB,97)</f>
        <v>-3</v>
      </c>
      <c r="M184" s="92">
        <f>VLOOKUP($A184,'Data Vlaue (Cr)'!$C:$FB,98)</f>
        <v>-1.8100000000000002E-2</v>
      </c>
      <c r="N184" s="91">
        <f>VLOOKUP($A184,'Data Vlaue (Cr)'!$C:$FB,79)</f>
        <v>2860</v>
      </c>
      <c r="O184" s="92">
        <f>VLOOKUP($A184,'Data Vlaue (Cr)'!$C:$FB,82)</f>
        <v>-7.7999999999999996E-3</v>
      </c>
    </row>
    <row r="185" spans="1:15" x14ac:dyDescent="0.25">
      <c r="A185" s="97" t="str">
        <f>'Data Vlaue (Cr)'!C180</f>
        <v>SAMMAANCAP</v>
      </c>
      <c r="B185" s="142">
        <f>VLOOKUP(A185,'Data Vlaue (Cr)'!C180:CW398,99,0)</f>
        <v>2083</v>
      </c>
      <c r="C185" s="90">
        <f>VLOOKUP(A185,'Data Vlaue (Cr)'!C180:CY398,101,0)</f>
        <v>-27</v>
      </c>
      <c r="D185" s="139">
        <f>VLOOKUP(A185,'Data Vlaue (Cr)'!C180:CZ398,102,0)</f>
        <v>-1.26E-2</v>
      </c>
      <c r="E185" s="91">
        <f>VLOOKUP($A185,'Data Vlaue (Cr)'!$C:$FB,75)</f>
        <v>1520</v>
      </c>
      <c r="F185" s="91">
        <f>VLOOKUP($A185,'Data Vlaue (Cr)'!$C:$FB,77)</f>
        <v>-24</v>
      </c>
      <c r="G185" s="92">
        <f>VLOOKUP(A185,'Data Vlaue (Cr)'!C180:CB398,78,0)</f>
        <v>-1.54E-2</v>
      </c>
      <c r="H185" s="91">
        <f>VLOOKUP($A185,'Data Vlaue (Cr)'!$C:$FB,91)</f>
        <v>270</v>
      </c>
      <c r="I185" s="91">
        <f>VLOOKUP($A185,'Data Vlaue (Cr)'!$C:$FB,93)</f>
        <v>-1</v>
      </c>
      <c r="J185" s="92">
        <f>VLOOKUP($A185,'Data Vlaue (Cr)'!$C:$FB,94)</f>
        <v>-2.7000000000000001E-3</v>
      </c>
      <c r="K185" s="91">
        <f>VLOOKUP($A185,'Data Vlaue (Cr)'!$C:$FB,95)</f>
        <v>292</v>
      </c>
      <c r="L185" s="91">
        <f>VLOOKUP($A185,'Data Vlaue (Cr)'!$C:$FB,97)</f>
        <v>-2</v>
      </c>
      <c r="M185" s="92">
        <f>VLOOKUP($A185,'Data Vlaue (Cr)'!$C:$FB,98)</f>
        <v>-7.1999999999999998E-3</v>
      </c>
      <c r="N185" s="91">
        <f>VLOOKUP($A185,'Data Vlaue (Cr)'!$C:$FB,79)</f>
        <v>1457</v>
      </c>
      <c r="O185" s="92">
        <f>VLOOKUP($A185,'Data Vlaue (Cr)'!$C:$FB,82)</f>
        <v>-1.54E-2</v>
      </c>
    </row>
    <row r="186" spans="1:15" x14ac:dyDescent="0.25">
      <c r="A186" s="97" t="str">
        <f>'Data Vlaue (Cr)'!C181</f>
        <v>SBICARD</v>
      </c>
      <c r="B186" s="142">
        <f>VLOOKUP(A186,'Data Vlaue (Cr)'!C181:CW399,99,0)</f>
        <v>2855</v>
      </c>
      <c r="C186" s="90">
        <f>VLOOKUP(A186,'Data Vlaue (Cr)'!C181:CY399,101,0)</f>
        <v>103</v>
      </c>
      <c r="D186" s="139">
        <f>VLOOKUP(A186,'Data Vlaue (Cr)'!C181:CZ399,102,0)</f>
        <v>3.7400000000000003E-2</v>
      </c>
      <c r="E186" s="91">
        <f>VLOOKUP($A186,'Data Vlaue (Cr)'!$C:$FB,75)</f>
        <v>1926</v>
      </c>
      <c r="F186" s="91">
        <f>VLOOKUP($A186,'Data Vlaue (Cr)'!$C:$FB,77)</f>
        <v>65</v>
      </c>
      <c r="G186" s="92">
        <f>VLOOKUP(A186,'Data Vlaue (Cr)'!C181:CB399,78,0)</f>
        <v>3.4700000000000002E-2</v>
      </c>
      <c r="H186" s="91">
        <f>VLOOKUP($A186,'Data Vlaue (Cr)'!$C:$FB,91)</f>
        <v>533</v>
      </c>
      <c r="I186" s="91">
        <f>VLOOKUP($A186,'Data Vlaue (Cr)'!$C:$FB,93)</f>
        <v>36</v>
      </c>
      <c r="J186" s="92">
        <f>VLOOKUP($A186,'Data Vlaue (Cr)'!$C:$FB,94)</f>
        <v>7.3099999999999998E-2</v>
      </c>
      <c r="K186" s="91">
        <f>VLOOKUP($A186,'Data Vlaue (Cr)'!$C:$FB,95)</f>
        <v>396</v>
      </c>
      <c r="L186" s="91">
        <f>VLOOKUP($A186,'Data Vlaue (Cr)'!$C:$FB,97)</f>
        <v>2</v>
      </c>
      <c r="M186" s="92">
        <f>VLOOKUP($A186,'Data Vlaue (Cr)'!$C:$FB,98)</f>
        <v>5.4000000000000003E-3</v>
      </c>
      <c r="N186" s="91">
        <f>VLOOKUP($A186,'Data Vlaue (Cr)'!$C:$FB,79)</f>
        <v>1620</v>
      </c>
      <c r="O186" s="92">
        <f>VLOOKUP($A186,'Data Vlaue (Cr)'!$C:$FB,82)</f>
        <v>1.32E-2</v>
      </c>
    </row>
    <row r="187" spans="1:15" x14ac:dyDescent="0.25">
      <c r="A187" s="97" t="str">
        <f>'Data Vlaue (Cr)'!C182</f>
        <v>SBILIFE</v>
      </c>
      <c r="B187" s="142">
        <f>VLOOKUP(A187,'Data Vlaue (Cr)'!C182:CW400,99,0)</f>
        <v>3258</v>
      </c>
      <c r="C187" s="90">
        <f>VLOOKUP(A187,'Data Vlaue (Cr)'!C182:CY400,101,0)</f>
        <v>182</v>
      </c>
      <c r="D187" s="139">
        <f>VLOOKUP(A187,'Data Vlaue (Cr)'!C182:CZ400,102,0)</f>
        <v>5.9200000000000003E-2</v>
      </c>
      <c r="E187" s="91">
        <f>VLOOKUP($A187,'Data Vlaue (Cr)'!$C:$FB,75)</f>
        <v>2085</v>
      </c>
      <c r="F187" s="91">
        <f>VLOOKUP($A187,'Data Vlaue (Cr)'!$C:$FB,77)</f>
        <v>-11</v>
      </c>
      <c r="G187" s="92">
        <f>VLOOKUP(A187,'Data Vlaue (Cr)'!C182:CB400,78,0)</f>
        <v>-5.4000000000000003E-3</v>
      </c>
      <c r="H187" s="91">
        <f>VLOOKUP($A187,'Data Vlaue (Cr)'!$C:$FB,91)</f>
        <v>731</v>
      </c>
      <c r="I187" s="91">
        <f>VLOOKUP($A187,'Data Vlaue (Cr)'!$C:$FB,93)</f>
        <v>150</v>
      </c>
      <c r="J187" s="92">
        <f>VLOOKUP($A187,'Data Vlaue (Cr)'!$C:$FB,94)</f>
        <v>0.25779999999999997</v>
      </c>
      <c r="K187" s="91">
        <f>VLOOKUP($A187,'Data Vlaue (Cr)'!$C:$FB,95)</f>
        <v>443</v>
      </c>
      <c r="L187" s="91">
        <f>VLOOKUP($A187,'Data Vlaue (Cr)'!$C:$FB,97)</f>
        <v>44</v>
      </c>
      <c r="M187" s="92">
        <f>VLOOKUP($A187,'Data Vlaue (Cr)'!$C:$FB,98)</f>
        <v>0.1094</v>
      </c>
      <c r="N187" s="91">
        <f>VLOOKUP($A187,'Data Vlaue (Cr)'!$C:$FB,79)</f>
        <v>1949</v>
      </c>
      <c r="O187" s="92">
        <f>VLOOKUP($A187,'Data Vlaue (Cr)'!$C:$FB,82)</f>
        <v>-6.7000000000000002E-3</v>
      </c>
    </row>
    <row r="188" spans="1:15" x14ac:dyDescent="0.25">
      <c r="A188" s="97" t="str">
        <f>'Data Vlaue (Cr)'!C183</f>
        <v>SBIN</v>
      </c>
      <c r="B188" s="142">
        <f>VLOOKUP(A188,'Data Vlaue (Cr)'!C183:CW401,99,0)</f>
        <v>17494</v>
      </c>
      <c r="C188" s="90">
        <f>VLOOKUP(A188,'Data Vlaue (Cr)'!C183:CY401,101,0)</f>
        <v>360</v>
      </c>
      <c r="D188" s="139">
        <f>VLOOKUP(A188,'Data Vlaue (Cr)'!C183:CZ401,102,0)</f>
        <v>2.1000000000000001E-2</v>
      </c>
      <c r="E188" s="91">
        <f>VLOOKUP($A188,'Data Vlaue (Cr)'!$C:$FB,75)</f>
        <v>8726</v>
      </c>
      <c r="F188" s="91">
        <f>VLOOKUP($A188,'Data Vlaue (Cr)'!$C:$FB,77)</f>
        <v>152</v>
      </c>
      <c r="G188" s="92">
        <f>VLOOKUP(A188,'Data Vlaue (Cr)'!C183:CB401,78,0)</f>
        <v>1.77E-2</v>
      </c>
      <c r="H188" s="91">
        <f>VLOOKUP($A188,'Data Vlaue (Cr)'!$C:$FB,91)</f>
        <v>4856</v>
      </c>
      <c r="I188" s="91">
        <f>VLOOKUP($A188,'Data Vlaue (Cr)'!$C:$FB,93)</f>
        <v>-82</v>
      </c>
      <c r="J188" s="92">
        <f>VLOOKUP($A188,'Data Vlaue (Cr)'!$C:$FB,94)</f>
        <v>-1.66E-2</v>
      </c>
      <c r="K188" s="91">
        <f>VLOOKUP($A188,'Data Vlaue (Cr)'!$C:$FB,95)</f>
        <v>3912</v>
      </c>
      <c r="L188" s="91">
        <f>VLOOKUP($A188,'Data Vlaue (Cr)'!$C:$FB,97)</f>
        <v>290</v>
      </c>
      <c r="M188" s="92">
        <f>VLOOKUP($A188,'Data Vlaue (Cr)'!$C:$FB,98)</f>
        <v>8.0199999999999994E-2</v>
      </c>
      <c r="N188" s="91">
        <f>VLOOKUP($A188,'Data Vlaue (Cr)'!$C:$FB,79)</f>
        <v>7773</v>
      </c>
      <c r="O188" s="92">
        <f>VLOOKUP($A188,'Data Vlaue (Cr)'!$C:$FB,82)</f>
        <v>0</v>
      </c>
    </row>
    <row r="189" spans="1:15" x14ac:dyDescent="0.25">
      <c r="A189" s="97" t="str">
        <f>'Data Vlaue (Cr)'!C184</f>
        <v>SHREECEM</v>
      </c>
      <c r="B189" s="142">
        <f>VLOOKUP(A189,'Data Vlaue (Cr)'!C184:CW402,99,0)</f>
        <v>1221</v>
      </c>
      <c r="C189" s="90">
        <f>VLOOKUP(A189,'Data Vlaue (Cr)'!C184:CY402,101,0)</f>
        <v>7</v>
      </c>
      <c r="D189" s="139">
        <f>VLOOKUP(A189,'Data Vlaue (Cr)'!C184:CZ402,102,0)</f>
        <v>6.1000000000000004E-3</v>
      </c>
      <c r="E189" s="91">
        <f>VLOOKUP($A189,'Data Vlaue (Cr)'!$C:$FB,75)</f>
        <v>958</v>
      </c>
      <c r="F189" s="91">
        <f>VLOOKUP($A189,'Data Vlaue (Cr)'!$C:$FB,77)</f>
        <v>-2</v>
      </c>
      <c r="G189" s="92">
        <f>VLOOKUP(A189,'Data Vlaue (Cr)'!C184:CB402,78,0)</f>
        <v>-2E-3</v>
      </c>
      <c r="H189" s="91">
        <f>VLOOKUP($A189,'Data Vlaue (Cr)'!$C:$FB,91)</f>
        <v>142</v>
      </c>
      <c r="I189" s="91">
        <f>VLOOKUP($A189,'Data Vlaue (Cr)'!$C:$FB,93)</f>
        <v>5</v>
      </c>
      <c r="J189" s="92">
        <f>VLOOKUP($A189,'Data Vlaue (Cr)'!$C:$FB,94)</f>
        <v>3.9199999999999999E-2</v>
      </c>
      <c r="K189" s="91">
        <f>VLOOKUP($A189,'Data Vlaue (Cr)'!$C:$FB,95)</f>
        <v>121</v>
      </c>
      <c r="L189" s="91">
        <f>VLOOKUP($A189,'Data Vlaue (Cr)'!$C:$FB,97)</f>
        <v>4</v>
      </c>
      <c r="M189" s="92">
        <f>VLOOKUP($A189,'Data Vlaue (Cr)'!$C:$FB,98)</f>
        <v>3.3500000000000002E-2</v>
      </c>
      <c r="N189" s="91">
        <f>VLOOKUP($A189,'Data Vlaue (Cr)'!$C:$FB,79)</f>
        <v>915</v>
      </c>
      <c r="O189" s="92">
        <f>VLOOKUP($A189,'Data Vlaue (Cr)'!$C:$FB,82)</f>
        <v>-7.1000000000000004E-3</v>
      </c>
    </row>
    <row r="190" spans="1:15" x14ac:dyDescent="0.25">
      <c r="A190" s="97" t="str">
        <f>'Data Vlaue (Cr)'!C185</f>
        <v>SHRIRAMFIN</v>
      </c>
      <c r="B190" s="142">
        <f>VLOOKUP(A190,'Data Vlaue (Cr)'!C185:CW403,99,0)</f>
        <v>6725</v>
      </c>
      <c r="C190" s="90">
        <f>VLOOKUP(A190,'Data Vlaue (Cr)'!C185:CY403,101,0)</f>
        <v>-118</v>
      </c>
      <c r="D190" s="139">
        <f>VLOOKUP(A190,'Data Vlaue (Cr)'!C185:CZ403,102,0)</f>
        <v>-1.7299999999999999E-2</v>
      </c>
      <c r="E190" s="91">
        <f>VLOOKUP($A190,'Data Vlaue (Cr)'!$C:$FB,75)</f>
        <v>4220</v>
      </c>
      <c r="F190" s="91">
        <f>VLOOKUP($A190,'Data Vlaue (Cr)'!$C:$FB,77)</f>
        <v>-73</v>
      </c>
      <c r="G190" s="92">
        <f>VLOOKUP(A190,'Data Vlaue (Cr)'!C185:CB403,78,0)</f>
        <v>-1.7100000000000001E-2</v>
      </c>
      <c r="H190" s="91">
        <f>VLOOKUP($A190,'Data Vlaue (Cr)'!$C:$FB,91)</f>
        <v>1452</v>
      </c>
      <c r="I190" s="91">
        <f>VLOOKUP($A190,'Data Vlaue (Cr)'!$C:$FB,93)</f>
        <v>-38</v>
      </c>
      <c r="J190" s="92">
        <f>VLOOKUP($A190,'Data Vlaue (Cr)'!$C:$FB,94)</f>
        <v>-2.53E-2</v>
      </c>
      <c r="K190" s="91">
        <f>VLOOKUP($A190,'Data Vlaue (Cr)'!$C:$FB,95)</f>
        <v>1053</v>
      </c>
      <c r="L190" s="91">
        <f>VLOOKUP($A190,'Data Vlaue (Cr)'!$C:$FB,97)</f>
        <v>-7</v>
      </c>
      <c r="M190" s="92">
        <f>VLOOKUP($A190,'Data Vlaue (Cr)'!$C:$FB,98)</f>
        <v>-7.0000000000000001E-3</v>
      </c>
      <c r="N190" s="91">
        <f>VLOOKUP($A190,'Data Vlaue (Cr)'!$C:$FB,79)</f>
        <v>3722</v>
      </c>
      <c r="O190" s="92">
        <f>VLOOKUP($A190,'Data Vlaue (Cr)'!$C:$FB,82)</f>
        <v>-4.19E-2</v>
      </c>
    </row>
    <row r="191" spans="1:15" x14ac:dyDescent="0.25">
      <c r="A191" s="97" t="str">
        <f>'Data Vlaue (Cr)'!C186</f>
        <v>SIEMENS</v>
      </c>
      <c r="B191" s="142">
        <f>VLOOKUP(A191,'Data Vlaue (Cr)'!C186:CW404,99,0)</f>
        <v>2294</v>
      </c>
      <c r="C191" s="90">
        <f>VLOOKUP(A191,'Data Vlaue (Cr)'!C186:CY404,101,0)</f>
        <v>53</v>
      </c>
      <c r="D191" s="139">
        <f>VLOOKUP(A191,'Data Vlaue (Cr)'!C186:CZ404,102,0)</f>
        <v>2.35E-2</v>
      </c>
      <c r="E191" s="91">
        <f>VLOOKUP($A191,'Data Vlaue (Cr)'!$C:$FB,75)</f>
        <v>1282</v>
      </c>
      <c r="F191" s="91">
        <f>VLOOKUP($A191,'Data Vlaue (Cr)'!$C:$FB,77)</f>
        <v>-4</v>
      </c>
      <c r="G191" s="92">
        <f>VLOOKUP(A191,'Data Vlaue (Cr)'!C186:CB404,78,0)</f>
        <v>-3.2000000000000002E-3</v>
      </c>
      <c r="H191" s="91">
        <f>VLOOKUP($A191,'Data Vlaue (Cr)'!$C:$FB,91)</f>
        <v>518</v>
      </c>
      <c r="I191" s="91">
        <f>VLOOKUP($A191,'Data Vlaue (Cr)'!$C:$FB,93)</f>
        <v>-23</v>
      </c>
      <c r="J191" s="92">
        <f>VLOOKUP($A191,'Data Vlaue (Cr)'!$C:$FB,94)</f>
        <v>-4.2500000000000003E-2</v>
      </c>
      <c r="K191" s="91">
        <f>VLOOKUP($A191,'Data Vlaue (Cr)'!$C:$FB,95)</f>
        <v>494</v>
      </c>
      <c r="L191" s="91">
        <f>VLOOKUP($A191,'Data Vlaue (Cr)'!$C:$FB,97)</f>
        <v>80</v>
      </c>
      <c r="M191" s="92">
        <f>VLOOKUP($A191,'Data Vlaue (Cr)'!$C:$FB,98)</f>
        <v>0.19289999999999999</v>
      </c>
      <c r="N191" s="91">
        <f>VLOOKUP($A191,'Data Vlaue (Cr)'!$C:$FB,79)</f>
        <v>1184</v>
      </c>
      <c r="O191" s="92">
        <f>VLOOKUP($A191,'Data Vlaue (Cr)'!$C:$FB,82)</f>
        <v>-1.26E-2</v>
      </c>
    </row>
    <row r="192" spans="1:15" x14ac:dyDescent="0.25">
      <c r="A192" s="97" t="str">
        <f>'Data Vlaue (Cr)'!C187</f>
        <v>SOLARINDS</v>
      </c>
      <c r="B192" s="142">
        <f>VLOOKUP(A192,'Data Vlaue (Cr)'!C187:CW405,99,0)</f>
        <v>1994</v>
      </c>
      <c r="C192" s="90">
        <f>VLOOKUP(A192,'Data Vlaue (Cr)'!C187:CY405,101,0)</f>
        <v>48</v>
      </c>
      <c r="D192" s="139">
        <f>VLOOKUP(A192,'Data Vlaue (Cr)'!C187:CZ405,102,0)</f>
        <v>2.4500000000000001E-2</v>
      </c>
      <c r="E192" s="91">
        <f>VLOOKUP($A192,'Data Vlaue (Cr)'!$C:$FB,75)</f>
        <v>1187</v>
      </c>
      <c r="F192" s="91">
        <f>VLOOKUP($A192,'Data Vlaue (Cr)'!$C:$FB,77)</f>
        <v>14</v>
      </c>
      <c r="G192" s="92">
        <f>VLOOKUP(A192,'Data Vlaue (Cr)'!C187:CB405,78,0)</f>
        <v>1.2E-2</v>
      </c>
      <c r="H192" s="91">
        <f>VLOOKUP($A192,'Data Vlaue (Cr)'!$C:$FB,91)</f>
        <v>457</v>
      </c>
      <c r="I192" s="91">
        <f>VLOOKUP($A192,'Data Vlaue (Cr)'!$C:$FB,93)</f>
        <v>14</v>
      </c>
      <c r="J192" s="92">
        <f>VLOOKUP($A192,'Data Vlaue (Cr)'!$C:$FB,94)</f>
        <v>3.1399999999999997E-2</v>
      </c>
      <c r="K192" s="91">
        <f>VLOOKUP($A192,'Data Vlaue (Cr)'!$C:$FB,95)</f>
        <v>350</v>
      </c>
      <c r="L192" s="91">
        <f>VLOOKUP($A192,'Data Vlaue (Cr)'!$C:$FB,97)</f>
        <v>20</v>
      </c>
      <c r="M192" s="92">
        <f>VLOOKUP($A192,'Data Vlaue (Cr)'!$C:$FB,98)</f>
        <v>5.9700000000000003E-2</v>
      </c>
      <c r="N192" s="91">
        <f>VLOOKUP($A192,'Data Vlaue (Cr)'!$C:$FB,79)</f>
        <v>997</v>
      </c>
      <c r="O192" s="92">
        <f>VLOOKUP($A192,'Data Vlaue (Cr)'!$C:$FB,82)</f>
        <v>-7.4999999999999997E-3</v>
      </c>
    </row>
    <row r="193" spans="1:15" x14ac:dyDescent="0.25">
      <c r="A193" s="97" t="str">
        <f>'Data Vlaue (Cr)'!C188</f>
        <v>SONACOMS</v>
      </c>
      <c r="B193" s="142">
        <f>VLOOKUP(A193,'Data Vlaue (Cr)'!C188:CW406,99,0)</f>
        <v>1330</v>
      </c>
      <c r="C193" s="90">
        <f>VLOOKUP(A193,'Data Vlaue (Cr)'!C188:CY406,101,0)</f>
        <v>9</v>
      </c>
      <c r="D193" s="139">
        <f>VLOOKUP(A193,'Data Vlaue (Cr)'!C188:CZ406,102,0)</f>
        <v>7.0000000000000001E-3</v>
      </c>
      <c r="E193" s="91">
        <f>VLOOKUP($A193,'Data Vlaue (Cr)'!$C:$FB,75)</f>
        <v>849</v>
      </c>
      <c r="F193" s="91">
        <f>VLOOKUP($A193,'Data Vlaue (Cr)'!$C:$FB,77)</f>
        <v>1</v>
      </c>
      <c r="G193" s="92">
        <f>VLOOKUP(A193,'Data Vlaue (Cr)'!C188:CB406,78,0)</f>
        <v>1.2999999999999999E-3</v>
      </c>
      <c r="H193" s="91">
        <f>VLOOKUP($A193,'Data Vlaue (Cr)'!$C:$FB,91)</f>
        <v>269</v>
      </c>
      <c r="I193" s="91">
        <f>VLOOKUP($A193,'Data Vlaue (Cr)'!$C:$FB,93)</f>
        <v>7</v>
      </c>
      <c r="J193" s="92">
        <f>VLOOKUP($A193,'Data Vlaue (Cr)'!$C:$FB,94)</f>
        <v>2.7799999999999998E-2</v>
      </c>
      <c r="K193" s="91">
        <f>VLOOKUP($A193,'Data Vlaue (Cr)'!$C:$FB,95)</f>
        <v>211</v>
      </c>
      <c r="L193" s="91">
        <f>VLOOKUP($A193,'Data Vlaue (Cr)'!$C:$FB,97)</f>
        <v>1</v>
      </c>
      <c r="M193" s="92">
        <f>VLOOKUP($A193,'Data Vlaue (Cr)'!$C:$FB,98)</f>
        <v>4.1999999999999997E-3</v>
      </c>
      <c r="N193" s="91">
        <f>VLOOKUP($A193,'Data Vlaue (Cr)'!$C:$FB,79)</f>
        <v>822</v>
      </c>
      <c r="O193" s="92">
        <f>VLOOKUP($A193,'Data Vlaue (Cr)'!$C:$FB,82)</f>
        <v>-7.9000000000000008E-3</v>
      </c>
    </row>
    <row r="194" spans="1:15" x14ac:dyDescent="0.25">
      <c r="A194" s="97" t="str">
        <f>'Data Vlaue (Cr)'!C189</f>
        <v>SRF</v>
      </c>
      <c r="B194" s="142">
        <f>VLOOKUP(A194,'Data Vlaue (Cr)'!C189:CW407,99,0)</f>
        <v>1869</v>
      </c>
      <c r="C194" s="90">
        <f>VLOOKUP(A194,'Data Vlaue (Cr)'!C189:CY407,101,0)</f>
        <v>126</v>
      </c>
      <c r="D194" s="139">
        <f>VLOOKUP(A194,'Data Vlaue (Cr)'!C189:CZ407,102,0)</f>
        <v>7.2300000000000003E-2</v>
      </c>
      <c r="E194" s="91">
        <f>VLOOKUP($A194,'Data Vlaue (Cr)'!$C:$FB,75)</f>
        <v>1056</v>
      </c>
      <c r="F194" s="91">
        <f>VLOOKUP($A194,'Data Vlaue (Cr)'!$C:$FB,77)</f>
        <v>12</v>
      </c>
      <c r="G194" s="92">
        <f>VLOOKUP(A194,'Data Vlaue (Cr)'!C189:CB407,78,0)</f>
        <v>1.12E-2</v>
      </c>
      <c r="H194" s="91">
        <f>VLOOKUP($A194,'Data Vlaue (Cr)'!$C:$FB,91)</f>
        <v>513</v>
      </c>
      <c r="I194" s="91">
        <f>VLOOKUP($A194,'Data Vlaue (Cr)'!$C:$FB,93)</f>
        <v>98</v>
      </c>
      <c r="J194" s="92">
        <f>VLOOKUP($A194,'Data Vlaue (Cr)'!$C:$FB,94)</f>
        <v>0.2356</v>
      </c>
      <c r="K194" s="91">
        <f>VLOOKUP($A194,'Data Vlaue (Cr)'!$C:$FB,95)</f>
        <v>300</v>
      </c>
      <c r="L194" s="91">
        <f>VLOOKUP($A194,'Data Vlaue (Cr)'!$C:$FB,97)</f>
        <v>17</v>
      </c>
      <c r="M194" s="92">
        <f>VLOOKUP($A194,'Data Vlaue (Cr)'!$C:$FB,98)</f>
        <v>5.8200000000000002E-2</v>
      </c>
      <c r="N194" s="91">
        <f>VLOOKUP($A194,'Data Vlaue (Cr)'!$C:$FB,79)</f>
        <v>1008</v>
      </c>
      <c r="O194" s="92">
        <f>VLOOKUP($A194,'Data Vlaue (Cr)'!$C:$FB,82)</f>
        <v>-2.2000000000000001E-3</v>
      </c>
    </row>
    <row r="195" spans="1:15" x14ac:dyDescent="0.25">
      <c r="A195" s="97" t="str">
        <f>'Data Vlaue (Cr)'!C190</f>
        <v>SUNPHARMA</v>
      </c>
      <c r="B195" s="142">
        <f>VLOOKUP(A195,'Data Vlaue (Cr)'!C190:CW408,99,0)</f>
        <v>5484</v>
      </c>
      <c r="C195" s="90">
        <f>VLOOKUP(A195,'Data Vlaue (Cr)'!C190:CY408,101,0)</f>
        <v>261</v>
      </c>
      <c r="D195" s="139">
        <f>VLOOKUP(A195,'Data Vlaue (Cr)'!C190:CZ408,102,0)</f>
        <v>0.05</v>
      </c>
      <c r="E195" s="91">
        <f>VLOOKUP($A195,'Data Vlaue (Cr)'!$C:$FB,75)</f>
        <v>3132</v>
      </c>
      <c r="F195" s="91">
        <f>VLOOKUP($A195,'Data Vlaue (Cr)'!$C:$FB,77)</f>
        <v>54</v>
      </c>
      <c r="G195" s="92">
        <f>VLOOKUP(A195,'Data Vlaue (Cr)'!C190:CB408,78,0)</f>
        <v>1.77E-2</v>
      </c>
      <c r="H195" s="91">
        <f>VLOOKUP($A195,'Data Vlaue (Cr)'!$C:$FB,91)</f>
        <v>1374</v>
      </c>
      <c r="I195" s="91">
        <f>VLOOKUP($A195,'Data Vlaue (Cr)'!$C:$FB,93)</f>
        <v>200</v>
      </c>
      <c r="J195" s="92">
        <f>VLOOKUP($A195,'Data Vlaue (Cr)'!$C:$FB,94)</f>
        <v>0.17080000000000001</v>
      </c>
      <c r="K195" s="91">
        <f>VLOOKUP($A195,'Data Vlaue (Cr)'!$C:$FB,95)</f>
        <v>978</v>
      </c>
      <c r="L195" s="91">
        <f>VLOOKUP($A195,'Data Vlaue (Cr)'!$C:$FB,97)</f>
        <v>6</v>
      </c>
      <c r="M195" s="92">
        <f>VLOOKUP($A195,'Data Vlaue (Cr)'!$C:$FB,98)</f>
        <v>6.6E-3</v>
      </c>
      <c r="N195" s="91">
        <f>VLOOKUP($A195,'Data Vlaue (Cr)'!$C:$FB,79)</f>
        <v>2496</v>
      </c>
      <c r="O195" s="92">
        <f>VLOOKUP($A195,'Data Vlaue (Cr)'!$C:$FB,82)</f>
        <v>-1.12E-2</v>
      </c>
    </row>
    <row r="196" spans="1:15" x14ac:dyDescent="0.25">
      <c r="A196" s="97" t="str">
        <f>'Data Vlaue (Cr)'!C191</f>
        <v>SUPREMEIND</v>
      </c>
      <c r="B196" s="142">
        <f>VLOOKUP(A196,'Data Vlaue (Cr)'!C191:CW409,99,0)</f>
        <v>1249</v>
      </c>
      <c r="C196" s="90">
        <f>VLOOKUP(A196,'Data Vlaue (Cr)'!C191:CY409,101,0)</f>
        <v>15</v>
      </c>
      <c r="D196" s="139">
        <f>VLOOKUP(A196,'Data Vlaue (Cr)'!C191:CZ409,102,0)</f>
        <v>1.1900000000000001E-2</v>
      </c>
      <c r="E196" s="91">
        <f>VLOOKUP($A196,'Data Vlaue (Cr)'!$C:$FB,75)</f>
        <v>804</v>
      </c>
      <c r="F196" s="91">
        <f>VLOOKUP($A196,'Data Vlaue (Cr)'!$C:$FB,77)</f>
        <v>13</v>
      </c>
      <c r="G196" s="92">
        <f>VLOOKUP(A196,'Data Vlaue (Cr)'!C191:CB409,78,0)</f>
        <v>1.5900000000000001E-2</v>
      </c>
      <c r="H196" s="91">
        <f>VLOOKUP($A196,'Data Vlaue (Cr)'!$C:$FB,91)</f>
        <v>292</v>
      </c>
      <c r="I196" s="91">
        <f>VLOOKUP($A196,'Data Vlaue (Cr)'!$C:$FB,93)</f>
        <v>-5</v>
      </c>
      <c r="J196" s="92">
        <f>VLOOKUP($A196,'Data Vlaue (Cr)'!$C:$FB,94)</f>
        <v>-1.6199999999999999E-2</v>
      </c>
      <c r="K196" s="91">
        <f>VLOOKUP($A196,'Data Vlaue (Cr)'!$C:$FB,95)</f>
        <v>153</v>
      </c>
      <c r="L196" s="91">
        <f>VLOOKUP($A196,'Data Vlaue (Cr)'!$C:$FB,97)</f>
        <v>7</v>
      </c>
      <c r="M196" s="92">
        <f>VLOOKUP($A196,'Data Vlaue (Cr)'!$C:$FB,98)</f>
        <v>4.7800000000000002E-2</v>
      </c>
      <c r="N196" s="91">
        <f>VLOOKUP($A196,'Data Vlaue (Cr)'!$C:$FB,79)</f>
        <v>778</v>
      </c>
      <c r="O196" s="92">
        <f>VLOOKUP($A196,'Data Vlaue (Cr)'!$C:$FB,82)</f>
        <v>1.29E-2</v>
      </c>
    </row>
    <row r="197" spans="1:15" x14ac:dyDescent="0.25">
      <c r="A197" s="97" t="str">
        <f>'Data Vlaue (Cr)'!C192</f>
        <v>SUZLON</v>
      </c>
      <c r="B197" s="142">
        <f>VLOOKUP(A197,'Data Vlaue (Cr)'!C192:CW410,99,0)</f>
        <v>3758</v>
      </c>
      <c r="C197" s="90">
        <f>VLOOKUP(A197,'Data Vlaue (Cr)'!C192:CY410,101,0)</f>
        <v>187</v>
      </c>
      <c r="D197" s="139">
        <f>VLOOKUP(A197,'Data Vlaue (Cr)'!C192:CZ410,102,0)</f>
        <v>5.2200000000000003E-2</v>
      </c>
      <c r="E197" s="91">
        <f>VLOOKUP($A197,'Data Vlaue (Cr)'!$C:$FB,75)</f>
        <v>1906</v>
      </c>
      <c r="F197" s="91">
        <f>VLOOKUP($A197,'Data Vlaue (Cr)'!$C:$FB,77)</f>
        <v>54</v>
      </c>
      <c r="G197" s="92">
        <f>VLOOKUP(A197,'Data Vlaue (Cr)'!C192:CB410,78,0)</f>
        <v>2.92E-2</v>
      </c>
      <c r="H197" s="91">
        <f>VLOOKUP($A197,'Data Vlaue (Cr)'!$C:$FB,91)</f>
        <v>939</v>
      </c>
      <c r="I197" s="91">
        <f>VLOOKUP($A197,'Data Vlaue (Cr)'!$C:$FB,93)</f>
        <v>38</v>
      </c>
      <c r="J197" s="92">
        <f>VLOOKUP($A197,'Data Vlaue (Cr)'!$C:$FB,94)</f>
        <v>4.1700000000000001E-2</v>
      </c>
      <c r="K197" s="91">
        <f>VLOOKUP($A197,'Data Vlaue (Cr)'!$C:$FB,95)</f>
        <v>913</v>
      </c>
      <c r="L197" s="91">
        <f>VLOOKUP($A197,'Data Vlaue (Cr)'!$C:$FB,97)</f>
        <v>95</v>
      </c>
      <c r="M197" s="92">
        <f>VLOOKUP($A197,'Data Vlaue (Cr)'!$C:$FB,98)</f>
        <v>0.1158</v>
      </c>
      <c r="N197" s="91">
        <f>VLOOKUP($A197,'Data Vlaue (Cr)'!$C:$FB,79)</f>
        <v>1640</v>
      </c>
      <c r="O197" s="92">
        <f>VLOOKUP($A197,'Data Vlaue (Cr)'!$C:$FB,82)</f>
        <v>-4.1999999999999997E-3</v>
      </c>
    </row>
    <row r="198" spans="1:15" x14ac:dyDescent="0.25">
      <c r="A198" s="97" t="str">
        <f>'Data Vlaue (Cr)'!C193</f>
        <v>SWIGGY</v>
      </c>
      <c r="B198" s="142">
        <f>VLOOKUP(A198,'Data Vlaue (Cr)'!C193:CW411,99,0)</f>
        <v>1940</v>
      </c>
      <c r="C198" s="90">
        <f>VLOOKUP(A198,'Data Vlaue (Cr)'!C193:CY411,101,0)</f>
        <v>89</v>
      </c>
      <c r="D198" s="139">
        <f>VLOOKUP(A198,'Data Vlaue (Cr)'!C193:CZ411,102,0)</f>
        <v>4.82E-2</v>
      </c>
      <c r="E198" s="91">
        <f>VLOOKUP($A198,'Data Vlaue (Cr)'!$C:$FB,75)</f>
        <v>1428</v>
      </c>
      <c r="F198" s="91">
        <f>VLOOKUP($A198,'Data Vlaue (Cr)'!$C:$FB,77)</f>
        <v>14</v>
      </c>
      <c r="G198" s="92">
        <f>VLOOKUP(A198,'Data Vlaue (Cr)'!C193:CB411,78,0)</f>
        <v>1.0200000000000001E-2</v>
      </c>
      <c r="H198" s="91">
        <f>VLOOKUP($A198,'Data Vlaue (Cr)'!$C:$FB,91)</f>
        <v>329</v>
      </c>
      <c r="I198" s="91">
        <f>VLOOKUP($A198,'Data Vlaue (Cr)'!$C:$FB,93)</f>
        <v>56</v>
      </c>
      <c r="J198" s="92">
        <f>VLOOKUP($A198,'Data Vlaue (Cr)'!$C:$FB,94)</f>
        <v>0.2044</v>
      </c>
      <c r="K198" s="91">
        <f>VLOOKUP($A198,'Data Vlaue (Cr)'!$C:$FB,95)</f>
        <v>183</v>
      </c>
      <c r="L198" s="91">
        <f>VLOOKUP($A198,'Data Vlaue (Cr)'!$C:$FB,97)</f>
        <v>19</v>
      </c>
      <c r="M198" s="92">
        <f>VLOOKUP($A198,'Data Vlaue (Cr)'!$C:$FB,98)</f>
        <v>0.1163</v>
      </c>
      <c r="N198" s="91">
        <f>VLOOKUP($A198,'Data Vlaue (Cr)'!$C:$FB,79)</f>
        <v>1376</v>
      </c>
      <c r="O198" s="92">
        <f>VLOOKUP($A198,'Data Vlaue (Cr)'!$C:$FB,82)</f>
        <v>1.2999999999999999E-3</v>
      </c>
    </row>
    <row r="199" spans="1:15" x14ac:dyDescent="0.25">
      <c r="A199" s="97" t="str">
        <f>'Data Vlaue (Cr)'!C194</f>
        <v>TATACONSUM</v>
      </c>
      <c r="B199" s="142">
        <f>VLOOKUP(A199,'Data Vlaue (Cr)'!C194:CW412,99,0)</f>
        <v>2023</v>
      </c>
      <c r="C199" s="90">
        <f>VLOOKUP(A199,'Data Vlaue (Cr)'!C194:CY412,101,0)</f>
        <v>78</v>
      </c>
      <c r="D199" s="139">
        <f>VLOOKUP(A199,'Data Vlaue (Cr)'!C194:CZ412,102,0)</f>
        <v>4.0300000000000002E-2</v>
      </c>
      <c r="E199" s="91">
        <f>VLOOKUP($A199,'Data Vlaue (Cr)'!$C:$FB,75)</f>
        <v>1476</v>
      </c>
      <c r="F199" s="91">
        <f>VLOOKUP($A199,'Data Vlaue (Cr)'!$C:$FB,77)</f>
        <v>6</v>
      </c>
      <c r="G199" s="92">
        <f>VLOOKUP(A199,'Data Vlaue (Cr)'!C194:CB412,78,0)</f>
        <v>3.8E-3</v>
      </c>
      <c r="H199" s="91">
        <f>VLOOKUP($A199,'Data Vlaue (Cr)'!$C:$FB,91)</f>
        <v>273</v>
      </c>
      <c r="I199" s="91">
        <f>VLOOKUP($A199,'Data Vlaue (Cr)'!$C:$FB,93)</f>
        <v>53</v>
      </c>
      <c r="J199" s="92">
        <f>VLOOKUP($A199,'Data Vlaue (Cr)'!$C:$FB,94)</f>
        <v>0.2432</v>
      </c>
      <c r="K199" s="91">
        <f>VLOOKUP($A199,'Data Vlaue (Cr)'!$C:$FB,95)</f>
        <v>274</v>
      </c>
      <c r="L199" s="91">
        <f>VLOOKUP($A199,'Data Vlaue (Cr)'!$C:$FB,97)</f>
        <v>19</v>
      </c>
      <c r="M199" s="92">
        <f>VLOOKUP($A199,'Data Vlaue (Cr)'!$C:$FB,98)</f>
        <v>7.5600000000000001E-2</v>
      </c>
      <c r="N199" s="91">
        <f>VLOOKUP($A199,'Data Vlaue (Cr)'!$C:$FB,79)</f>
        <v>1378</v>
      </c>
      <c r="O199" s="92">
        <f>VLOOKUP($A199,'Data Vlaue (Cr)'!$C:$FB,82)</f>
        <v>3.5999999999999999E-3</v>
      </c>
    </row>
    <row r="200" spans="1:15" x14ac:dyDescent="0.25">
      <c r="A200" s="97" t="str">
        <f>'Data Vlaue (Cr)'!C195</f>
        <v>TATAELXSI</v>
      </c>
      <c r="B200" s="142">
        <f>VLOOKUP(A200,'Data Vlaue (Cr)'!C195:CW413,99,0)</f>
        <v>1483</v>
      </c>
      <c r="C200" s="90">
        <f>VLOOKUP(A200,'Data Vlaue (Cr)'!C195:CY413,101,0)</f>
        <v>84</v>
      </c>
      <c r="D200" s="139">
        <f>VLOOKUP(A200,'Data Vlaue (Cr)'!C195:CZ413,102,0)</f>
        <v>6.0199999999999997E-2</v>
      </c>
      <c r="E200" s="91">
        <f>VLOOKUP($A200,'Data Vlaue (Cr)'!$C:$FB,75)</f>
        <v>830</v>
      </c>
      <c r="F200" s="91">
        <f>VLOOKUP($A200,'Data Vlaue (Cr)'!$C:$FB,77)</f>
        <v>8</v>
      </c>
      <c r="G200" s="92">
        <f>VLOOKUP(A200,'Data Vlaue (Cr)'!C195:CB413,78,0)</f>
        <v>9.4999999999999998E-3</v>
      </c>
      <c r="H200" s="91">
        <f>VLOOKUP($A200,'Data Vlaue (Cr)'!$C:$FB,91)</f>
        <v>421</v>
      </c>
      <c r="I200" s="91">
        <f>VLOOKUP($A200,'Data Vlaue (Cr)'!$C:$FB,93)</f>
        <v>74</v>
      </c>
      <c r="J200" s="92">
        <f>VLOOKUP($A200,'Data Vlaue (Cr)'!$C:$FB,94)</f>
        <v>0.21440000000000001</v>
      </c>
      <c r="K200" s="91">
        <f>VLOOKUP($A200,'Data Vlaue (Cr)'!$C:$FB,95)</f>
        <v>231</v>
      </c>
      <c r="L200" s="91">
        <f>VLOOKUP($A200,'Data Vlaue (Cr)'!$C:$FB,97)</f>
        <v>2</v>
      </c>
      <c r="M200" s="92">
        <f>VLOOKUP($A200,'Data Vlaue (Cr)'!$C:$FB,98)</f>
        <v>8.6E-3</v>
      </c>
      <c r="N200" s="91">
        <f>VLOOKUP($A200,'Data Vlaue (Cr)'!$C:$FB,79)</f>
        <v>666</v>
      </c>
      <c r="O200" s="92">
        <f>VLOOKUP($A200,'Data Vlaue (Cr)'!$C:$FB,82)</f>
        <v>-5.8999999999999999E-3</v>
      </c>
    </row>
    <row r="201" spans="1:15" x14ac:dyDescent="0.25">
      <c r="A201" s="97" t="str">
        <f>'Data Vlaue (Cr)'!C196</f>
        <v>TATAPOWER</v>
      </c>
      <c r="B201" s="142">
        <f>VLOOKUP(A201,'Data Vlaue (Cr)'!C196:CW414,99,0)</f>
        <v>5356</v>
      </c>
      <c r="C201" s="90">
        <f>VLOOKUP(A201,'Data Vlaue (Cr)'!C196:CY414,101,0)</f>
        <v>52</v>
      </c>
      <c r="D201" s="139">
        <f>VLOOKUP(A201,'Data Vlaue (Cr)'!C196:CZ414,102,0)</f>
        <v>9.7999999999999997E-3</v>
      </c>
      <c r="E201" s="91">
        <f>VLOOKUP($A201,'Data Vlaue (Cr)'!$C:$FB,75)</f>
        <v>2444</v>
      </c>
      <c r="F201" s="91">
        <f>VLOOKUP($A201,'Data Vlaue (Cr)'!$C:$FB,77)</f>
        <v>-18</v>
      </c>
      <c r="G201" s="92">
        <f>VLOOKUP(A201,'Data Vlaue (Cr)'!C196:CB414,78,0)</f>
        <v>-7.4000000000000003E-3</v>
      </c>
      <c r="H201" s="91">
        <f>VLOOKUP($A201,'Data Vlaue (Cr)'!$C:$FB,91)</f>
        <v>1569</v>
      </c>
      <c r="I201" s="91">
        <f>VLOOKUP($A201,'Data Vlaue (Cr)'!$C:$FB,93)</f>
        <v>-25</v>
      </c>
      <c r="J201" s="92">
        <f>VLOOKUP($A201,'Data Vlaue (Cr)'!$C:$FB,94)</f>
        <v>-1.55E-2</v>
      </c>
      <c r="K201" s="91">
        <f>VLOOKUP($A201,'Data Vlaue (Cr)'!$C:$FB,95)</f>
        <v>1343</v>
      </c>
      <c r="L201" s="91">
        <f>VLOOKUP($A201,'Data Vlaue (Cr)'!$C:$FB,97)</f>
        <v>95</v>
      </c>
      <c r="M201" s="92">
        <f>VLOOKUP($A201,'Data Vlaue (Cr)'!$C:$FB,98)</f>
        <v>7.5999999999999998E-2</v>
      </c>
      <c r="N201" s="91">
        <f>VLOOKUP($A201,'Data Vlaue (Cr)'!$C:$FB,79)</f>
        <v>2189</v>
      </c>
      <c r="O201" s="92">
        <f>VLOOKUP($A201,'Data Vlaue (Cr)'!$C:$FB,82)</f>
        <v>-3.0300000000000001E-2</v>
      </c>
    </row>
    <row r="202" spans="1:15" x14ac:dyDescent="0.25">
      <c r="A202" s="97" t="str">
        <f>'Data Vlaue (Cr)'!C197</f>
        <v>TATASTEEL</v>
      </c>
      <c r="B202" s="142">
        <f>VLOOKUP(A202,'Data Vlaue (Cr)'!C197:CW415,99,0)</f>
        <v>8378</v>
      </c>
      <c r="C202" s="90">
        <f>VLOOKUP(A202,'Data Vlaue (Cr)'!C197:CY415,101,0)</f>
        <v>81</v>
      </c>
      <c r="D202" s="139">
        <f>VLOOKUP(A202,'Data Vlaue (Cr)'!C197:CZ415,102,0)</f>
        <v>9.7999999999999997E-3</v>
      </c>
      <c r="E202" s="91">
        <f>VLOOKUP($A202,'Data Vlaue (Cr)'!$C:$FB,75)</f>
        <v>3786</v>
      </c>
      <c r="F202" s="91">
        <f>VLOOKUP($A202,'Data Vlaue (Cr)'!$C:$FB,77)</f>
        <v>-31</v>
      </c>
      <c r="G202" s="92">
        <f>VLOOKUP(A202,'Data Vlaue (Cr)'!C197:CB415,78,0)</f>
        <v>-8.0000000000000002E-3</v>
      </c>
      <c r="H202" s="91">
        <f>VLOOKUP($A202,'Data Vlaue (Cr)'!$C:$FB,91)</f>
        <v>2472</v>
      </c>
      <c r="I202" s="91">
        <f>VLOOKUP($A202,'Data Vlaue (Cr)'!$C:$FB,93)</f>
        <v>-14</v>
      </c>
      <c r="J202" s="92">
        <f>VLOOKUP($A202,'Data Vlaue (Cr)'!$C:$FB,94)</f>
        <v>-5.7999999999999996E-3</v>
      </c>
      <c r="K202" s="91">
        <f>VLOOKUP($A202,'Data Vlaue (Cr)'!$C:$FB,95)</f>
        <v>2120</v>
      </c>
      <c r="L202" s="91">
        <f>VLOOKUP($A202,'Data Vlaue (Cr)'!$C:$FB,97)</f>
        <v>126</v>
      </c>
      <c r="M202" s="92">
        <f>VLOOKUP($A202,'Data Vlaue (Cr)'!$C:$FB,98)</f>
        <v>6.3399999999999998E-2</v>
      </c>
      <c r="N202" s="91">
        <f>VLOOKUP($A202,'Data Vlaue (Cr)'!$C:$FB,79)</f>
        <v>3262</v>
      </c>
      <c r="O202" s="92">
        <f>VLOOKUP($A202,'Data Vlaue (Cr)'!$C:$FB,82)</f>
        <v>-1.5699999999999999E-2</v>
      </c>
    </row>
    <row r="203" spans="1:15" x14ac:dyDescent="0.25">
      <c r="A203" s="97" t="str">
        <f>'Data Vlaue (Cr)'!C198</f>
        <v>TATATECH</v>
      </c>
      <c r="B203" s="142">
        <f>VLOOKUP(A203,'Data Vlaue (Cr)'!C198:CW416,99,0)</f>
        <v>630</v>
      </c>
      <c r="C203" s="90">
        <f>VLOOKUP(A203,'Data Vlaue (Cr)'!C198:CY416,101,0)</f>
        <v>-3</v>
      </c>
      <c r="D203" s="139">
        <f>VLOOKUP(A203,'Data Vlaue (Cr)'!C198:CZ416,102,0)</f>
        <v>-4.0000000000000001E-3</v>
      </c>
      <c r="E203" s="91">
        <f>VLOOKUP($A203,'Data Vlaue (Cr)'!$C:$FB,75)</f>
        <v>361</v>
      </c>
      <c r="F203" s="91">
        <f>VLOOKUP($A203,'Data Vlaue (Cr)'!$C:$FB,77)</f>
        <v>-5</v>
      </c>
      <c r="G203" s="92">
        <f>VLOOKUP(A203,'Data Vlaue (Cr)'!C198:CB416,78,0)</f>
        <v>-1.3599999999999999E-2</v>
      </c>
      <c r="H203" s="91">
        <f>VLOOKUP($A203,'Data Vlaue (Cr)'!$C:$FB,91)</f>
        <v>162</v>
      </c>
      <c r="I203" s="91">
        <f>VLOOKUP($A203,'Data Vlaue (Cr)'!$C:$FB,93)</f>
        <v>3</v>
      </c>
      <c r="J203" s="92">
        <f>VLOOKUP($A203,'Data Vlaue (Cr)'!$C:$FB,94)</f>
        <v>2.12E-2</v>
      </c>
      <c r="K203" s="91">
        <f>VLOOKUP($A203,'Data Vlaue (Cr)'!$C:$FB,95)</f>
        <v>107</v>
      </c>
      <c r="L203" s="91">
        <f>VLOOKUP($A203,'Data Vlaue (Cr)'!$C:$FB,97)</f>
        <v>-1</v>
      </c>
      <c r="M203" s="92">
        <f>VLOOKUP($A203,'Data Vlaue (Cr)'!$C:$FB,98)</f>
        <v>-8.3000000000000001E-3</v>
      </c>
      <c r="N203" s="91">
        <f>VLOOKUP($A203,'Data Vlaue (Cr)'!$C:$FB,79)</f>
        <v>361</v>
      </c>
      <c r="O203" s="92">
        <f>VLOOKUP($A203,'Data Vlaue (Cr)'!$C:$FB,82)</f>
        <v>-1.3599999999999999E-2</v>
      </c>
    </row>
    <row r="204" spans="1:15" x14ac:dyDescent="0.25">
      <c r="A204" s="97" t="str">
        <f>'Data Vlaue (Cr)'!C199</f>
        <v>TCS</v>
      </c>
      <c r="B204" s="142">
        <f>VLOOKUP(A204,'Data Vlaue (Cr)'!C199:CW417,99,0)</f>
        <v>16772</v>
      </c>
      <c r="C204" s="90">
        <f>VLOOKUP(A204,'Data Vlaue (Cr)'!C199:CY417,101,0)</f>
        <v>-137</v>
      </c>
      <c r="D204" s="139">
        <f>VLOOKUP(A204,'Data Vlaue (Cr)'!C199:CZ417,102,0)</f>
        <v>-8.0999999999999996E-3</v>
      </c>
      <c r="E204" s="91">
        <f>VLOOKUP($A204,'Data Vlaue (Cr)'!$C:$FB,75)</f>
        <v>9108</v>
      </c>
      <c r="F204" s="91">
        <f>VLOOKUP($A204,'Data Vlaue (Cr)'!$C:$FB,77)</f>
        <v>24</v>
      </c>
      <c r="G204" s="92">
        <f>VLOOKUP(A204,'Data Vlaue (Cr)'!C199:CB417,78,0)</f>
        <v>2.7000000000000001E-3</v>
      </c>
      <c r="H204" s="91">
        <f>VLOOKUP($A204,'Data Vlaue (Cr)'!$C:$FB,91)</f>
        <v>4633</v>
      </c>
      <c r="I204" s="91">
        <f>VLOOKUP($A204,'Data Vlaue (Cr)'!$C:$FB,93)</f>
        <v>-229</v>
      </c>
      <c r="J204" s="92">
        <f>VLOOKUP($A204,'Data Vlaue (Cr)'!$C:$FB,94)</f>
        <v>-4.7E-2</v>
      </c>
      <c r="K204" s="91">
        <f>VLOOKUP($A204,'Data Vlaue (Cr)'!$C:$FB,95)</f>
        <v>3031</v>
      </c>
      <c r="L204" s="91">
        <f>VLOOKUP($A204,'Data Vlaue (Cr)'!$C:$FB,97)</f>
        <v>67</v>
      </c>
      <c r="M204" s="92">
        <f>VLOOKUP($A204,'Data Vlaue (Cr)'!$C:$FB,98)</f>
        <v>2.2499999999999999E-2</v>
      </c>
      <c r="N204" s="91">
        <f>VLOOKUP($A204,'Data Vlaue (Cr)'!$C:$FB,79)</f>
        <v>8220</v>
      </c>
      <c r="O204" s="92">
        <f>VLOOKUP($A204,'Data Vlaue (Cr)'!$C:$FB,82)</f>
        <v>-8.9999999999999998E-4</v>
      </c>
    </row>
    <row r="205" spans="1:15" x14ac:dyDescent="0.25">
      <c r="A205" s="97" t="str">
        <f>'Data Vlaue (Cr)'!C200</f>
        <v>TECHM</v>
      </c>
      <c r="B205" s="142">
        <f>VLOOKUP(A205,'Data Vlaue (Cr)'!C200:CW418,99,0)</f>
        <v>4177</v>
      </c>
      <c r="C205" s="90">
        <f>VLOOKUP(A205,'Data Vlaue (Cr)'!C200:CY418,101,0)</f>
        <v>24</v>
      </c>
      <c r="D205" s="139">
        <f>VLOOKUP(A205,'Data Vlaue (Cr)'!C200:CZ418,102,0)</f>
        <v>5.7999999999999996E-3</v>
      </c>
      <c r="E205" s="91">
        <f>VLOOKUP($A205,'Data Vlaue (Cr)'!$C:$FB,75)</f>
        <v>2800</v>
      </c>
      <c r="F205" s="91">
        <f>VLOOKUP($A205,'Data Vlaue (Cr)'!$C:$FB,77)</f>
        <v>9</v>
      </c>
      <c r="G205" s="92">
        <f>VLOOKUP(A205,'Data Vlaue (Cr)'!C200:CB418,78,0)</f>
        <v>3.2000000000000002E-3</v>
      </c>
      <c r="H205" s="91">
        <f>VLOOKUP($A205,'Data Vlaue (Cr)'!$C:$FB,91)</f>
        <v>748</v>
      </c>
      <c r="I205" s="91">
        <f>VLOOKUP($A205,'Data Vlaue (Cr)'!$C:$FB,93)</f>
        <v>39</v>
      </c>
      <c r="J205" s="92">
        <f>VLOOKUP($A205,'Data Vlaue (Cr)'!$C:$FB,94)</f>
        <v>5.5199999999999999E-2</v>
      </c>
      <c r="K205" s="91">
        <f>VLOOKUP($A205,'Data Vlaue (Cr)'!$C:$FB,95)</f>
        <v>629</v>
      </c>
      <c r="L205" s="91">
        <f>VLOOKUP($A205,'Data Vlaue (Cr)'!$C:$FB,97)</f>
        <v>-24</v>
      </c>
      <c r="M205" s="92">
        <f>VLOOKUP($A205,'Data Vlaue (Cr)'!$C:$FB,98)</f>
        <v>-3.6999999999999998E-2</v>
      </c>
      <c r="N205" s="91">
        <f>VLOOKUP($A205,'Data Vlaue (Cr)'!$C:$FB,79)</f>
        <v>2675</v>
      </c>
      <c r="O205" s="92">
        <f>VLOOKUP($A205,'Data Vlaue (Cr)'!$C:$FB,82)</f>
        <v>-3.5000000000000001E-3</v>
      </c>
    </row>
    <row r="206" spans="1:15" x14ac:dyDescent="0.25">
      <c r="A206" s="97" t="str">
        <f>'Data Vlaue (Cr)'!C201</f>
        <v>TIINDIA</v>
      </c>
      <c r="B206" s="142">
        <f>VLOOKUP(A206,'Data Vlaue (Cr)'!C201:CW419,99,0)</f>
        <v>964</v>
      </c>
      <c r="C206" s="90">
        <f>VLOOKUP(A206,'Data Vlaue (Cr)'!C201:CY419,101,0)</f>
        <v>35</v>
      </c>
      <c r="D206" s="139">
        <f>VLOOKUP(A206,'Data Vlaue (Cr)'!C201:CZ419,102,0)</f>
        <v>3.7499999999999999E-2</v>
      </c>
      <c r="E206" s="91">
        <f>VLOOKUP($A206,'Data Vlaue (Cr)'!$C:$FB,75)</f>
        <v>743</v>
      </c>
      <c r="F206" s="91">
        <f>VLOOKUP($A206,'Data Vlaue (Cr)'!$C:$FB,77)</f>
        <v>14</v>
      </c>
      <c r="G206" s="92">
        <f>VLOOKUP(A206,'Data Vlaue (Cr)'!C201:CB419,78,0)</f>
        <v>1.9E-2</v>
      </c>
      <c r="H206" s="91">
        <f>VLOOKUP($A206,'Data Vlaue (Cr)'!$C:$FB,91)</f>
        <v>155</v>
      </c>
      <c r="I206" s="91">
        <f>VLOOKUP($A206,'Data Vlaue (Cr)'!$C:$FB,93)</f>
        <v>22</v>
      </c>
      <c r="J206" s="92">
        <f>VLOOKUP($A206,'Data Vlaue (Cr)'!$C:$FB,94)</f>
        <v>0.16289999999999999</v>
      </c>
      <c r="K206" s="91">
        <f>VLOOKUP($A206,'Data Vlaue (Cr)'!$C:$FB,95)</f>
        <v>67</v>
      </c>
      <c r="L206" s="91">
        <f>VLOOKUP($A206,'Data Vlaue (Cr)'!$C:$FB,97)</f>
        <v>-1</v>
      </c>
      <c r="M206" s="92">
        <f>VLOOKUP($A206,'Data Vlaue (Cr)'!$C:$FB,98)</f>
        <v>-9.1000000000000004E-3</v>
      </c>
      <c r="N206" s="91">
        <f>VLOOKUP($A206,'Data Vlaue (Cr)'!$C:$FB,79)</f>
        <v>731</v>
      </c>
      <c r="O206" s="92">
        <f>VLOOKUP($A206,'Data Vlaue (Cr)'!$C:$FB,82)</f>
        <v>1.7500000000000002E-2</v>
      </c>
    </row>
    <row r="207" spans="1:15" x14ac:dyDescent="0.25">
      <c r="A207" s="97" t="str">
        <f>'Data Vlaue (Cr)'!C202</f>
        <v>TITAN</v>
      </c>
      <c r="B207" s="142">
        <f>VLOOKUP(A207,'Data Vlaue (Cr)'!C202:CW420,99,0)</f>
        <v>7292</v>
      </c>
      <c r="C207" s="90">
        <f>VLOOKUP(A207,'Data Vlaue (Cr)'!C202:CY420,101,0)</f>
        <v>6</v>
      </c>
      <c r="D207" s="139">
        <f>VLOOKUP(A207,'Data Vlaue (Cr)'!C202:CZ420,102,0)</f>
        <v>8.9999999999999998E-4</v>
      </c>
      <c r="E207" s="91">
        <f>VLOOKUP($A207,'Data Vlaue (Cr)'!$C:$FB,75)</f>
        <v>4062</v>
      </c>
      <c r="F207" s="91">
        <f>VLOOKUP($A207,'Data Vlaue (Cr)'!$C:$FB,77)</f>
        <v>-137</v>
      </c>
      <c r="G207" s="92">
        <f>VLOOKUP(A207,'Data Vlaue (Cr)'!C202:CB420,78,0)</f>
        <v>-3.2599999999999997E-2</v>
      </c>
      <c r="H207" s="91">
        <f>VLOOKUP($A207,'Data Vlaue (Cr)'!$C:$FB,91)</f>
        <v>1781</v>
      </c>
      <c r="I207" s="91">
        <f>VLOOKUP($A207,'Data Vlaue (Cr)'!$C:$FB,93)</f>
        <v>-30</v>
      </c>
      <c r="J207" s="92">
        <f>VLOOKUP($A207,'Data Vlaue (Cr)'!$C:$FB,94)</f>
        <v>-1.6500000000000001E-2</v>
      </c>
      <c r="K207" s="91">
        <f>VLOOKUP($A207,'Data Vlaue (Cr)'!$C:$FB,95)</f>
        <v>1449</v>
      </c>
      <c r="L207" s="91">
        <f>VLOOKUP($A207,'Data Vlaue (Cr)'!$C:$FB,97)</f>
        <v>173</v>
      </c>
      <c r="M207" s="92">
        <f>VLOOKUP($A207,'Data Vlaue (Cr)'!$C:$FB,98)</f>
        <v>0.13539999999999999</v>
      </c>
      <c r="N207" s="91">
        <f>VLOOKUP($A207,'Data Vlaue (Cr)'!$C:$FB,79)</f>
        <v>3640</v>
      </c>
      <c r="O207" s="92">
        <f>VLOOKUP($A207,'Data Vlaue (Cr)'!$C:$FB,82)</f>
        <v>-4.6300000000000001E-2</v>
      </c>
    </row>
    <row r="208" spans="1:15" x14ac:dyDescent="0.25">
      <c r="A208" s="97" t="str">
        <f>'Data Vlaue (Cr)'!C203</f>
        <v>TMPV</v>
      </c>
      <c r="B208" s="142">
        <f>VLOOKUP(A208,'Data Vlaue (Cr)'!C203:CW421,99,0)</f>
        <v>4445</v>
      </c>
      <c r="C208" s="90">
        <f>VLOOKUP(A208,'Data Vlaue (Cr)'!C203:CY421,101,0)</f>
        <v>26</v>
      </c>
      <c r="D208" s="139">
        <f>VLOOKUP(A208,'Data Vlaue (Cr)'!C203:CZ421,102,0)</f>
        <v>6.0000000000000001E-3</v>
      </c>
      <c r="E208" s="91">
        <f>VLOOKUP($A208,'Data Vlaue (Cr)'!$C:$FB,75)</f>
        <v>2111</v>
      </c>
      <c r="F208" s="91">
        <f>VLOOKUP($A208,'Data Vlaue (Cr)'!$C:$FB,77)</f>
        <v>6</v>
      </c>
      <c r="G208" s="92">
        <f>VLOOKUP(A208,'Data Vlaue (Cr)'!C203:CB421,78,0)</f>
        <v>3.0000000000000001E-3</v>
      </c>
      <c r="H208" s="91">
        <f>VLOOKUP($A208,'Data Vlaue (Cr)'!$C:$FB,91)</f>
        <v>1293</v>
      </c>
      <c r="I208" s="91">
        <f>VLOOKUP($A208,'Data Vlaue (Cr)'!$C:$FB,93)</f>
        <v>-16</v>
      </c>
      <c r="J208" s="92">
        <f>VLOOKUP($A208,'Data Vlaue (Cr)'!$C:$FB,94)</f>
        <v>-1.2200000000000001E-2</v>
      </c>
      <c r="K208" s="91">
        <f>VLOOKUP($A208,'Data Vlaue (Cr)'!$C:$FB,95)</f>
        <v>1041</v>
      </c>
      <c r="L208" s="91">
        <f>VLOOKUP($A208,'Data Vlaue (Cr)'!$C:$FB,97)</f>
        <v>36</v>
      </c>
      <c r="M208" s="92">
        <f>VLOOKUP($A208,'Data Vlaue (Cr)'!$C:$FB,98)</f>
        <v>3.5799999999999998E-2</v>
      </c>
      <c r="N208" s="91">
        <f>VLOOKUP($A208,'Data Vlaue (Cr)'!$C:$FB,79)</f>
        <v>1856</v>
      </c>
      <c r="O208" s="92">
        <f>VLOOKUP($A208,'Data Vlaue (Cr)'!$C:$FB,82)</f>
        <v>-1.2500000000000001E-2</v>
      </c>
    </row>
    <row r="209" spans="1:15" x14ac:dyDescent="0.25">
      <c r="A209" s="97" t="str">
        <f>'Data Vlaue (Cr)'!C204</f>
        <v>TORNTPHARM</v>
      </c>
      <c r="B209" s="142">
        <f>VLOOKUP(A209,'Data Vlaue (Cr)'!C204:CW422,99,0)</f>
        <v>1804</v>
      </c>
      <c r="C209" s="90">
        <f>VLOOKUP(A209,'Data Vlaue (Cr)'!C204:CY422,101,0)</f>
        <v>-29</v>
      </c>
      <c r="D209" s="139">
        <f>VLOOKUP(A209,'Data Vlaue (Cr)'!C204:CZ422,102,0)</f>
        <v>-1.6E-2</v>
      </c>
      <c r="E209" s="91">
        <f>VLOOKUP($A209,'Data Vlaue (Cr)'!$C:$FB,75)</f>
        <v>1328</v>
      </c>
      <c r="F209" s="91">
        <f>VLOOKUP($A209,'Data Vlaue (Cr)'!$C:$FB,77)</f>
        <v>-15</v>
      </c>
      <c r="G209" s="92">
        <f>VLOOKUP(A209,'Data Vlaue (Cr)'!C204:CB422,78,0)</f>
        <v>-1.09E-2</v>
      </c>
      <c r="H209" s="91">
        <f>VLOOKUP($A209,'Data Vlaue (Cr)'!$C:$FB,91)</f>
        <v>279</v>
      </c>
      <c r="I209" s="91">
        <f>VLOOKUP($A209,'Data Vlaue (Cr)'!$C:$FB,93)</f>
        <v>-14</v>
      </c>
      <c r="J209" s="92">
        <f>VLOOKUP($A209,'Data Vlaue (Cr)'!$C:$FB,94)</f>
        <v>-4.8000000000000001E-2</v>
      </c>
      <c r="K209" s="91">
        <f>VLOOKUP($A209,'Data Vlaue (Cr)'!$C:$FB,95)</f>
        <v>196</v>
      </c>
      <c r="L209" s="91">
        <f>VLOOKUP($A209,'Data Vlaue (Cr)'!$C:$FB,97)</f>
        <v>-1</v>
      </c>
      <c r="M209" s="92">
        <f>VLOOKUP($A209,'Data Vlaue (Cr)'!$C:$FB,98)</f>
        <v>-3.2000000000000002E-3</v>
      </c>
      <c r="N209" s="91">
        <f>VLOOKUP($A209,'Data Vlaue (Cr)'!$C:$FB,79)</f>
        <v>1307</v>
      </c>
      <c r="O209" s="92">
        <f>VLOOKUP($A209,'Data Vlaue (Cr)'!$C:$FB,82)</f>
        <v>-1.12E-2</v>
      </c>
    </row>
    <row r="210" spans="1:15" s="88" customFormat="1" ht="15.75" customHeight="1" x14ac:dyDescent="0.2">
      <c r="A210" s="97" t="str">
        <f>'Data Vlaue (Cr)'!C205</f>
        <v>TORNTPOWER</v>
      </c>
      <c r="B210" s="142">
        <f>VLOOKUP(A210,'Data Vlaue (Cr)'!C205:CW423,99,0)</f>
        <v>797</v>
      </c>
      <c r="C210" s="90">
        <f>VLOOKUP(A210,'Data Vlaue (Cr)'!C205:CY423,101,0)</f>
        <v>25</v>
      </c>
      <c r="D210" s="139">
        <f>VLOOKUP(A210,'Data Vlaue (Cr)'!C205:CZ423,102,0)</f>
        <v>3.1899999999999998E-2</v>
      </c>
      <c r="E210" s="91">
        <f>VLOOKUP($A210,'Data Vlaue (Cr)'!$C:$FB,75)</f>
        <v>493</v>
      </c>
      <c r="F210" s="91">
        <f>VLOOKUP($A210,'Data Vlaue (Cr)'!$C:$FB,77)</f>
        <v>-10</v>
      </c>
      <c r="G210" s="92">
        <f>VLOOKUP(A210,'Data Vlaue (Cr)'!C205:CB423,78,0)</f>
        <v>-2.0799999999999999E-2</v>
      </c>
      <c r="H210" s="91">
        <f>VLOOKUP($A210,'Data Vlaue (Cr)'!$C:$FB,91)</f>
        <v>176</v>
      </c>
      <c r="I210" s="91">
        <f>VLOOKUP($A210,'Data Vlaue (Cr)'!$C:$FB,93)</f>
        <v>25</v>
      </c>
      <c r="J210" s="92">
        <f>VLOOKUP($A210,'Data Vlaue (Cr)'!$C:$FB,94)</f>
        <v>0.16220000000000001</v>
      </c>
      <c r="K210" s="91">
        <f>VLOOKUP($A210,'Data Vlaue (Cr)'!$C:$FB,95)</f>
        <v>128</v>
      </c>
      <c r="L210" s="91">
        <f>VLOOKUP($A210,'Data Vlaue (Cr)'!$C:$FB,97)</f>
        <v>10</v>
      </c>
      <c r="M210" s="92">
        <f>VLOOKUP($A210,'Data Vlaue (Cr)'!$C:$FB,98)</f>
        <v>8.8700000000000001E-2</v>
      </c>
      <c r="N210" s="91">
        <f>VLOOKUP($A210,'Data Vlaue (Cr)'!$C:$FB,79)</f>
        <v>493</v>
      </c>
      <c r="O210" s="92">
        <f>VLOOKUP($A210,'Data Vlaue (Cr)'!$C:$FB,82)</f>
        <v>-2.0799999999999999E-2</v>
      </c>
    </row>
    <row r="211" spans="1:15" x14ac:dyDescent="0.25">
      <c r="A211" s="97" t="str">
        <f>'Data Vlaue (Cr)'!C206</f>
        <v>TRENT</v>
      </c>
      <c r="B211" s="142">
        <f>VLOOKUP(A211,'Data Vlaue (Cr)'!C206:CW424,99,0)</f>
        <v>5588</v>
      </c>
      <c r="C211" s="90">
        <f>VLOOKUP(A211,'Data Vlaue (Cr)'!C206:CY424,101,0)</f>
        <v>115</v>
      </c>
      <c r="D211" s="139">
        <f>VLOOKUP(A211,'Data Vlaue (Cr)'!C206:CZ424,102,0)</f>
        <v>2.1000000000000001E-2</v>
      </c>
      <c r="E211" s="91">
        <f>VLOOKUP($A211,'Data Vlaue (Cr)'!$C:$FB,75)</f>
        <v>3355</v>
      </c>
      <c r="F211" s="91">
        <f>VLOOKUP($A211,'Data Vlaue (Cr)'!$C:$FB,77)</f>
        <v>24</v>
      </c>
      <c r="G211" s="92">
        <f>VLOOKUP(A211,'Data Vlaue (Cr)'!C206:CB424,78,0)</f>
        <v>7.1000000000000004E-3</v>
      </c>
      <c r="H211" s="91">
        <f>VLOOKUP($A211,'Data Vlaue (Cr)'!$C:$FB,91)</f>
        <v>1201</v>
      </c>
      <c r="I211" s="91">
        <f>VLOOKUP($A211,'Data Vlaue (Cr)'!$C:$FB,93)</f>
        <v>71</v>
      </c>
      <c r="J211" s="92">
        <f>VLOOKUP($A211,'Data Vlaue (Cr)'!$C:$FB,94)</f>
        <v>6.3200000000000006E-2</v>
      </c>
      <c r="K211" s="91">
        <f>VLOOKUP($A211,'Data Vlaue (Cr)'!$C:$FB,95)</f>
        <v>1032</v>
      </c>
      <c r="L211" s="91">
        <f>VLOOKUP($A211,'Data Vlaue (Cr)'!$C:$FB,97)</f>
        <v>20</v>
      </c>
      <c r="M211" s="92">
        <f>VLOOKUP($A211,'Data Vlaue (Cr)'!$C:$FB,98)</f>
        <v>1.9800000000000002E-2</v>
      </c>
      <c r="N211" s="91">
        <f>VLOOKUP($A211,'Data Vlaue (Cr)'!$C:$FB,79)</f>
        <v>2877</v>
      </c>
      <c r="O211" s="92">
        <f>VLOOKUP($A211,'Data Vlaue (Cr)'!$C:$FB,82)</f>
        <v>-6.9999999999999999E-4</v>
      </c>
    </row>
    <row r="212" spans="1:15" x14ac:dyDescent="0.25">
      <c r="A212" s="97" t="str">
        <f>'Data Vlaue (Cr)'!C207</f>
        <v>TVSMOTOR</v>
      </c>
      <c r="B212" s="142">
        <f>VLOOKUP(A212,'Data Vlaue (Cr)'!C207:CW425,99,0)</f>
        <v>4135</v>
      </c>
      <c r="C212" s="90">
        <f>VLOOKUP(A212,'Data Vlaue (Cr)'!C207:CY425,101,0)</f>
        <v>32</v>
      </c>
      <c r="D212" s="139">
        <f>VLOOKUP(A212,'Data Vlaue (Cr)'!C207:CZ425,102,0)</f>
        <v>7.7000000000000002E-3</v>
      </c>
      <c r="E212" s="91">
        <f>VLOOKUP($A212,'Data Vlaue (Cr)'!$C:$FB,75)</f>
        <v>3092</v>
      </c>
      <c r="F212" s="91">
        <f>VLOOKUP($A212,'Data Vlaue (Cr)'!$C:$FB,77)</f>
        <v>1</v>
      </c>
      <c r="G212" s="92">
        <f>VLOOKUP(A212,'Data Vlaue (Cr)'!C207:CB425,78,0)</f>
        <v>2.9999999999999997E-4</v>
      </c>
      <c r="H212" s="91">
        <f>VLOOKUP($A212,'Data Vlaue (Cr)'!$C:$FB,91)</f>
        <v>613</v>
      </c>
      <c r="I212" s="91">
        <f>VLOOKUP($A212,'Data Vlaue (Cr)'!$C:$FB,93)</f>
        <v>22</v>
      </c>
      <c r="J212" s="92">
        <f>VLOOKUP($A212,'Data Vlaue (Cr)'!$C:$FB,94)</f>
        <v>3.7400000000000003E-2</v>
      </c>
      <c r="K212" s="91">
        <f>VLOOKUP($A212,'Data Vlaue (Cr)'!$C:$FB,95)</f>
        <v>430</v>
      </c>
      <c r="L212" s="91">
        <f>VLOOKUP($A212,'Data Vlaue (Cr)'!$C:$FB,97)</f>
        <v>9</v>
      </c>
      <c r="M212" s="92">
        <f>VLOOKUP($A212,'Data Vlaue (Cr)'!$C:$FB,98)</f>
        <v>2.07E-2</v>
      </c>
      <c r="N212" s="91">
        <f>VLOOKUP($A212,'Data Vlaue (Cr)'!$C:$FB,79)</f>
        <v>2869</v>
      </c>
      <c r="O212" s="92">
        <f>VLOOKUP($A212,'Data Vlaue (Cr)'!$C:$FB,82)</f>
        <v>-4.4600000000000001E-2</v>
      </c>
    </row>
    <row r="213" spans="1:15" x14ac:dyDescent="0.25">
      <c r="A213" s="97" t="str">
        <f>'Data Vlaue (Cr)'!C208</f>
        <v>ULTRACEMCO</v>
      </c>
      <c r="B213" s="142">
        <f>VLOOKUP(A213,'Data Vlaue (Cr)'!C208:CW426,99,0)</f>
        <v>4201</v>
      </c>
      <c r="C213" s="90">
        <f>VLOOKUP(A213,'Data Vlaue (Cr)'!C208:CY426,101,0)</f>
        <v>152</v>
      </c>
      <c r="D213" s="139">
        <f>VLOOKUP(A213,'Data Vlaue (Cr)'!C208:CZ426,102,0)</f>
        <v>3.7600000000000001E-2</v>
      </c>
      <c r="E213" s="91">
        <f>VLOOKUP($A213,'Data Vlaue (Cr)'!$C:$FB,75)</f>
        <v>2863</v>
      </c>
      <c r="F213" s="91">
        <f>VLOOKUP($A213,'Data Vlaue (Cr)'!$C:$FB,77)</f>
        <v>56</v>
      </c>
      <c r="G213" s="92">
        <f>VLOOKUP(A213,'Data Vlaue (Cr)'!C208:CB426,78,0)</f>
        <v>2.01E-2</v>
      </c>
      <c r="H213" s="91">
        <f>VLOOKUP($A213,'Data Vlaue (Cr)'!$C:$FB,91)</f>
        <v>828</v>
      </c>
      <c r="I213" s="91">
        <f>VLOOKUP($A213,'Data Vlaue (Cr)'!$C:$FB,93)</f>
        <v>65</v>
      </c>
      <c r="J213" s="92">
        <f>VLOOKUP($A213,'Data Vlaue (Cr)'!$C:$FB,94)</f>
        <v>8.5699999999999998E-2</v>
      </c>
      <c r="K213" s="91">
        <f>VLOOKUP($A213,'Data Vlaue (Cr)'!$C:$FB,95)</f>
        <v>510</v>
      </c>
      <c r="L213" s="91">
        <f>VLOOKUP($A213,'Data Vlaue (Cr)'!$C:$FB,97)</f>
        <v>31</v>
      </c>
      <c r="M213" s="92">
        <f>VLOOKUP($A213,'Data Vlaue (Cr)'!$C:$FB,98)</f>
        <v>6.3700000000000007E-2</v>
      </c>
      <c r="N213" s="91">
        <f>VLOOKUP($A213,'Data Vlaue (Cr)'!$C:$FB,79)</f>
        <v>2331</v>
      </c>
      <c r="O213" s="92">
        <f>VLOOKUP($A213,'Data Vlaue (Cr)'!$C:$FB,82)</f>
        <v>-2.3300000000000001E-2</v>
      </c>
    </row>
    <row r="214" spans="1:15" x14ac:dyDescent="0.25">
      <c r="A214" s="97" t="str">
        <f>'Data Vlaue (Cr)'!C209</f>
        <v>UNIONBANK</v>
      </c>
      <c r="B214" s="142">
        <f>VLOOKUP(A214,'Data Vlaue (Cr)'!C209:CW427,99,0)</f>
        <v>3376</v>
      </c>
      <c r="C214" s="90">
        <f>VLOOKUP(A214,'Data Vlaue (Cr)'!C209:CY427,101,0)</f>
        <v>69</v>
      </c>
      <c r="D214" s="139">
        <f>VLOOKUP(A214,'Data Vlaue (Cr)'!C209:CZ427,102,0)</f>
        <v>2.0899999999999998E-2</v>
      </c>
      <c r="E214" s="91">
        <f>VLOOKUP($A214,'Data Vlaue (Cr)'!$C:$FB,75)</f>
        <v>2161</v>
      </c>
      <c r="F214" s="91">
        <f>VLOOKUP($A214,'Data Vlaue (Cr)'!$C:$FB,77)</f>
        <v>25</v>
      </c>
      <c r="G214" s="92">
        <f>VLOOKUP(A214,'Data Vlaue (Cr)'!C209:CB427,78,0)</f>
        <v>1.1599999999999999E-2</v>
      </c>
      <c r="H214" s="91">
        <f>VLOOKUP($A214,'Data Vlaue (Cr)'!$C:$FB,91)</f>
        <v>679</v>
      </c>
      <c r="I214" s="91">
        <f>VLOOKUP($A214,'Data Vlaue (Cr)'!$C:$FB,93)</f>
        <v>30</v>
      </c>
      <c r="J214" s="92">
        <f>VLOOKUP($A214,'Data Vlaue (Cr)'!$C:$FB,94)</f>
        <v>4.6399999999999997E-2</v>
      </c>
      <c r="K214" s="91">
        <f>VLOOKUP($A214,'Data Vlaue (Cr)'!$C:$FB,95)</f>
        <v>536</v>
      </c>
      <c r="L214" s="91">
        <f>VLOOKUP($A214,'Data Vlaue (Cr)'!$C:$FB,97)</f>
        <v>14</v>
      </c>
      <c r="M214" s="92">
        <f>VLOOKUP($A214,'Data Vlaue (Cr)'!$C:$FB,98)</f>
        <v>2.7199999999999998E-2</v>
      </c>
      <c r="N214" s="91">
        <f>VLOOKUP($A214,'Data Vlaue (Cr)'!$C:$FB,79)</f>
        <v>1829</v>
      </c>
      <c r="O214" s="92">
        <f>VLOOKUP($A214,'Data Vlaue (Cr)'!$C:$FB,82)</f>
        <v>-1.2999999999999999E-3</v>
      </c>
    </row>
    <row r="215" spans="1:15" x14ac:dyDescent="0.25">
      <c r="A215" s="97" t="str">
        <f>'Data Vlaue (Cr)'!C210</f>
        <v>UNITDSPR</v>
      </c>
      <c r="B215" s="142">
        <f>VLOOKUP(A215,'Data Vlaue (Cr)'!C210:CW428,99,0)</f>
        <v>2689</v>
      </c>
      <c r="C215" s="90">
        <f>VLOOKUP(A215,'Data Vlaue (Cr)'!C210:CY428,101,0)</f>
        <v>-1</v>
      </c>
      <c r="D215" s="139">
        <f>VLOOKUP(A215,'Data Vlaue (Cr)'!C210:CZ428,102,0)</f>
        <v>-4.0000000000000002E-4</v>
      </c>
      <c r="E215" s="91">
        <f>VLOOKUP($A215,'Data Vlaue (Cr)'!$C:$FB,75)</f>
        <v>1690</v>
      </c>
      <c r="F215" s="91">
        <f>VLOOKUP($A215,'Data Vlaue (Cr)'!$C:$FB,77)</f>
        <v>-44</v>
      </c>
      <c r="G215" s="92">
        <f>VLOOKUP(A215,'Data Vlaue (Cr)'!C210:CB428,78,0)</f>
        <v>-2.52E-2</v>
      </c>
      <c r="H215" s="91">
        <f>VLOOKUP($A215,'Data Vlaue (Cr)'!$C:$FB,91)</f>
        <v>603</v>
      </c>
      <c r="I215" s="91">
        <f>VLOOKUP($A215,'Data Vlaue (Cr)'!$C:$FB,93)</f>
        <v>-8</v>
      </c>
      <c r="J215" s="92">
        <f>VLOOKUP($A215,'Data Vlaue (Cr)'!$C:$FB,94)</f>
        <v>-1.29E-2</v>
      </c>
      <c r="K215" s="91">
        <f>VLOOKUP($A215,'Data Vlaue (Cr)'!$C:$FB,95)</f>
        <v>395</v>
      </c>
      <c r="L215" s="91">
        <f>VLOOKUP($A215,'Data Vlaue (Cr)'!$C:$FB,97)</f>
        <v>51</v>
      </c>
      <c r="M215" s="92">
        <f>VLOOKUP($A215,'Data Vlaue (Cr)'!$C:$FB,98)</f>
        <v>0.1469</v>
      </c>
      <c r="N215" s="91">
        <f>VLOOKUP($A215,'Data Vlaue (Cr)'!$C:$FB,79)</f>
        <v>1616</v>
      </c>
      <c r="O215" s="92">
        <f>VLOOKUP($A215,'Data Vlaue (Cr)'!$C:$FB,82)</f>
        <v>-3.85E-2</v>
      </c>
    </row>
    <row r="216" spans="1:15" x14ac:dyDescent="0.25">
      <c r="A216" s="97" t="str">
        <f>'Data Vlaue (Cr)'!C211</f>
        <v>UNOMINDA</v>
      </c>
      <c r="B216" s="142">
        <f>VLOOKUP(A216,'Data Vlaue (Cr)'!C211:CW429,99,0)</f>
        <v>781</v>
      </c>
      <c r="C216" s="90">
        <f>VLOOKUP(A216,'Data Vlaue (Cr)'!C211:CY429,101,0)</f>
        <v>20</v>
      </c>
      <c r="D216" s="139">
        <f>VLOOKUP(A216,'Data Vlaue (Cr)'!C211:CZ429,102,0)</f>
        <v>2.6700000000000002E-2</v>
      </c>
      <c r="E216" s="91">
        <f>VLOOKUP($A216,'Data Vlaue (Cr)'!$C:$FB,75)</f>
        <v>509</v>
      </c>
      <c r="F216" s="91">
        <f>VLOOKUP($A216,'Data Vlaue (Cr)'!$C:$FB,77)</f>
        <v>5</v>
      </c>
      <c r="G216" s="92">
        <f>VLOOKUP(A216,'Data Vlaue (Cr)'!C211:CB429,78,0)</f>
        <v>9.7000000000000003E-3</v>
      </c>
      <c r="H216" s="91">
        <f>VLOOKUP($A216,'Data Vlaue (Cr)'!$C:$FB,91)</f>
        <v>194</v>
      </c>
      <c r="I216" s="91">
        <f>VLOOKUP($A216,'Data Vlaue (Cr)'!$C:$FB,93)</f>
        <v>13</v>
      </c>
      <c r="J216" s="92">
        <f>VLOOKUP($A216,'Data Vlaue (Cr)'!$C:$FB,94)</f>
        <v>7.0000000000000007E-2</v>
      </c>
      <c r="K216" s="91">
        <f>VLOOKUP($A216,'Data Vlaue (Cr)'!$C:$FB,95)</f>
        <v>79</v>
      </c>
      <c r="L216" s="91">
        <f>VLOOKUP($A216,'Data Vlaue (Cr)'!$C:$FB,97)</f>
        <v>3</v>
      </c>
      <c r="M216" s="92">
        <f>VLOOKUP($A216,'Data Vlaue (Cr)'!$C:$FB,98)</f>
        <v>3.5799999999999998E-2</v>
      </c>
      <c r="N216" s="91">
        <f>VLOOKUP($A216,'Data Vlaue (Cr)'!$C:$FB,79)</f>
        <v>499</v>
      </c>
      <c r="O216" s="92">
        <f>VLOOKUP($A216,'Data Vlaue (Cr)'!$C:$FB,82)</f>
        <v>3.8E-3</v>
      </c>
    </row>
    <row r="217" spans="1:15" x14ac:dyDescent="0.25">
      <c r="A217" s="97" t="str">
        <f>'Data Vlaue (Cr)'!C212</f>
        <v>UPL</v>
      </c>
      <c r="B217" s="142">
        <f>VLOOKUP(A217,'Data Vlaue (Cr)'!C212:CW430,99,0)</f>
        <v>3153</v>
      </c>
      <c r="C217" s="90">
        <f>VLOOKUP(A217,'Data Vlaue (Cr)'!C212:CY430,101,0)</f>
        <v>-23</v>
      </c>
      <c r="D217" s="139">
        <f>VLOOKUP(A217,'Data Vlaue (Cr)'!C212:CZ430,102,0)</f>
        <v>-7.3000000000000001E-3</v>
      </c>
      <c r="E217" s="91">
        <f>VLOOKUP($A217,'Data Vlaue (Cr)'!$C:$FB,75)</f>
        <v>2005</v>
      </c>
      <c r="F217" s="91">
        <f>VLOOKUP($A217,'Data Vlaue (Cr)'!$C:$FB,77)</f>
        <v>-27</v>
      </c>
      <c r="G217" s="92">
        <f>VLOOKUP(A217,'Data Vlaue (Cr)'!C212:CB430,78,0)</f>
        <v>-1.35E-2</v>
      </c>
      <c r="H217" s="91">
        <f>VLOOKUP($A217,'Data Vlaue (Cr)'!$C:$FB,91)</f>
        <v>657</v>
      </c>
      <c r="I217" s="91">
        <f>VLOOKUP($A217,'Data Vlaue (Cr)'!$C:$FB,93)</f>
        <v>-18</v>
      </c>
      <c r="J217" s="92">
        <f>VLOOKUP($A217,'Data Vlaue (Cr)'!$C:$FB,94)</f>
        <v>-2.6599999999999999E-2</v>
      </c>
      <c r="K217" s="91">
        <f>VLOOKUP($A217,'Data Vlaue (Cr)'!$C:$FB,95)</f>
        <v>491</v>
      </c>
      <c r="L217" s="91">
        <f>VLOOKUP($A217,'Data Vlaue (Cr)'!$C:$FB,97)</f>
        <v>22</v>
      </c>
      <c r="M217" s="92">
        <f>VLOOKUP($A217,'Data Vlaue (Cr)'!$C:$FB,98)</f>
        <v>4.7199999999999999E-2</v>
      </c>
      <c r="N217" s="91">
        <f>VLOOKUP($A217,'Data Vlaue (Cr)'!$C:$FB,79)</f>
        <v>1946</v>
      </c>
      <c r="O217" s="92">
        <f>VLOOKUP($A217,'Data Vlaue (Cr)'!$C:$FB,82)</f>
        <v>-1.72E-2</v>
      </c>
    </row>
    <row r="218" spans="1:15" x14ac:dyDescent="0.25">
      <c r="A218" s="97" t="str">
        <f>'Data Vlaue (Cr)'!C213</f>
        <v>VBL</v>
      </c>
      <c r="B218" s="142">
        <f>VLOOKUP(A218,'Data Vlaue (Cr)'!C213:CW431,99,0)</f>
        <v>3505</v>
      </c>
      <c r="C218" s="90">
        <f>VLOOKUP(A218,'Data Vlaue (Cr)'!C213:CY431,101,0)</f>
        <v>56</v>
      </c>
      <c r="D218" s="139">
        <f>VLOOKUP(A218,'Data Vlaue (Cr)'!C213:CZ431,102,0)</f>
        <v>1.6199999999999999E-2</v>
      </c>
      <c r="E218" s="91">
        <f>VLOOKUP($A218,'Data Vlaue (Cr)'!$C:$FB,75)</f>
        <v>2255</v>
      </c>
      <c r="F218" s="91">
        <f>VLOOKUP($A218,'Data Vlaue (Cr)'!$C:$FB,77)</f>
        <v>-57</v>
      </c>
      <c r="G218" s="92">
        <f>VLOOKUP(A218,'Data Vlaue (Cr)'!C213:CB431,78,0)</f>
        <v>-2.4500000000000001E-2</v>
      </c>
      <c r="H218" s="91">
        <f>VLOOKUP($A218,'Data Vlaue (Cr)'!$C:$FB,91)</f>
        <v>772</v>
      </c>
      <c r="I218" s="91">
        <f>VLOOKUP($A218,'Data Vlaue (Cr)'!$C:$FB,93)</f>
        <v>61</v>
      </c>
      <c r="J218" s="92">
        <f>VLOOKUP($A218,'Data Vlaue (Cr)'!$C:$FB,94)</f>
        <v>8.5099999999999995E-2</v>
      </c>
      <c r="K218" s="91">
        <f>VLOOKUP($A218,'Data Vlaue (Cr)'!$C:$FB,95)</f>
        <v>478</v>
      </c>
      <c r="L218" s="91">
        <f>VLOOKUP($A218,'Data Vlaue (Cr)'!$C:$FB,97)</f>
        <v>52</v>
      </c>
      <c r="M218" s="92">
        <f>VLOOKUP($A218,'Data Vlaue (Cr)'!$C:$FB,98)</f>
        <v>0.1226</v>
      </c>
      <c r="N218" s="91">
        <f>VLOOKUP($A218,'Data Vlaue (Cr)'!$C:$FB,79)</f>
        <v>2161</v>
      </c>
      <c r="O218" s="92">
        <f>VLOOKUP($A218,'Data Vlaue (Cr)'!$C:$FB,82)</f>
        <v>-3.5999999999999997E-2</v>
      </c>
    </row>
    <row r="219" spans="1:15" x14ac:dyDescent="0.25">
      <c r="A219" s="97" t="str">
        <f>'Data Vlaue (Cr)'!C214</f>
        <v>VEDL</v>
      </c>
      <c r="B219" s="142">
        <f>VLOOKUP(A219,'Data Vlaue (Cr)'!C214:CW432,99,0)</f>
        <v>8974</v>
      </c>
      <c r="C219" s="90">
        <f>VLOOKUP(A219,'Data Vlaue (Cr)'!C214:CY432,101,0)</f>
        <v>351</v>
      </c>
      <c r="D219" s="139">
        <f>VLOOKUP(A219,'Data Vlaue (Cr)'!C214:CZ432,102,0)</f>
        <v>4.07E-2</v>
      </c>
      <c r="E219" s="91">
        <f>VLOOKUP($A219,'Data Vlaue (Cr)'!$C:$FB,75)</f>
        <v>4103</v>
      </c>
      <c r="F219" s="91">
        <f>VLOOKUP($A219,'Data Vlaue (Cr)'!$C:$FB,77)</f>
        <v>98</v>
      </c>
      <c r="G219" s="92">
        <f>VLOOKUP(A219,'Data Vlaue (Cr)'!C214:CB432,78,0)</f>
        <v>2.4400000000000002E-2</v>
      </c>
      <c r="H219" s="91">
        <f>VLOOKUP($A219,'Data Vlaue (Cr)'!$C:$FB,91)</f>
        <v>2456</v>
      </c>
      <c r="I219" s="91">
        <f>VLOOKUP($A219,'Data Vlaue (Cr)'!$C:$FB,93)</f>
        <v>145</v>
      </c>
      <c r="J219" s="92">
        <f>VLOOKUP($A219,'Data Vlaue (Cr)'!$C:$FB,94)</f>
        <v>6.2899999999999998E-2</v>
      </c>
      <c r="K219" s="91">
        <f>VLOOKUP($A219,'Data Vlaue (Cr)'!$C:$FB,95)</f>
        <v>2416</v>
      </c>
      <c r="L219" s="91">
        <f>VLOOKUP($A219,'Data Vlaue (Cr)'!$C:$FB,97)</f>
        <v>108</v>
      </c>
      <c r="M219" s="92">
        <f>VLOOKUP($A219,'Data Vlaue (Cr)'!$C:$FB,98)</f>
        <v>4.6699999999999998E-2</v>
      </c>
      <c r="N219" s="91">
        <f>VLOOKUP($A219,'Data Vlaue (Cr)'!$C:$FB,79)</f>
        <v>3844</v>
      </c>
      <c r="O219" s="92">
        <f>VLOOKUP($A219,'Data Vlaue (Cr)'!$C:$FB,82)</f>
        <v>1.15E-2</v>
      </c>
    </row>
    <row r="220" spans="1:15" x14ac:dyDescent="0.25">
      <c r="A220" s="97" t="str">
        <f>'Data Vlaue (Cr)'!C215</f>
        <v>VMM</v>
      </c>
      <c r="B220" s="142">
        <f>VLOOKUP(A220,'Data Vlaue (Cr)'!C215:CW433,99,0)</f>
        <v>453</v>
      </c>
      <c r="C220" s="90">
        <f>VLOOKUP(A220,'Data Vlaue (Cr)'!C215:CY433,101,0)</f>
        <v>65</v>
      </c>
      <c r="D220" s="139">
        <f>VLOOKUP(A220,'Data Vlaue (Cr)'!C215:CZ433,102,0)</f>
        <v>0.1686</v>
      </c>
      <c r="E220" s="91">
        <f>VLOOKUP($A220,'Data Vlaue (Cr)'!$C:$FB,75)</f>
        <v>328</v>
      </c>
      <c r="F220" s="91">
        <f>VLOOKUP($A220,'Data Vlaue (Cr)'!$C:$FB,77)</f>
        <v>51</v>
      </c>
      <c r="G220" s="92">
        <f>VLOOKUP(A220,'Data Vlaue (Cr)'!C215:CB433,78,0)</f>
        <v>0.1832</v>
      </c>
      <c r="H220" s="91">
        <f>VLOOKUP($A220,'Data Vlaue (Cr)'!$C:$FB,91)</f>
        <v>78</v>
      </c>
      <c r="I220" s="91">
        <f>VLOOKUP($A220,'Data Vlaue (Cr)'!$C:$FB,93)</f>
        <v>13</v>
      </c>
      <c r="J220" s="92">
        <f>VLOOKUP($A220,'Data Vlaue (Cr)'!$C:$FB,94)</f>
        <v>0.19450000000000001</v>
      </c>
      <c r="K220" s="91">
        <f>VLOOKUP($A220,'Data Vlaue (Cr)'!$C:$FB,95)</f>
        <v>47</v>
      </c>
      <c r="L220" s="91">
        <f>VLOOKUP($A220,'Data Vlaue (Cr)'!$C:$FB,97)</f>
        <v>2</v>
      </c>
      <c r="M220" s="92">
        <f>VLOOKUP($A220,'Data Vlaue (Cr)'!$C:$FB,98)</f>
        <v>4.2999999999999997E-2</v>
      </c>
      <c r="N220" s="91">
        <f>VLOOKUP($A220,'Data Vlaue (Cr)'!$C:$FB,79)</f>
        <v>318</v>
      </c>
      <c r="O220" s="92">
        <f>VLOOKUP($A220,'Data Vlaue (Cr)'!$C:$FB,82)</f>
        <v>0.1757</v>
      </c>
    </row>
    <row r="221" spans="1:15" x14ac:dyDescent="0.25">
      <c r="A221" s="97" t="str">
        <f>'Data Vlaue (Cr)'!C216</f>
        <v>VOLTAS</v>
      </c>
      <c r="B221" s="142">
        <f>VLOOKUP(A221,'Data Vlaue (Cr)'!C216:CW434,99,0)</f>
        <v>2979</v>
      </c>
      <c r="C221" s="90">
        <f>VLOOKUP(A221,'Data Vlaue (Cr)'!C216:CY434,101,0)</f>
        <v>-7</v>
      </c>
      <c r="D221" s="139">
        <f>VLOOKUP(A221,'Data Vlaue (Cr)'!C216:CZ434,102,0)</f>
        <v>-2.2000000000000001E-3</v>
      </c>
      <c r="E221" s="91">
        <f>VLOOKUP($A221,'Data Vlaue (Cr)'!$C:$FB,75)</f>
        <v>1779</v>
      </c>
      <c r="F221" s="91">
        <f>VLOOKUP($A221,'Data Vlaue (Cr)'!$C:$FB,77)</f>
        <v>9</v>
      </c>
      <c r="G221" s="92">
        <f>VLOOKUP(A221,'Data Vlaue (Cr)'!C216:CB434,78,0)</f>
        <v>5.0000000000000001E-3</v>
      </c>
      <c r="H221" s="91">
        <f>VLOOKUP($A221,'Data Vlaue (Cr)'!$C:$FB,91)</f>
        <v>617</v>
      </c>
      <c r="I221" s="91">
        <f>VLOOKUP($A221,'Data Vlaue (Cr)'!$C:$FB,93)</f>
        <v>-63</v>
      </c>
      <c r="J221" s="92">
        <f>VLOOKUP($A221,'Data Vlaue (Cr)'!$C:$FB,94)</f>
        <v>-9.3299999999999994E-2</v>
      </c>
      <c r="K221" s="91">
        <f>VLOOKUP($A221,'Data Vlaue (Cr)'!$C:$FB,95)</f>
        <v>583</v>
      </c>
      <c r="L221" s="91">
        <f>VLOOKUP($A221,'Data Vlaue (Cr)'!$C:$FB,97)</f>
        <v>48</v>
      </c>
      <c r="M221" s="92">
        <f>VLOOKUP($A221,'Data Vlaue (Cr)'!$C:$FB,98)</f>
        <v>8.9800000000000005E-2</v>
      </c>
      <c r="N221" s="91">
        <f>VLOOKUP($A221,'Data Vlaue (Cr)'!$C:$FB,79)</f>
        <v>1540</v>
      </c>
      <c r="O221" s="92">
        <f>VLOOKUP($A221,'Data Vlaue (Cr)'!$C:$FB,82)</f>
        <v>-1.8E-3</v>
      </c>
    </row>
    <row r="222" spans="1:15" x14ac:dyDescent="0.25">
      <c r="A222" s="97" t="str">
        <f>'Data Vlaue (Cr)'!C217</f>
        <v>WAAREEENER</v>
      </c>
      <c r="B222" s="142">
        <f>VLOOKUP(A222,'Data Vlaue (Cr)'!C217:CW435,99,0)</f>
        <v>2953</v>
      </c>
      <c r="C222" s="90">
        <f>VLOOKUP(A222,'Data Vlaue (Cr)'!C217:CY435,101,0)</f>
        <v>-51</v>
      </c>
      <c r="D222" s="139">
        <f>VLOOKUP(A222,'Data Vlaue (Cr)'!C217:CZ435,102,0)</f>
        <v>-1.6899999999999998E-2</v>
      </c>
      <c r="E222" s="91">
        <f>VLOOKUP($A222,'Data Vlaue (Cr)'!$C:$FB,75)</f>
        <v>1662</v>
      </c>
      <c r="F222" s="91">
        <f>VLOOKUP($A222,'Data Vlaue (Cr)'!$C:$FB,77)</f>
        <v>-33</v>
      </c>
      <c r="G222" s="92">
        <f>VLOOKUP(A222,'Data Vlaue (Cr)'!C217:CB435,78,0)</f>
        <v>-1.9599999999999999E-2</v>
      </c>
      <c r="H222" s="91">
        <f>VLOOKUP($A222,'Data Vlaue (Cr)'!$C:$FB,91)</f>
        <v>744</v>
      </c>
      <c r="I222" s="91">
        <f>VLOOKUP($A222,'Data Vlaue (Cr)'!$C:$FB,93)</f>
        <v>23</v>
      </c>
      <c r="J222" s="92">
        <f>VLOOKUP($A222,'Data Vlaue (Cr)'!$C:$FB,94)</f>
        <v>3.2500000000000001E-2</v>
      </c>
      <c r="K222" s="91">
        <f>VLOOKUP($A222,'Data Vlaue (Cr)'!$C:$FB,95)</f>
        <v>548</v>
      </c>
      <c r="L222" s="91">
        <f>VLOOKUP($A222,'Data Vlaue (Cr)'!$C:$FB,97)</f>
        <v>-41</v>
      </c>
      <c r="M222" s="92">
        <f>VLOOKUP($A222,'Data Vlaue (Cr)'!$C:$FB,98)</f>
        <v>-6.9699999999999998E-2</v>
      </c>
      <c r="N222" s="91">
        <f>VLOOKUP($A222,'Data Vlaue (Cr)'!$C:$FB,79)</f>
        <v>1526</v>
      </c>
      <c r="O222" s="92">
        <f>VLOOKUP($A222,'Data Vlaue (Cr)'!$C:$FB,82)</f>
        <v>-4.4299999999999999E-2</v>
      </c>
    </row>
    <row r="223" spans="1:15" x14ac:dyDescent="0.25">
      <c r="A223" s="97" t="str">
        <f>'Data Vlaue (Cr)'!C218</f>
        <v>WIPRO</v>
      </c>
      <c r="B223" s="142">
        <f>VLOOKUP(A223,'Data Vlaue (Cr)'!C218:CW436,99,0)</f>
        <v>11649</v>
      </c>
      <c r="C223" s="90">
        <f>VLOOKUP(A223,'Data Vlaue (Cr)'!C218:CY436,101,0)</f>
        <v>1686</v>
      </c>
      <c r="D223" s="139">
        <f>VLOOKUP(A223,'Data Vlaue (Cr)'!C218:CZ436,102,0)</f>
        <v>0.16919999999999999</v>
      </c>
      <c r="E223" s="91">
        <f>VLOOKUP($A223,'Data Vlaue (Cr)'!$C:$FB,75)</f>
        <v>6513</v>
      </c>
      <c r="F223" s="91">
        <f>VLOOKUP($A223,'Data Vlaue (Cr)'!$C:$FB,77)</f>
        <v>723</v>
      </c>
      <c r="G223" s="92">
        <f>VLOOKUP(A223,'Data Vlaue (Cr)'!C218:CB436,78,0)</f>
        <v>0.12479999999999999</v>
      </c>
      <c r="H223" s="91">
        <f>VLOOKUP($A223,'Data Vlaue (Cr)'!$C:$FB,91)</f>
        <v>3445</v>
      </c>
      <c r="I223" s="91">
        <f>VLOOKUP($A223,'Data Vlaue (Cr)'!$C:$FB,93)</f>
        <v>682</v>
      </c>
      <c r="J223" s="92">
        <f>VLOOKUP($A223,'Data Vlaue (Cr)'!$C:$FB,94)</f>
        <v>0.24690000000000001</v>
      </c>
      <c r="K223" s="91">
        <f>VLOOKUP($A223,'Data Vlaue (Cr)'!$C:$FB,95)</f>
        <v>1691</v>
      </c>
      <c r="L223" s="91">
        <f>VLOOKUP($A223,'Data Vlaue (Cr)'!$C:$FB,97)</f>
        <v>281</v>
      </c>
      <c r="M223" s="92">
        <f>VLOOKUP($A223,'Data Vlaue (Cr)'!$C:$FB,98)</f>
        <v>0.19939999999999999</v>
      </c>
      <c r="N223" s="91">
        <f>VLOOKUP($A223,'Data Vlaue (Cr)'!$C:$FB,79)</f>
        <v>5063</v>
      </c>
      <c r="O223" s="92">
        <f>VLOOKUP($A223,'Data Vlaue (Cr)'!$C:$FB,82)</f>
        <v>7.9799999999999996E-2</v>
      </c>
    </row>
    <row r="224" spans="1:15" x14ac:dyDescent="0.25">
      <c r="A224" s="97" t="str">
        <f>'Data Vlaue (Cr)'!C219</f>
        <v>YESBANK</v>
      </c>
      <c r="B224" s="142">
        <f>VLOOKUP(A224,'Data Vlaue (Cr)'!C219:CW437,99,0)</f>
        <v>4170</v>
      </c>
      <c r="C224" s="90">
        <f>VLOOKUP(A224,'Data Vlaue (Cr)'!C219:CY437,101,0)</f>
        <v>564</v>
      </c>
      <c r="D224" s="139">
        <f>VLOOKUP(A224,'Data Vlaue (Cr)'!C219:CZ437,102,0)</f>
        <v>0.1565</v>
      </c>
      <c r="E224" s="91">
        <f>VLOOKUP($A224,'Data Vlaue (Cr)'!$C:$FB,75)</f>
        <v>2556</v>
      </c>
      <c r="F224" s="91">
        <f>VLOOKUP($A224,'Data Vlaue (Cr)'!$C:$FB,77)</f>
        <v>145</v>
      </c>
      <c r="G224" s="92">
        <f>VLOOKUP(A224,'Data Vlaue (Cr)'!C219:CB437,78,0)</f>
        <v>6.0299999999999999E-2</v>
      </c>
      <c r="H224" s="91">
        <f>VLOOKUP($A224,'Data Vlaue (Cr)'!$C:$FB,91)</f>
        <v>989</v>
      </c>
      <c r="I224" s="91">
        <f>VLOOKUP($A224,'Data Vlaue (Cr)'!$C:$FB,93)</f>
        <v>346</v>
      </c>
      <c r="J224" s="92">
        <f>VLOOKUP($A224,'Data Vlaue (Cr)'!$C:$FB,94)</f>
        <v>0.5383</v>
      </c>
      <c r="K224" s="91">
        <f>VLOOKUP($A224,'Data Vlaue (Cr)'!$C:$FB,95)</f>
        <v>625</v>
      </c>
      <c r="L224" s="91">
        <f>VLOOKUP($A224,'Data Vlaue (Cr)'!$C:$FB,97)</f>
        <v>73</v>
      </c>
      <c r="M224" s="92">
        <f>VLOOKUP($A224,'Data Vlaue (Cr)'!$C:$FB,98)</f>
        <v>0.13220000000000001</v>
      </c>
      <c r="N224" s="91">
        <f>VLOOKUP($A224,'Data Vlaue (Cr)'!$C:$FB,79)</f>
        <v>2210</v>
      </c>
      <c r="O224" s="92">
        <f>VLOOKUP($A224,'Data Vlaue (Cr)'!$C:$FB,82)</f>
        <v>4.8800000000000003E-2</v>
      </c>
    </row>
    <row r="225" spans="1:15" x14ac:dyDescent="0.25">
      <c r="A225" s="97" t="str">
        <f>'Data Vlaue (Cr)'!C220</f>
        <v>ZYDUSLIFE</v>
      </c>
      <c r="B225" s="142">
        <f>VLOOKUP(A225,'Data Vlaue (Cr)'!C220:CW438,99,0)</f>
        <v>1372</v>
      </c>
      <c r="C225" s="90">
        <f>VLOOKUP(A225,'Data Vlaue (Cr)'!C220:CY438,101,0)</f>
        <v>-25</v>
      </c>
      <c r="D225" s="139">
        <f>VLOOKUP(A225,'Data Vlaue (Cr)'!C220:CZ438,102,0)</f>
        <v>-1.7600000000000001E-2</v>
      </c>
      <c r="E225" s="91">
        <f>VLOOKUP($A225,'Data Vlaue (Cr)'!$C:$FB,75)</f>
        <v>879</v>
      </c>
      <c r="F225" s="91">
        <f>VLOOKUP($A225,'Data Vlaue (Cr)'!$C:$FB,77)</f>
        <v>2</v>
      </c>
      <c r="G225" s="92">
        <f>VLOOKUP(A225,'Data Vlaue (Cr)'!C220:CB438,78,0)</f>
        <v>2.5999999999999999E-3</v>
      </c>
      <c r="H225" s="91">
        <f>VLOOKUP($A225,'Data Vlaue (Cr)'!$C:$FB,91)</f>
        <v>279</v>
      </c>
      <c r="I225" s="91">
        <f>VLOOKUP($A225,'Data Vlaue (Cr)'!$C:$FB,93)</f>
        <v>-12</v>
      </c>
      <c r="J225" s="92">
        <f>VLOOKUP($A225,'Data Vlaue (Cr)'!$C:$FB,94)</f>
        <v>-4.24E-2</v>
      </c>
      <c r="K225" s="91">
        <f>VLOOKUP($A225,'Data Vlaue (Cr)'!$C:$FB,95)</f>
        <v>214</v>
      </c>
      <c r="L225" s="91">
        <f>VLOOKUP($A225,'Data Vlaue (Cr)'!$C:$FB,97)</f>
        <v>-15</v>
      </c>
      <c r="M225" s="92">
        <f>VLOOKUP($A225,'Data Vlaue (Cr)'!$C:$FB,98)</f>
        <v>-6.3799999999999996E-2</v>
      </c>
      <c r="N225" s="91">
        <f>VLOOKUP($A225,'Data Vlaue (Cr)'!$C:$FB,79)</f>
        <v>851</v>
      </c>
      <c r="O225" s="92">
        <f>VLOOKUP($A225,'Data Vlaue (Cr)'!$C:$FB,82)</f>
        <v>-4.5999999999999999E-3</v>
      </c>
    </row>
    <row r="226" spans="1:15" x14ac:dyDescent="0.25">
      <c r="A226" s="97"/>
      <c r="B226" s="142"/>
      <c r="C226" s="90"/>
      <c r="D226" s="139"/>
      <c r="E226" s="91"/>
      <c r="F226" s="91"/>
      <c r="G226" s="92"/>
      <c r="H226" s="91"/>
      <c r="I226" s="91"/>
      <c r="J226" s="92"/>
      <c r="K226" s="91"/>
      <c r="L226" s="91"/>
      <c r="M226" s="92"/>
      <c r="N226" s="91"/>
      <c r="O226" s="92"/>
    </row>
    <row r="227" spans="1:15" x14ac:dyDescent="0.25">
      <c r="A227" s="97"/>
      <c r="B227" s="142"/>
      <c r="C227" s="90"/>
      <c r="D227" s="139"/>
      <c r="E227" s="91"/>
      <c r="F227" s="91"/>
      <c r="G227" s="92"/>
      <c r="H227" s="91"/>
      <c r="I227" s="91"/>
      <c r="J227" s="92"/>
      <c r="K227" s="91"/>
      <c r="L227" s="91"/>
      <c r="M227" s="92"/>
      <c r="N227" s="91"/>
      <c r="O227" s="92"/>
    </row>
    <row r="228" spans="1:15" x14ac:dyDescent="0.25">
      <c r="A228" s="97"/>
      <c r="B228" s="142"/>
      <c r="C228" s="90"/>
      <c r="D228" s="139"/>
      <c r="E228" s="91"/>
      <c r="F228" s="91"/>
      <c r="G228" s="92"/>
      <c r="H228" s="91"/>
      <c r="I228" s="91"/>
      <c r="J228" s="92"/>
      <c r="K228" s="91"/>
      <c r="L228" s="91"/>
      <c r="M228" s="92"/>
      <c r="N228" s="91"/>
      <c r="O228" s="92"/>
    </row>
    <row r="229" spans="1:15" x14ac:dyDescent="0.25">
      <c r="A229" s="97"/>
      <c r="B229" s="142"/>
      <c r="C229" s="90"/>
      <c r="D229" s="139"/>
      <c r="E229" s="91"/>
      <c r="F229" s="91"/>
      <c r="G229" s="92"/>
      <c r="H229" s="91"/>
      <c r="I229" s="91"/>
      <c r="J229" s="92"/>
      <c r="K229" s="91"/>
      <c r="L229" s="91"/>
      <c r="M229" s="92"/>
      <c r="N229" s="91"/>
      <c r="O229" s="92"/>
    </row>
    <row r="230" spans="1:15" x14ac:dyDescent="0.25">
      <c r="A230" s="97"/>
      <c r="B230" s="142"/>
      <c r="C230" s="90"/>
      <c r="D230" s="139"/>
      <c r="E230" s="91"/>
      <c r="F230" s="91"/>
      <c r="G230" s="92"/>
      <c r="H230" s="91"/>
      <c r="I230" s="91"/>
      <c r="J230" s="92"/>
      <c r="K230" s="91"/>
      <c r="L230" s="91"/>
      <c r="M230" s="92"/>
      <c r="N230" s="91"/>
      <c r="O230" s="92"/>
    </row>
    <row r="231" spans="1:15" x14ac:dyDescent="0.25">
      <c r="A231" s="97"/>
      <c r="B231" s="142"/>
      <c r="C231" s="90"/>
      <c r="D231" s="139"/>
      <c r="E231" s="91"/>
      <c r="F231" s="91"/>
      <c r="G231" s="92"/>
      <c r="H231" s="91"/>
      <c r="I231" s="91"/>
      <c r="J231" s="92"/>
      <c r="K231" s="91"/>
      <c r="L231" s="91"/>
      <c r="M231" s="92"/>
      <c r="N231" s="91"/>
      <c r="O231" s="92"/>
    </row>
    <row r="232" spans="1:15" x14ac:dyDescent="0.25">
      <c r="A232" s="102"/>
      <c r="B232" s="142"/>
      <c r="C232" s="90"/>
      <c r="D232" s="139"/>
      <c r="E232" s="91"/>
      <c r="F232" s="91"/>
      <c r="G232" s="92"/>
      <c r="H232" s="91"/>
      <c r="I232" s="91"/>
      <c r="J232" s="92"/>
      <c r="K232" s="91"/>
      <c r="L232" s="91"/>
      <c r="M232" s="92"/>
      <c r="N232" s="91"/>
      <c r="O232" s="92"/>
    </row>
    <row r="233" spans="1:15" x14ac:dyDescent="0.25">
      <c r="A233" s="122" t="s">
        <v>391</v>
      </c>
      <c r="B233" s="123">
        <f>SUM(B7:B227)</f>
        <v>2394298</v>
      </c>
      <c r="C233" s="123">
        <f>SUM(C7:C230)</f>
        <v>198798</v>
      </c>
      <c r="D233" s="124">
        <f>'Snapshot (Value)'!K241</f>
        <v>9.0548932406224011E-2</v>
      </c>
      <c r="E233" s="123">
        <f>SUM(E7:E228)</f>
        <v>588860</v>
      </c>
      <c r="F233" s="123">
        <f>SUM(F7:F228)</f>
        <v>2746</v>
      </c>
      <c r="G233" s="149">
        <f>F233*100/(E233-F233)</f>
        <v>0.46850953909990206</v>
      </c>
      <c r="H233" s="123">
        <f>SUM(H7:H228)</f>
        <v>903687</v>
      </c>
      <c r="I233" s="123">
        <f>SUM(I7:I228)</f>
        <v>62595</v>
      </c>
      <c r="J233" s="149">
        <f>I233/(H233-I233)</f>
        <v>7.4421109700246818E-2</v>
      </c>
      <c r="K233" s="123">
        <f>SUM(K7:K228)</f>
        <v>901740</v>
      </c>
      <c r="L233" s="123">
        <f>SUM(L7:L228)</f>
        <v>133450</v>
      </c>
      <c r="M233" s="149">
        <f>L233/(K233-L233)</f>
        <v>0.17369743195928622</v>
      </c>
      <c r="N233" s="123">
        <f>SUM(N7:N228)</f>
        <v>514069</v>
      </c>
      <c r="O233" s="149">
        <f>(N233-FII!V2)/N233</f>
        <v>-1.1142473092133546E-2</v>
      </c>
    </row>
    <row r="238" spans="1:15" x14ac:dyDescent="0.25">
      <c r="A238" s="274" t="s">
        <v>408</v>
      </c>
      <c r="B238" s="274"/>
      <c r="C238" s="274"/>
      <c r="D238" s="274"/>
    </row>
    <row r="239" spans="1:15" x14ac:dyDescent="0.25">
      <c r="A239" s="35" t="s">
        <v>401</v>
      </c>
      <c r="B239" s="35" t="s">
        <v>402</v>
      </c>
      <c r="C239" s="35" t="s">
        <v>369</v>
      </c>
      <c r="D239" s="35" t="s">
        <v>407</v>
      </c>
    </row>
    <row r="240" spans="1:15" x14ac:dyDescent="0.25">
      <c r="A240" s="36" t="s">
        <v>403</v>
      </c>
      <c r="B240" s="37">
        <f>E233</f>
        <v>588860</v>
      </c>
      <c r="C240" s="37">
        <f>F233</f>
        <v>2746</v>
      </c>
      <c r="D240" s="39">
        <f>C240/B240</f>
        <v>4.6632476310158608E-3</v>
      </c>
    </row>
    <row r="241" spans="1:4" x14ac:dyDescent="0.25">
      <c r="A241" s="36" t="s">
        <v>404</v>
      </c>
      <c r="B241" s="37">
        <f>H233</f>
        <v>903687</v>
      </c>
      <c r="C241" s="37">
        <f>I233</f>
        <v>62595</v>
      </c>
      <c r="D241" s="150">
        <f>C241/B241</f>
        <v>6.9266239306308486E-2</v>
      </c>
    </row>
    <row r="242" spans="1:4" x14ac:dyDescent="0.25">
      <c r="A242" s="36" t="s">
        <v>405</v>
      </c>
      <c r="B242" s="37">
        <f>K233</f>
        <v>901740</v>
      </c>
      <c r="C242" s="37">
        <f>L233</f>
        <v>133450</v>
      </c>
      <c r="D242" s="150">
        <f>C242/B242</f>
        <v>0.14799166056734758</v>
      </c>
    </row>
    <row r="243" spans="1:4" x14ac:dyDescent="0.25">
      <c r="A243" s="36" t="s">
        <v>406</v>
      </c>
      <c r="B243" s="37">
        <f>B240+B241+B242</f>
        <v>2394287</v>
      </c>
      <c r="C243" s="37">
        <f>C240+C241+C242</f>
        <v>198791</v>
      </c>
      <c r="D243" s="150">
        <f>C243/B243</f>
        <v>8.3027222718078497E-2</v>
      </c>
    </row>
  </sheetData>
  <autoFilter ref="A6:O6">
    <sortState ref="A7:O154">
      <sortCondition ref="A6"/>
    </sortState>
  </autoFilter>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workbookViewId="0">
      <pane ySplit="6" topLeftCell="A26" activePane="bottomLeft" state="frozen"/>
      <selection pane="bottomLeft" activeCell="A7" sqref="A7:A56"/>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2" t="s">
        <v>343</v>
      </c>
      <c r="B3" s="293"/>
      <c r="C3" s="293"/>
      <c r="D3" s="293"/>
      <c r="E3" s="293"/>
      <c r="F3" s="293"/>
      <c r="G3" s="294"/>
      <c r="H3" s="294"/>
      <c r="I3" s="294"/>
      <c r="J3" s="295"/>
    </row>
    <row r="4" spans="1:10" s="93" customFormat="1" x14ac:dyDescent="0.25">
      <c r="A4" s="296" t="s">
        <v>330</v>
      </c>
      <c r="B4" s="296" t="s">
        <v>308</v>
      </c>
      <c r="C4" s="296"/>
      <c r="D4" s="296"/>
      <c r="E4" s="296" t="s">
        <v>340</v>
      </c>
      <c r="F4" s="296"/>
      <c r="G4" s="296"/>
      <c r="H4" s="296" t="s">
        <v>458</v>
      </c>
      <c r="I4" s="296"/>
      <c r="J4" s="296"/>
    </row>
    <row r="5" spans="1:10" s="93" customFormat="1" x14ac:dyDescent="0.25">
      <c r="A5" s="297"/>
      <c r="B5" s="94" t="s">
        <v>312</v>
      </c>
      <c r="C5" s="94" t="s">
        <v>313</v>
      </c>
      <c r="D5" s="94"/>
      <c r="E5" s="297" t="s">
        <v>314</v>
      </c>
      <c r="F5" s="297"/>
      <c r="G5" s="297"/>
      <c r="H5" s="297" t="s">
        <v>314</v>
      </c>
      <c r="I5" s="297"/>
      <c r="J5" s="297"/>
    </row>
    <row r="6" spans="1:10" s="93" customFormat="1" x14ac:dyDescent="0.25">
      <c r="A6" s="94" t="s">
        <v>318</v>
      </c>
      <c r="B6" s="3">
        <f>'OI(Volume)'!B6</f>
        <v>46129</v>
      </c>
      <c r="C6" s="3">
        <f>B6</f>
        <v>46129</v>
      </c>
      <c r="D6" s="94" t="s">
        <v>328</v>
      </c>
      <c r="E6" s="3">
        <f>B6</f>
        <v>46129</v>
      </c>
      <c r="F6" s="94" t="s">
        <v>322</v>
      </c>
      <c r="G6" s="94" t="s">
        <v>328</v>
      </c>
      <c r="H6" s="3">
        <f>E6</f>
        <v>46129</v>
      </c>
      <c r="I6" s="94" t="s">
        <v>322</v>
      </c>
      <c r="J6" s="94" t="s">
        <v>328</v>
      </c>
    </row>
    <row r="7" spans="1:10" x14ac:dyDescent="0.25">
      <c r="A7" s="101" t="str">
        <f>'NIFTY GRP'!C2</f>
        <v>ADANIENT</v>
      </c>
      <c r="B7" s="140">
        <f>VLOOKUP($A7,'Data shares'!$C:$FA,7)</f>
        <v>2218.3000000000002</v>
      </c>
      <c r="C7" s="140">
        <f>VLOOKUP($A7,'Data shares'!$C:$FA,3)</f>
        <v>2224.9</v>
      </c>
      <c r="D7" s="50">
        <f>VLOOKUP($A7,'Data shares'!$C:$FA,6)*100</f>
        <v>0.62</v>
      </c>
      <c r="E7" s="51">
        <f>VLOOKUP($A7,'Data shares'!$C:$FA,98)</f>
        <v>31390692</v>
      </c>
      <c r="F7" s="51">
        <f>VLOOKUP($A7,'Data shares'!$C:$FA,99)</f>
        <v>30746736</v>
      </c>
      <c r="G7" s="50">
        <f>VLOOKUP($A7,'Data shares'!$C:$FA,101)*100</f>
        <v>2.09</v>
      </c>
      <c r="H7" s="49">
        <f>VLOOKUP($A7,'Data Vlaue (Cr)'!$C:$FB,99)</f>
        <v>6984</v>
      </c>
      <c r="I7" s="49">
        <f>VLOOKUP($A7,'Data Vlaue (Cr)'!$C:$FB,100)</f>
        <v>6841</v>
      </c>
      <c r="J7" s="49">
        <f>VLOOKUP($A7,'Data Vlaue (Cr)'!$C:$FB,102)*100</f>
        <v>2.09</v>
      </c>
    </row>
    <row r="8" spans="1:10" x14ac:dyDescent="0.25">
      <c r="A8" s="101" t="str">
        <f>'NIFTY GRP'!C3</f>
        <v>ADANIPORTS</v>
      </c>
      <c r="B8" s="140">
        <f>VLOOKUP($A8,'Data shares'!$C:$FA,7)</f>
        <v>1573.4</v>
      </c>
      <c r="C8" s="140">
        <f>VLOOKUP($A8,'Data shares'!$C:$FA,3)</f>
        <v>1573.2</v>
      </c>
      <c r="D8" s="50">
        <f>VLOOKUP($A8,'Data shares'!$C:$FA,6)*100</f>
        <v>1.4500000000000002</v>
      </c>
      <c r="E8" s="51">
        <f>VLOOKUP($A8,'Data shares'!$C:$FA,98)</f>
        <v>37163525</v>
      </c>
      <c r="F8" s="51">
        <f>VLOOKUP($A8,'Data shares'!$C:$FA,99)</f>
        <v>35401275</v>
      </c>
      <c r="G8" s="50">
        <f>VLOOKUP($A8,'Data shares'!$C:$FA,101)*100</f>
        <v>4.9799999999999995</v>
      </c>
      <c r="H8" s="49">
        <f>VLOOKUP($A8,'Data Vlaue (Cr)'!$C:$FB,99)</f>
        <v>5847</v>
      </c>
      <c r="I8" s="49">
        <f>VLOOKUP($A8,'Data Vlaue (Cr)'!$C:$FB,100)</f>
        <v>5569</v>
      </c>
      <c r="J8" s="49">
        <f>VLOOKUP($A8,'Data Vlaue (Cr)'!$C:$FB,102)*100</f>
        <v>4.9799999999999995</v>
      </c>
    </row>
    <row r="9" spans="1:10" x14ac:dyDescent="0.25">
      <c r="A9" s="101" t="str">
        <f>'NIFTY GRP'!C4</f>
        <v>APOLLOHOSP</v>
      </c>
      <c r="B9" s="140">
        <f>VLOOKUP($A9,'Data shares'!$C:$FA,7)</f>
        <v>7699</v>
      </c>
      <c r="C9" s="140">
        <f>VLOOKUP($A9,'Data shares'!$C:$FA,3)</f>
        <v>7698</v>
      </c>
      <c r="D9" s="50">
        <f>VLOOKUP($A9,'Data shares'!$C:$FA,6)*100</f>
        <v>1.8800000000000001</v>
      </c>
      <c r="E9" s="51">
        <f>VLOOKUP($A9,'Data shares'!$C:$FA,98)</f>
        <v>4065750</v>
      </c>
      <c r="F9" s="51">
        <f>VLOOKUP($A9,'Data shares'!$C:$FA,99)</f>
        <v>4045750</v>
      </c>
      <c r="G9" s="50">
        <f>VLOOKUP($A9,'Data shares'!$C:$FA,101)*100</f>
        <v>0.49</v>
      </c>
      <c r="H9" s="49">
        <f>VLOOKUP($A9,'Data Vlaue (Cr)'!$C:$FB,99)</f>
        <v>3130</v>
      </c>
      <c r="I9" s="49">
        <f>VLOOKUP($A9,'Data Vlaue (Cr)'!$C:$FB,100)</f>
        <v>3114</v>
      </c>
      <c r="J9" s="49">
        <f>VLOOKUP($A9,'Data Vlaue (Cr)'!$C:$FB,102)*100</f>
        <v>0.49</v>
      </c>
    </row>
    <row r="10" spans="1:10" x14ac:dyDescent="0.25">
      <c r="A10" s="101" t="str">
        <f>'NIFTY GRP'!C5</f>
        <v>ASIANPAINT</v>
      </c>
      <c r="B10" s="140">
        <f>VLOOKUP($A10,'Data shares'!$C:$FA,7)</f>
        <v>2464</v>
      </c>
      <c r="C10" s="140">
        <f>VLOOKUP($A10,'Data shares'!$C:$FA,3)</f>
        <v>2464.3000000000002</v>
      </c>
      <c r="D10" s="50">
        <f>VLOOKUP($A10,'Data shares'!$C:$FA,6)*100</f>
        <v>0.89999999999999991</v>
      </c>
      <c r="E10" s="51">
        <f>VLOOKUP($A10,'Data shares'!$C:$FA,98)</f>
        <v>24184500</v>
      </c>
      <c r="F10" s="51">
        <f>VLOOKUP($A10,'Data shares'!$C:$FA,99)</f>
        <v>23750500</v>
      </c>
      <c r="G10" s="50">
        <f>VLOOKUP($A10,'Data shares'!$C:$FA,101)*100</f>
        <v>1.83</v>
      </c>
      <c r="H10" s="49">
        <f>VLOOKUP($A10,'Data Vlaue (Cr)'!$C:$FB,99)</f>
        <v>5960</v>
      </c>
      <c r="I10" s="49">
        <f>VLOOKUP($A10,'Data Vlaue (Cr)'!$C:$FB,100)</f>
        <v>5853</v>
      </c>
      <c r="J10" s="49">
        <f>VLOOKUP($A10,'Data Vlaue (Cr)'!$C:$FB,102)*100</f>
        <v>1.83</v>
      </c>
    </row>
    <row r="11" spans="1:10" x14ac:dyDescent="0.25">
      <c r="A11" s="101" t="str">
        <f>'NIFTY GRP'!C6</f>
        <v>AXISBANK</v>
      </c>
      <c r="B11" s="140">
        <f>VLOOKUP($A11,'Data shares'!$C:$FA,7)</f>
        <v>1359.1</v>
      </c>
      <c r="C11" s="140">
        <f>VLOOKUP($A11,'Data shares'!$C:$FA,3)</f>
        <v>1363.3</v>
      </c>
      <c r="D11" s="50">
        <f>VLOOKUP($A11,'Data shares'!$C:$FA,6)*100</f>
        <v>0.96</v>
      </c>
      <c r="E11" s="51">
        <f>VLOOKUP($A11,'Data shares'!$C:$FA,98)</f>
        <v>95240000</v>
      </c>
      <c r="F11" s="51">
        <f>VLOOKUP($A11,'Data shares'!$C:$FA,99)</f>
        <v>94147500</v>
      </c>
      <c r="G11" s="50">
        <f>VLOOKUP($A11,'Data shares'!$C:$FA,101)*100</f>
        <v>1.1599999999999999</v>
      </c>
      <c r="H11" s="49">
        <f>VLOOKUP($A11,'Data Vlaue (Cr)'!$C:$FB,99)</f>
        <v>12984</v>
      </c>
      <c r="I11" s="49">
        <f>VLOOKUP($A11,'Data Vlaue (Cr)'!$C:$FB,100)</f>
        <v>12835</v>
      </c>
      <c r="J11" s="49">
        <f>VLOOKUP($A11,'Data Vlaue (Cr)'!$C:$FB,102)*100</f>
        <v>1.1599999999999999</v>
      </c>
    </row>
    <row r="12" spans="1:10" x14ac:dyDescent="0.25">
      <c r="A12" s="101" t="str">
        <f>'NIFTY GRP'!C7</f>
        <v>BAJAJ-AUTO</v>
      </c>
      <c r="B12" s="140">
        <f>VLOOKUP($A12,'Data shares'!$C:$FA,7)</f>
        <v>9773.5</v>
      </c>
      <c r="C12" s="140">
        <f>VLOOKUP($A12,'Data shares'!$C:$FA,3)</f>
        <v>9761.5</v>
      </c>
      <c r="D12" s="50">
        <f>VLOOKUP($A12,'Data shares'!$C:$FA,6)*100</f>
        <v>-0.92999999999999994</v>
      </c>
      <c r="E12" s="51">
        <f>VLOOKUP($A12,'Data shares'!$C:$FA,98)</f>
        <v>5486775</v>
      </c>
      <c r="F12" s="51">
        <f>VLOOKUP($A12,'Data shares'!$C:$FA,99)</f>
        <v>5306850</v>
      </c>
      <c r="G12" s="50">
        <f>VLOOKUP($A12,'Data shares'!$C:$FA,101)*100</f>
        <v>3.39</v>
      </c>
      <c r="H12" s="49">
        <f>VLOOKUP($A12,'Data Vlaue (Cr)'!$C:$FB,99)</f>
        <v>5356</v>
      </c>
      <c r="I12" s="49">
        <f>VLOOKUP($A12,'Data Vlaue (Cr)'!$C:$FB,100)</f>
        <v>5180</v>
      </c>
      <c r="J12" s="49">
        <f>VLOOKUP($A12,'Data Vlaue (Cr)'!$C:$FB,102)*100</f>
        <v>3.39</v>
      </c>
    </row>
    <row r="13" spans="1:10" x14ac:dyDescent="0.25">
      <c r="A13" s="101" t="str">
        <f>'NIFTY GRP'!C8</f>
        <v>BAJAJFINSV</v>
      </c>
      <c r="B13" s="140">
        <f>VLOOKUP($A13,'Data shares'!$C:$FA,7)</f>
        <v>1838.9</v>
      </c>
      <c r="C13" s="140">
        <f>VLOOKUP($A13,'Data shares'!$C:$FA,3)</f>
        <v>1839.4</v>
      </c>
      <c r="D13" s="50">
        <f>VLOOKUP($A13,'Data shares'!$C:$FA,6)*100</f>
        <v>0.52</v>
      </c>
      <c r="E13" s="51">
        <f>VLOOKUP($A13,'Data shares'!$C:$FA,98)</f>
        <v>18279500</v>
      </c>
      <c r="F13" s="51">
        <f>VLOOKUP($A13,'Data shares'!$C:$FA,99)</f>
        <v>18369500</v>
      </c>
      <c r="G13" s="50">
        <f>VLOOKUP($A13,'Data shares'!$C:$FA,101)*100</f>
        <v>-0.49</v>
      </c>
      <c r="H13" s="49">
        <f>VLOOKUP($A13,'Data Vlaue (Cr)'!$C:$FB,99)</f>
        <v>3362</v>
      </c>
      <c r="I13" s="49">
        <f>VLOOKUP($A13,'Data Vlaue (Cr)'!$C:$FB,100)</f>
        <v>3379</v>
      </c>
      <c r="J13" s="49">
        <f>VLOOKUP($A13,'Data Vlaue (Cr)'!$C:$FB,102)*100</f>
        <v>-0.49</v>
      </c>
    </row>
    <row r="14" spans="1:10" x14ac:dyDescent="0.25">
      <c r="A14" s="101" t="str">
        <f>'NIFTY GRP'!C9</f>
        <v>BAJFINANCE</v>
      </c>
      <c r="B14" s="140">
        <f>VLOOKUP($A14,'Data shares'!$C:$FA,7)</f>
        <v>908.25</v>
      </c>
      <c r="C14" s="140">
        <f>VLOOKUP($A14,'Data shares'!$C:$FA,3)</f>
        <v>910.95</v>
      </c>
      <c r="D14" s="50">
        <f>VLOOKUP($A14,'Data shares'!$C:$FA,6)*100</f>
        <v>0.22999999999999998</v>
      </c>
      <c r="E14" s="51">
        <f>VLOOKUP($A14,'Data shares'!$C:$FA,98)</f>
        <v>109996500</v>
      </c>
      <c r="F14" s="51">
        <f>VLOOKUP($A14,'Data shares'!$C:$FA,99)</f>
        <v>109245750</v>
      </c>
      <c r="G14" s="50">
        <f>VLOOKUP($A14,'Data shares'!$C:$FA,101)*100</f>
        <v>0.69</v>
      </c>
      <c r="H14" s="49">
        <f>VLOOKUP($A14,'Data Vlaue (Cr)'!$C:$FB,99)</f>
        <v>10020</v>
      </c>
      <c r="I14" s="49">
        <f>VLOOKUP($A14,'Data Vlaue (Cr)'!$C:$FB,100)</f>
        <v>9952</v>
      </c>
      <c r="J14" s="49">
        <f>VLOOKUP($A14,'Data Vlaue (Cr)'!$C:$FB,102)*100</f>
        <v>0.69</v>
      </c>
    </row>
    <row r="15" spans="1:10" x14ac:dyDescent="0.25">
      <c r="A15" s="101" t="str">
        <f>'NIFTY GRP'!C10</f>
        <v>BEL</v>
      </c>
      <c r="B15" s="140">
        <f>VLOOKUP($A15,'Data shares'!$C:$FA,7)</f>
        <v>462.75</v>
      </c>
      <c r="C15" s="140">
        <f>VLOOKUP($A15,'Data shares'!$C:$FA,3)</f>
        <v>462.9</v>
      </c>
      <c r="D15" s="50">
        <f>VLOOKUP($A15,'Data shares'!$C:$FA,6)*100</f>
        <v>1.39</v>
      </c>
      <c r="E15" s="51">
        <f>VLOOKUP($A15,'Data shares'!$C:$FA,98)</f>
        <v>179190900</v>
      </c>
      <c r="F15" s="51">
        <f>VLOOKUP($A15,'Data shares'!$C:$FA,99)</f>
        <v>176531850</v>
      </c>
      <c r="G15" s="50">
        <f>VLOOKUP($A15,'Data shares'!$C:$FA,101)*100</f>
        <v>1.51</v>
      </c>
      <c r="H15" s="49">
        <f>VLOOKUP($A15,'Data Vlaue (Cr)'!$C:$FB,99)</f>
        <v>8295</v>
      </c>
      <c r="I15" s="49">
        <f>VLOOKUP($A15,'Data Vlaue (Cr)'!$C:$FB,100)</f>
        <v>8172</v>
      </c>
      <c r="J15" s="49">
        <f>VLOOKUP($A15,'Data Vlaue (Cr)'!$C:$FB,102)*100</f>
        <v>1.51</v>
      </c>
    </row>
    <row r="16" spans="1:10" x14ac:dyDescent="0.25">
      <c r="A16" s="101" t="str">
        <f>'NIFTY GRP'!C11</f>
        <v>BHARTIARTL</v>
      </c>
      <c r="B16" s="140">
        <f>VLOOKUP($A16,'Data shares'!$C:$FA,7)</f>
        <v>1846.9</v>
      </c>
      <c r="C16" s="140">
        <f>VLOOKUP($A16,'Data shares'!$C:$FA,3)</f>
        <v>1849</v>
      </c>
      <c r="D16" s="50">
        <f>VLOOKUP($A16,'Data shares'!$C:$FA,6)*100</f>
        <v>0.27</v>
      </c>
      <c r="E16" s="51">
        <f>VLOOKUP($A16,'Data shares'!$C:$FA,98)</f>
        <v>82734550</v>
      </c>
      <c r="F16" s="51">
        <f>VLOOKUP($A16,'Data shares'!$C:$FA,99)</f>
        <v>81975500</v>
      </c>
      <c r="G16" s="50">
        <f>VLOOKUP($A16,'Data shares'!$C:$FA,101)*100</f>
        <v>0.92999999999999994</v>
      </c>
      <c r="H16" s="49">
        <f>VLOOKUP($A16,'Data Vlaue (Cr)'!$C:$FB,99)</f>
        <v>15298</v>
      </c>
      <c r="I16" s="49">
        <f>VLOOKUP($A16,'Data Vlaue (Cr)'!$C:$FB,100)</f>
        <v>15157</v>
      </c>
      <c r="J16" s="49">
        <f>VLOOKUP($A16,'Data Vlaue (Cr)'!$C:$FB,102)*100</f>
        <v>0.92999999999999994</v>
      </c>
    </row>
    <row r="17" spans="1:10" x14ac:dyDescent="0.25">
      <c r="A17" s="101" t="str">
        <f>'NIFTY GRP'!C12</f>
        <v>CIPLA</v>
      </c>
      <c r="B17" s="140">
        <f>VLOOKUP($A17,'Data shares'!$C:$FA,7)</f>
        <v>1240.8</v>
      </c>
      <c r="C17" s="140">
        <f>VLOOKUP($A17,'Data shares'!$C:$FA,3)</f>
        <v>1245.0999999999999</v>
      </c>
      <c r="D17" s="50">
        <f>VLOOKUP($A17,'Data shares'!$C:$FA,6)*100</f>
        <v>1.06</v>
      </c>
      <c r="E17" s="51">
        <f>VLOOKUP($A17,'Data shares'!$C:$FA,98)</f>
        <v>23799375</v>
      </c>
      <c r="F17" s="51">
        <f>VLOOKUP($A17,'Data shares'!$C:$FA,99)</f>
        <v>23753250</v>
      </c>
      <c r="G17" s="50">
        <f>VLOOKUP($A17,'Data shares'!$C:$FA,101)*100</f>
        <v>0.19</v>
      </c>
      <c r="H17" s="49">
        <f>VLOOKUP($A17,'Data Vlaue (Cr)'!$C:$FB,99)</f>
        <v>2963</v>
      </c>
      <c r="I17" s="49">
        <f>VLOOKUP($A17,'Data Vlaue (Cr)'!$C:$FB,100)</f>
        <v>2958</v>
      </c>
      <c r="J17" s="49">
        <f>VLOOKUP($A17,'Data Vlaue (Cr)'!$C:$FB,102)*100</f>
        <v>0.19</v>
      </c>
    </row>
    <row r="18" spans="1:10" x14ac:dyDescent="0.25">
      <c r="A18" s="101" t="str">
        <f>'NIFTY GRP'!C13</f>
        <v>COALINDIA</v>
      </c>
      <c r="B18" s="140">
        <f>VLOOKUP($A18,'Data shares'!$C:$FA,7)</f>
        <v>438.75</v>
      </c>
      <c r="C18" s="140">
        <f>VLOOKUP($A18,'Data shares'!$C:$FA,3)</f>
        <v>439.55</v>
      </c>
      <c r="D18" s="50">
        <f>VLOOKUP($A18,'Data shares'!$C:$FA,6)*100</f>
        <v>1.67</v>
      </c>
      <c r="E18" s="51">
        <f>VLOOKUP($A18,'Data shares'!$C:$FA,98)</f>
        <v>142797600</v>
      </c>
      <c r="F18" s="51">
        <f>VLOOKUP($A18,'Data shares'!$C:$FA,99)</f>
        <v>141162750</v>
      </c>
      <c r="G18" s="50">
        <f>VLOOKUP($A18,'Data shares'!$C:$FA,101)*100</f>
        <v>1.1599999999999999</v>
      </c>
      <c r="H18" s="49">
        <f>VLOOKUP($A18,'Data Vlaue (Cr)'!$C:$FB,99)</f>
        <v>6277</v>
      </c>
      <c r="I18" s="49">
        <f>VLOOKUP($A18,'Data Vlaue (Cr)'!$C:$FB,100)</f>
        <v>6205</v>
      </c>
      <c r="J18" s="49">
        <f>VLOOKUP($A18,'Data Vlaue (Cr)'!$C:$FB,102)*100</f>
        <v>1.1599999999999999</v>
      </c>
    </row>
    <row r="19" spans="1:10" x14ac:dyDescent="0.25">
      <c r="A19" s="101" t="str">
        <f>'NIFTY GRP'!C14</f>
        <v>DRREDDY</v>
      </c>
      <c r="B19" s="140">
        <f>VLOOKUP($A19,'Data shares'!$C:$FA,7)</f>
        <v>1235.7</v>
      </c>
      <c r="C19" s="140">
        <f>VLOOKUP($A19,'Data shares'!$C:$FA,3)</f>
        <v>1231.8</v>
      </c>
      <c r="D19" s="50">
        <f>VLOOKUP($A19,'Data shares'!$C:$FA,6)*100</f>
        <v>0.88</v>
      </c>
      <c r="E19" s="51">
        <f>VLOOKUP($A19,'Data shares'!$C:$FA,98)</f>
        <v>26233125</v>
      </c>
      <c r="F19" s="51">
        <f>VLOOKUP($A19,'Data shares'!$C:$FA,99)</f>
        <v>25818750</v>
      </c>
      <c r="G19" s="50">
        <f>VLOOKUP($A19,'Data shares'!$C:$FA,101)*100</f>
        <v>1.6</v>
      </c>
      <c r="H19" s="49">
        <f>VLOOKUP($A19,'Data Vlaue (Cr)'!$C:$FB,99)</f>
        <v>3231</v>
      </c>
      <c r="I19" s="49">
        <f>VLOOKUP($A19,'Data Vlaue (Cr)'!$C:$FB,100)</f>
        <v>3180</v>
      </c>
      <c r="J19" s="49">
        <f>VLOOKUP($A19,'Data Vlaue (Cr)'!$C:$FB,102)*100</f>
        <v>1.6</v>
      </c>
    </row>
    <row r="20" spans="1:10" x14ac:dyDescent="0.25">
      <c r="A20" s="101" t="str">
        <f>'NIFTY GRP'!C15</f>
        <v>EICHERMOT</v>
      </c>
      <c r="B20" s="140">
        <f>VLOOKUP($A20,'Data shares'!$C:$FA,7)</f>
        <v>7189.5</v>
      </c>
      <c r="C20" s="140">
        <f>VLOOKUP($A20,'Data shares'!$C:$FA,3)</f>
        <v>7189.5</v>
      </c>
      <c r="D20" s="50">
        <f>VLOOKUP($A20,'Data shares'!$C:$FA,6)*100</f>
        <v>0.8</v>
      </c>
      <c r="E20" s="51">
        <f>VLOOKUP($A20,'Data shares'!$C:$FA,98)</f>
        <v>8195200</v>
      </c>
      <c r="F20" s="51">
        <f>VLOOKUP($A20,'Data shares'!$C:$FA,99)</f>
        <v>8235900</v>
      </c>
      <c r="G20" s="50">
        <f>VLOOKUP($A20,'Data shares'!$C:$FA,101)*100</f>
        <v>-0.49</v>
      </c>
      <c r="H20" s="49">
        <f>VLOOKUP($A20,'Data Vlaue (Cr)'!$C:$FB,99)</f>
        <v>5892</v>
      </c>
      <c r="I20" s="49">
        <f>VLOOKUP($A20,'Data Vlaue (Cr)'!$C:$FB,100)</f>
        <v>5921</v>
      </c>
      <c r="J20" s="49">
        <f>VLOOKUP($A20,'Data Vlaue (Cr)'!$C:$FB,102)*100</f>
        <v>-0.49</v>
      </c>
    </row>
    <row r="21" spans="1:10" x14ac:dyDescent="0.25">
      <c r="A21" s="101" t="str">
        <f>'NIFTY GRP'!C16</f>
        <v>ETERNAL</v>
      </c>
      <c r="B21" s="140">
        <f>VLOOKUP($A21,'Data shares'!$C:$FA,7)</f>
        <v>252.61</v>
      </c>
      <c r="C21" s="140">
        <f>VLOOKUP($A21,'Data shares'!$C:$FA,3)</f>
        <v>252.59</v>
      </c>
      <c r="D21" s="50">
        <f>VLOOKUP($A21,'Data shares'!$C:$FA,6)*100</f>
        <v>-0.08</v>
      </c>
      <c r="E21" s="51">
        <f>VLOOKUP($A21,'Data shares'!$C:$FA,98)</f>
        <v>310545500</v>
      </c>
      <c r="F21" s="51">
        <f>VLOOKUP($A21,'Data shares'!$C:$FA,99)</f>
        <v>313290600</v>
      </c>
      <c r="G21" s="50">
        <f>VLOOKUP($A21,'Data shares'!$C:$FA,101)*100</f>
        <v>-0.88</v>
      </c>
      <c r="H21" s="49">
        <f>VLOOKUP($A21,'Data Vlaue (Cr)'!$C:$FB,99)</f>
        <v>7844</v>
      </c>
      <c r="I21" s="49">
        <f>VLOOKUP($A21,'Data Vlaue (Cr)'!$C:$FB,100)</f>
        <v>7913</v>
      </c>
      <c r="J21" s="49">
        <f>VLOOKUP($A21,'Data Vlaue (Cr)'!$C:$FB,102)*100</f>
        <v>-0.88</v>
      </c>
    </row>
    <row r="22" spans="1:10" x14ac:dyDescent="0.25">
      <c r="A22" s="101" t="str">
        <f>'NIFTY GRP'!C17</f>
        <v>GRASIM</v>
      </c>
      <c r="B22" s="140">
        <f>VLOOKUP($A22,'Data shares'!$C:$FA,7)</f>
        <v>2720.5</v>
      </c>
      <c r="C22" s="140">
        <f>VLOOKUP($A22,'Data shares'!$C:$FA,3)</f>
        <v>2726.6</v>
      </c>
      <c r="D22" s="50">
        <f>VLOOKUP($A22,'Data shares'!$C:$FA,6)*100</f>
        <v>0.1</v>
      </c>
      <c r="E22" s="51">
        <f>VLOOKUP($A22,'Data shares'!$C:$FA,98)</f>
        <v>17083750</v>
      </c>
      <c r="F22" s="51">
        <f>VLOOKUP($A22,'Data shares'!$C:$FA,99)</f>
        <v>17102750</v>
      </c>
      <c r="G22" s="50">
        <f>VLOOKUP($A22,'Data shares'!$C:$FA,101)*100</f>
        <v>-0.11</v>
      </c>
      <c r="H22" s="49">
        <f>VLOOKUP($A22,'Data Vlaue (Cr)'!$C:$FB,99)</f>
        <v>4658</v>
      </c>
      <c r="I22" s="49">
        <f>VLOOKUP($A22,'Data Vlaue (Cr)'!$C:$FB,100)</f>
        <v>4663</v>
      </c>
      <c r="J22" s="49">
        <f>VLOOKUP($A22,'Data Vlaue (Cr)'!$C:$FB,102)*100</f>
        <v>-0.11</v>
      </c>
    </row>
    <row r="23" spans="1:10" x14ac:dyDescent="0.25">
      <c r="A23" s="101" t="str">
        <f>'NIFTY GRP'!C18</f>
        <v>HCLTECH</v>
      </c>
      <c r="B23" s="140">
        <f>VLOOKUP($A23,'Data shares'!$C:$FA,7)</f>
        <v>1442.3</v>
      </c>
      <c r="C23" s="140">
        <f>VLOOKUP($A23,'Data shares'!$C:$FA,3)</f>
        <v>1415.3</v>
      </c>
      <c r="D23" s="50">
        <f>VLOOKUP($A23,'Data shares'!$C:$FA,6)*100</f>
        <v>-0.33</v>
      </c>
      <c r="E23" s="51">
        <f>VLOOKUP($A23,'Data shares'!$C:$FA,98)</f>
        <v>55914950</v>
      </c>
      <c r="F23" s="51">
        <f>VLOOKUP($A23,'Data shares'!$C:$FA,99)</f>
        <v>53899300</v>
      </c>
      <c r="G23" s="50">
        <f>VLOOKUP($A23,'Data shares'!$C:$FA,101)*100</f>
        <v>3.74</v>
      </c>
      <c r="H23" s="49">
        <f>VLOOKUP($A23,'Data Vlaue (Cr)'!$C:$FB,99)</f>
        <v>7914</v>
      </c>
      <c r="I23" s="49">
        <f>VLOOKUP($A23,'Data Vlaue (Cr)'!$C:$FB,100)</f>
        <v>7628</v>
      </c>
      <c r="J23" s="49">
        <f>VLOOKUP($A23,'Data Vlaue (Cr)'!$C:$FB,102)*100</f>
        <v>3.74</v>
      </c>
    </row>
    <row r="24" spans="1:10" x14ac:dyDescent="0.25">
      <c r="A24" s="101" t="str">
        <f>'NIFTY GRP'!C19</f>
        <v>HDFCBANK</v>
      </c>
      <c r="B24" s="140">
        <f>VLOOKUP($A24,'Data shares'!$C:$FA,7)</f>
        <v>799.9</v>
      </c>
      <c r="C24" s="140">
        <f>VLOOKUP($A24,'Data shares'!$C:$FA,3)</f>
        <v>801.6</v>
      </c>
      <c r="D24" s="50">
        <f>VLOOKUP($A24,'Data shares'!$C:$FA,6)*100</f>
        <v>0.72</v>
      </c>
      <c r="E24" s="51">
        <f>VLOOKUP($A24,'Data shares'!$C:$FA,98)</f>
        <v>484162800</v>
      </c>
      <c r="F24" s="51">
        <f>VLOOKUP($A24,'Data shares'!$C:$FA,99)</f>
        <v>457606600</v>
      </c>
      <c r="G24" s="50">
        <f>VLOOKUP($A24,'Data shares'!$C:$FA,101)*100</f>
        <v>5.8000000000000007</v>
      </c>
      <c r="H24" s="49">
        <f>VLOOKUP($A24,'Data Vlaue (Cr)'!$C:$FB,99)</f>
        <v>38810</v>
      </c>
      <c r="I24" s="49">
        <f>VLOOKUP($A24,'Data Vlaue (Cr)'!$C:$FB,100)</f>
        <v>36682</v>
      </c>
      <c r="J24" s="49">
        <f>VLOOKUP($A24,'Data Vlaue (Cr)'!$C:$FB,102)*100</f>
        <v>5.8000000000000007</v>
      </c>
    </row>
    <row r="25" spans="1:10" x14ac:dyDescent="0.25">
      <c r="A25" s="101" t="str">
        <f>'NIFTY GRP'!C20</f>
        <v>HDFCLIFE</v>
      </c>
      <c r="B25" s="140">
        <f>VLOOKUP($A25,'Data shares'!$C:$FA,7)</f>
        <v>616.45000000000005</v>
      </c>
      <c r="C25" s="140">
        <f>VLOOKUP($A25,'Data shares'!$C:$FA,3)</f>
        <v>616.29999999999995</v>
      </c>
      <c r="D25" s="50">
        <f>VLOOKUP($A25,'Data shares'!$C:$FA,6)*100</f>
        <v>-2.65</v>
      </c>
      <c r="E25" s="51">
        <f>VLOOKUP($A25,'Data shares'!$C:$FA,98)</f>
        <v>76832800</v>
      </c>
      <c r="F25" s="51">
        <f>VLOOKUP($A25,'Data shares'!$C:$FA,99)</f>
        <v>69154800</v>
      </c>
      <c r="G25" s="50">
        <f>VLOOKUP($A25,'Data shares'!$C:$FA,101)*100</f>
        <v>11.1</v>
      </c>
      <c r="H25" s="49">
        <f>VLOOKUP($A25,'Data Vlaue (Cr)'!$C:$FB,99)</f>
        <v>4735</v>
      </c>
      <c r="I25" s="49">
        <f>VLOOKUP($A25,'Data Vlaue (Cr)'!$C:$FB,100)</f>
        <v>4262</v>
      </c>
      <c r="J25" s="49">
        <f>VLOOKUP($A25,'Data Vlaue (Cr)'!$C:$FB,102)*100</f>
        <v>11.1</v>
      </c>
    </row>
    <row r="26" spans="1:10" x14ac:dyDescent="0.25">
      <c r="A26" s="101" t="str">
        <f>'NIFTY GRP'!C21</f>
        <v>HINDALCO</v>
      </c>
      <c r="B26" s="140">
        <f>VLOOKUP($A26,'Data shares'!$C:$FA,7)</f>
        <v>1039</v>
      </c>
      <c r="C26" s="140">
        <f>VLOOKUP($A26,'Data shares'!$C:$FA,3)</f>
        <v>1040.95</v>
      </c>
      <c r="D26" s="50">
        <f>VLOOKUP($A26,'Data shares'!$C:$FA,6)*100</f>
        <v>0.11</v>
      </c>
      <c r="E26" s="51">
        <f>VLOOKUP($A26,'Data shares'!$C:$FA,98)</f>
        <v>63815500</v>
      </c>
      <c r="F26" s="51">
        <f>VLOOKUP($A26,'Data shares'!$C:$FA,99)</f>
        <v>65309300</v>
      </c>
      <c r="G26" s="50">
        <f>VLOOKUP($A26,'Data shares'!$C:$FA,101)*100</f>
        <v>-2.29</v>
      </c>
      <c r="H26" s="49">
        <f>VLOOKUP($A26,'Data Vlaue (Cr)'!$C:$FB,99)</f>
        <v>6643</v>
      </c>
      <c r="I26" s="49">
        <f>VLOOKUP($A26,'Data Vlaue (Cr)'!$C:$FB,100)</f>
        <v>6798</v>
      </c>
      <c r="J26" s="49">
        <f>VLOOKUP($A26,'Data Vlaue (Cr)'!$C:$FB,102)*100</f>
        <v>-2.29</v>
      </c>
    </row>
    <row r="27" spans="1:10" x14ac:dyDescent="0.25">
      <c r="A27" s="101" t="str">
        <f>'NIFTY GRP'!C22</f>
        <v>HINDUNILVR</v>
      </c>
      <c r="B27" s="140">
        <f>VLOOKUP($A27,'Data shares'!$C:$FA,7)</f>
        <v>2240.8000000000002</v>
      </c>
      <c r="C27" s="140">
        <f>VLOOKUP($A27,'Data shares'!$C:$FA,3)</f>
        <v>2240.6999999999998</v>
      </c>
      <c r="D27" s="50">
        <f>VLOOKUP($A27,'Data shares'!$C:$FA,6)*100</f>
        <v>4.45</v>
      </c>
      <c r="E27" s="51">
        <f>VLOOKUP($A27,'Data shares'!$C:$FA,98)</f>
        <v>29977800</v>
      </c>
      <c r="F27" s="51">
        <f>VLOOKUP($A27,'Data shares'!$C:$FA,99)</f>
        <v>27142800</v>
      </c>
      <c r="G27" s="50">
        <f>VLOOKUP($A27,'Data shares'!$C:$FA,101)*100</f>
        <v>10.440000000000001</v>
      </c>
      <c r="H27" s="49">
        <f>VLOOKUP($A27,'Data Vlaue (Cr)'!$C:$FB,99)</f>
        <v>6717</v>
      </c>
      <c r="I27" s="49">
        <f>VLOOKUP($A27,'Data Vlaue (Cr)'!$C:$FB,100)</f>
        <v>6082</v>
      </c>
      <c r="J27" s="49">
        <f>VLOOKUP($A27,'Data Vlaue (Cr)'!$C:$FB,102)*100</f>
        <v>10.440000000000001</v>
      </c>
    </row>
    <row r="28" spans="1:10" x14ac:dyDescent="0.25">
      <c r="A28" s="101" t="str">
        <f>'NIFTY GRP'!C23</f>
        <v>ICICIBANK</v>
      </c>
      <c r="B28" s="140">
        <f>VLOOKUP($A28,'Data shares'!$C:$FA,7)</f>
        <v>1346.8</v>
      </c>
      <c r="C28" s="140">
        <f>VLOOKUP($A28,'Data shares'!$C:$FA,3)</f>
        <v>1351.6</v>
      </c>
      <c r="D28" s="50">
        <f>VLOOKUP($A28,'Data shares'!$C:$FA,6)*100</f>
        <v>0.26</v>
      </c>
      <c r="E28" s="51">
        <f>VLOOKUP($A28,'Data shares'!$C:$FA,98)</f>
        <v>171844400</v>
      </c>
      <c r="F28" s="51">
        <f>VLOOKUP($A28,'Data shares'!$C:$FA,99)</f>
        <v>159312300</v>
      </c>
      <c r="G28" s="50">
        <f>VLOOKUP($A28,'Data shares'!$C:$FA,101)*100</f>
        <v>7.870000000000001</v>
      </c>
      <c r="H28" s="49">
        <f>VLOOKUP($A28,'Data Vlaue (Cr)'!$C:$FB,99)</f>
        <v>23226</v>
      </c>
      <c r="I28" s="49">
        <f>VLOOKUP($A28,'Data Vlaue (Cr)'!$C:$FB,100)</f>
        <v>21533</v>
      </c>
      <c r="J28" s="49">
        <f>VLOOKUP($A28,'Data Vlaue (Cr)'!$C:$FB,102)*100</f>
        <v>7.870000000000001</v>
      </c>
    </row>
    <row r="29" spans="1:10" x14ac:dyDescent="0.25">
      <c r="A29" s="101" t="str">
        <f>'NIFTY GRP'!C24</f>
        <v>INDIGO</v>
      </c>
      <c r="B29" s="140">
        <f>VLOOKUP($A29,'Data shares'!$C:$FA,7)</f>
        <v>4638.3999999999996</v>
      </c>
      <c r="C29" s="140">
        <f>VLOOKUP($A29,'Data shares'!$C:$FA,3)</f>
        <v>4647.8999999999996</v>
      </c>
      <c r="D29" s="50">
        <f>VLOOKUP($A29,'Data shares'!$C:$FA,6)*100</f>
        <v>0.51</v>
      </c>
      <c r="E29" s="51">
        <f>VLOOKUP($A29,'Data shares'!$C:$FA,98)</f>
        <v>17672400</v>
      </c>
      <c r="F29" s="51">
        <f>VLOOKUP($A29,'Data shares'!$C:$FA,99)</f>
        <v>17573100</v>
      </c>
      <c r="G29" s="50">
        <f>VLOOKUP($A29,'Data shares'!$C:$FA,101)*100</f>
        <v>0.57000000000000006</v>
      </c>
      <c r="H29" s="49">
        <f>VLOOKUP($A29,'Data Vlaue (Cr)'!$C:$FB,99)</f>
        <v>8214</v>
      </c>
      <c r="I29" s="49">
        <f>VLOOKUP($A29,'Data Vlaue (Cr)'!$C:$FB,100)</f>
        <v>8168</v>
      </c>
      <c r="J29" s="49">
        <f>VLOOKUP($A29,'Data Vlaue (Cr)'!$C:$FB,102)*100</f>
        <v>0.57000000000000006</v>
      </c>
    </row>
    <row r="30" spans="1:10" x14ac:dyDescent="0.25">
      <c r="A30" s="101" t="str">
        <f>'NIFTY GRP'!C25</f>
        <v>INFY</v>
      </c>
      <c r="B30" s="140">
        <f>VLOOKUP($A30,'Data shares'!$C:$FA,7)</f>
        <v>1318.7</v>
      </c>
      <c r="C30" s="140">
        <f>VLOOKUP($A30,'Data shares'!$C:$FA,3)</f>
        <v>1321</v>
      </c>
      <c r="D30" s="50">
        <f>VLOOKUP($A30,'Data shares'!$C:$FA,6)*100</f>
        <v>0.02</v>
      </c>
      <c r="E30" s="51">
        <f>VLOOKUP($A30,'Data shares'!$C:$FA,98)</f>
        <v>128380400</v>
      </c>
      <c r="F30" s="51">
        <f>VLOOKUP($A30,'Data shares'!$C:$FA,99)</f>
        <v>128870800</v>
      </c>
      <c r="G30" s="50">
        <f>VLOOKUP($A30,'Data shares'!$C:$FA,101)*100</f>
        <v>-0.38</v>
      </c>
      <c r="H30" s="49">
        <f>VLOOKUP($A30,'Data Vlaue (Cr)'!$C:$FB,99)</f>
        <v>16959</v>
      </c>
      <c r="I30" s="49">
        <f>VLOOKUP($A30,'Data Vlaue (Cr)'!$C:$FB,100)</f>
        <v>17024</v>
      </c>
      <c r="J30" s="49">
        <f>VLOOKUP($A30,'Data Vlaue (Cr)'!$C:$FB,102)*100</f>
        <v>-0.38</v>
      </c>
    </row>
    <row r="31" spans="1:10" x14ac:dyDescent="0.25">
      <c r="A31" s="101" t="str">
        <f>'NIFTY GRP'!C26</f>
        <v>ITC</v>
      </c>
      <c r="B31" s="140">
        <f>VLOOKUP($A31,'Data shares'!$C:$FA,7)</f>
        <v>306.8</v>
      </c>
      <c r="C31" s="140">
        <f>VLOOKUP($A31,'Data shares'!$C:$FA,3)</f>
        <v>307.5</v>
      </c>
      <c r="D31" s="50">
        <f>VLOOKUP($A31,'Data shares'!$C:$FA,6)*100</f>
        <v>1.23</v>
      </c>
      <c r="E31" s="51">
        <f>VLOOKUP($A31,'Data shares'!$C:$FA,98)</f>
        <v>336720000</v>
      </c>
      <c r="F31" s="51">
        <f>VLOOKUP($A31,'Data shares'!$C:$FA,99)</f>
        <v>313382400</v>
      </c>
      <c r="G31" s="50">
        <f>VLOOKUP($A31,'Data shares'!$C:$FA,101)*100</f>
        <v>7.4499999999999993</v>
      </c>
      <c r="H31" s="49">
        <f>VLOOKUP($A31,'Data Vlaue (Cr)'!$C:$FB,99)</f>
        <v>10354</v>
      </c>
      <c r="I31" s="49">
        <f>VLOOKUP($A31,'Data Vlaue (Cr)'!$C:$FB,100)</f>
        <v>9637</v>
      </c>
      <c r="J31" s="49">
        <f>VLOOKUP($A31,'Data Vlaue (Cr)'!$C:$FB,102)*100</f>
        <v>7.4499999999999993</v>
      </c>
    </row>
    <row r="32" spans="1:10" x14ac:dyDescent="0.25">
      <c r="A32" s="101" t="str">
        <f>'NIFTY GRP'!C27</f>
        <v>JIOFIN</v>
      </c>
      <c r="B32" s="140">
        <f>VLOOKUP($A32,'Data shares'!$C:$FA,7)</f>
        <v>243.86</v>
      </c>
      <c r="C32" s="140">
        <f>VLOOKUP($A32,'Data shares'!$C:$FA,3)</f>
        <v>244.6</v>
      </c>
      <c r="D32" s="50">
        <f>VLOOKUP($A32,'Data shares'!$C:$FA,6)*100</f>
        <v>1.1599999999999999</v>
      </c>
      <c r="E32" s="51">
        <f>VLOOKUP($A32,'Data shares'!$C:$FA,98)</f>
        <v>285449800</v>
      </c>
      <c r="F32" s="51">
        <f>VLOOKUP($A32,'Data shares'!$C:$FA,99)</f>
        <v>241831450</v>
      </c>
      <c r="G32" s="50">
        <f>VLOOKUP($A32,'Data shares'!$C:$FA,101)*100</f>
        <v>18.04</v>
      </c>
      <c r="H32" s="49">
        <f>VLOOKUP($A32,'Data Vlaue (Cr)'!$C:$FB,99)</f>
        <v>6982</v>
      </c>
      <c r="I32" s="49">
        <f>VLOOKUP($A32,'Data Vlaue (Cr)'!$C:$FB,100)</f>
        <v>5915</v>
      </c>
      <c r="J32" s="49">
        <f>VLOOKUP($A32,'Data Vlaue (Cr)'!$C:$FB,102)*100</f>
        <v>18.04</v>
      </c>
    </row>
    <row r="33" spans="1:10" x14ac:dyDescent="0.25">
      <c r="A33" s="101" t="str">
        <f>'NIFTY GRP'!C28</f>
        <v>JSWSTEEL</v>
      </c>
      <c r="B33" s="140">
        <f>VLOOKUP($A33,'Data shares'!$C:$FA,7)</f>
        <v>1240.3</v>
      </c>
      <c r="C33" s="140">
        <f>VLOOKUP($A33,'Data shares'!$C:$FA,3)</f>
        <v>1240.2</v>
      </c>
      <c r="D33" s="50">
        <f>VLOOKUP($A33,'Data shares'!$C:$FA,6)*100</f>
        <v>1.8800000000000001</v>
      </c>
      <c r="E33" s="51">
        <f>VLOOKUP($A33,'Data shares'!$C:$FA,98)</f>
        <v>61297425</v>
      </c>
      <c r="F33" s="51">
        <f>VLOOKUP($A33,'Data shares'!$C:$FA,99)</f>
        <v>62330175</v>
      </c>
      <c r="G33" s="50">
        <f>VLOOKUP($A33,'Data shares'!$C:$FA,101)*100</f>
        <v>-1.66</v>
      </c>
      <c r="H33" s="49">
        <f>VLOOKUP($A33,'Data Vlaue (Cr)'!$C:$FB,99)</f>
        <v>7602</v>
      </c>
      <c r="I33" s="49">
        <f>VLOOKUP($A33,'Data Vlaue (Cr)'!$C:$FB,100)</f>
        <v>7730</v>
      </c>
      <c r="J33" s="49">
        <f>VLOOKUP($A33,'Data Vlaue (Cr)'!$C:$FB,102)*100</f>
        <v>-1.66</v>
      </c>
    </row>
    <row r="34" spans="1:10" x14ac:dyDescent="0.25">
      <c r="A34" s="101" t="str">
        <f>'NIFTY GRP'!C29</f>
        <v>KOTAKBANK</v>
      </c>
      <c r="B34" s="140">
        <f>VLOOKUP($A34,'Data shares'!$C:$FA,7)</f>
        <v>383.6</v>
      </c>
      <c r="C34" s="140">
        <f>VLOOKUP($A34,'Data shares'!$C:$FA,3)</f>
        <v>383.6</v>
      </c>
      <c r="D34" s="50">
        <f>VLOOKUP($A34,'Data shares'!$C:$FA,6)*100</f>
        <v>1.1900000000000002</v>
      </c>
      <c r="E34" s="51">
        <f>VLOOKUP($A34,'Data shares'!$C:$FA,98)</f>
        <v>276060000</v>
      </c>
      <c r="F34" s="51">
        <f>VLOOKUP($A34,'Data shares'!$C:$FA,99)</f>
        <v>280164000</v>
      </c>
      <c r="G34" s="50">
        <f>VLOOKUP($A34,'Data shares'!$C:$FA,101)*100</f>
        <v>-1.46</v>
      </c>
      <c r="H34" s="49">
        <f>VLOOKUP($A34,'Data Vlaue (Cr)'!$C:$FB,99)</f>
        <v>10590</v>
      </c>
      <c r="I34" s="49">
        <f>VLOOKUP($A34,'Data Vlaue (Cr)'!$C:$FB,100)</f>
        <v>10747</v>
      </c>
      <c r="J34" s="49">
        <f>VLOOKUP($A34,'Data Vlaue (Cr)'!$C:$FB,102)*100</f>
        <v>-1.46</v>
      </c>
    </row>
    <row r="35" spans="1:10" x14ac:dyDescent="0.25">
      <c r="A35" s="101" t="str">
        <f>'NIFTY GRP'!C30</f>
        <v>LT</v>
      </c>
      <c r="B35" s="140">
        <f>VLOOKUP($A35,'Data shares'!$C:$FA,7)</f>
        <v>4096.1000000000004</v>
      </c>
      <c r="C35" s="140">
        <f>VLOOKUP($A35,'Data shares'!$C:$FA,3)</f>
        <v>4106.8999999999996</v>
      </c>
      <c r="D35" s="50">
        <f>VLOOKUP($A35,'Data shares'!$C:$FA,6)*100</f>
        <v>-0.27</v>
      </c>
      <c r="E35" s="51">
        <f>VLOOKUP($A35,'Data shares'!$C:$FA,98)</f>
        <v>32313225</v>
      </c>
      <c r="F35" s="51">
        <f>VLOOKUP($A35,'Data shares'!$C:$FA,99)</f>
        <v>32143650</v>
      </c>
      <c r="G35" s="50">
        <f>VLOOKUP($A35,'Data shares'!$C:$FA,101)*100</f>
        <v>0.53</v>
      </c>
      <c r="H35" s="49">
        <f>VLOOKUP($A35,'Data Vlaue (Cr)'!$C:$FB,99)</f>
        <v>13271</v>
      </c>
      <c r="I35" s="49">
        <f>VLOOKUP($A35,'Data Vlaue (Cr)'!$C:$FB,100)</f>
        <v>13201</v>
      </c>
      <c r="J35" s="49">
        <f>VLOOKUP($A35,'Data Vlaue (Cr)'!$C:$FB,102)*100</f>
        <v>0.53</v>
      </c>
    </row>
    <row r="36" spans="1:10" x14ac:dyDescent="0.25">
      <c r="A36" s="101" t="str">
        <f>'NIFTY GRP'!C31</f>
        <v>M&amp;M</v>
      </c>
      <c r="B36" s="140">
        <f>VLOOKUP($A36,'Data shares'!$C:$FA,7)</f>
        <v>3200.2</v>
      </c>
      <c r="C36" s="140">
        <f>VLOOKUP($A36,'Data shares'!$C:$FA,3)</f>
        <v>3207.2</v>
      </c>
      <c r="D36" s="50">
        <f>VLOOKUP($A36,'Data shares'!$C:$FA,6)*100</f>
        <v>-0.67999999999999994</v>
      </c>
      <c r="E36" s="51">
        <f>VLOOKUP($A36,'Data shares'!$C:$FA,98)</f>
        <v>28887000</v>
      </c>
      <c r="F36" s="51">
        <f>VLOOKUP($A36,'Data shares'!$C:$FA,99)</f>
        <v>27988000</v>
      </c>
      <c r="G36" s="50">
        <f>VLOOKUP($A36,'Data shares'!$C:$FA,101)*100</f>
        <v>3.2099999999999995</v>
      </c>
      <c r="H36" s="49">
        <f>VLOOKUP($A36,'Data Vlaue (Cr)'!$C:$FB,99)</f>
        <v>9265</v>
      </c>
      <c r="I36" s="49">
        <f>VLOOKUP($A36,'Data Vlaue (Cr)'!$C:$FB,100)</f>
        <v>8976</v>
      </c>
      <c r="J36" s="49">
        <f>VLOOKUP($A36,'Data Vlaue (Cr)'!$C:$FB,102)*100</f>
        <v>3.2099999999999995</v>
      </c>
    </row>
    <row r="37" spans="1:10" x14ac:dyDescent="0.25">
      <c r="A37" s="101" t="str">
        <f>'NIFTY GRP'!C32</f>
        <v>MARUTI</v>
      </c>
      <c r="B37" s="140">
        <f>VLOOKUP($A37,'Data shares'!$C:$FA,7)</f>
        <v>13453</v>
      </c>
      <c r="C37" s="140">
        <f>VLOOKUP($A37,'Data shares'!$C:$FA,3)</f>
        <v>13490</v>
      </c>
      <c r="D37" s="50">
        <f>VLOOKUP($A37,'Data shares'!$C:$FA,6)*100</f>
        <v>1.03</v>
      </c>
      <c r="E37" s="51">
        <f>VLOOKUP($A37,'Data shares'!$C:$FA,98)</f>
        <v>6842600</v>
      </c>
      <c r="F37" s="51">
        <f>VLOOKUP($A37,'Data shares'!$C:$FA,99)</f>
        <v>6729500</v>
      </c>
      <c r="G37" s="50">
        <f>VLOOKUP($A37,'Data shares'!$C:$FA,101)*100</f>
        <v>1.68</v>
      </c>
      <c r="H37" s="49">
        <f>VLOOKUP($A37,'Data Vlaue (Cr)'!$C:$FB,99)</f>
        <v>9231</v>
      </c>
      <c r="I37" s="49">
        <f>VLOOKUP($A37,'Data Vlaue (Cr)'!$C:$FB,100)</f>
        <v>9078</v>
      </c>
      <c r="J37" s="49">
        <f>VLOOKUP($A37,'Data Vlaue (Cr)'!$C:$FB,102)*100</f>
        <v>1.68</v>
      </c>
    </row>
    <row r="38" spans="1:10" x14ac:dyDescent="0.25">
      <c r="A38" s="101" t="str">
        <f>'NIFTY GRP'!C33</f>
        <v>MAXHEALTH</v>
      </c>
      <c r="B38" s="140">
        <f>VLOOKUP($A38,'Data shares'!$C:$FA,7)</f>
        <v>1007.65</v>
      </c>
      <c r="C38" s="140">
        <f>VLOOKUP($A38,'Data shares'!$C:$FA,3)</f>
        <v>1007.45</v>
      </c>
      <c r="D38" s="50">
        <f>VLOOKUP($A38,'Data shares'!$C:$FA,6)*100</f>
        <v>1.66</v>
      </c>
      <c r="E38" s="51">
        <f>VLOOKUP($A38,'Data shares'!$C:$FA,98)</f>
        <v>21362250</v>
      </c>
      <c r="F38" s="51">
        <f>VLOOKUP($A38,'Data shares'!$C:$FA,99)</f>
        <v>20830425</v>
      </c>
      <c r="G38" s="50">
        <f>VLOOKUP($A38,'Data shares'!$C:$FA,101)*100</f>
        <v>2.5499999999999998</v>
      </c>
      <c r="H38" s="49">
        <f>VLOOKUP($A38,'Data Vlaue (Cr)'!$C:$FB,99)</f>
        <v>2152</v>
      </c>
      <c r="I38" s="49">
        <f>VLOOKUP($A38,'Data Vlaue (Cr)'!$C:$FB,100)</f>
        <v>2099</v>
      </c>
      <c r="J38" s="49">
        <f>VLOOKUP($A38,'Data Vlaue (Cr)'!$C:$FB,102)*100</f>
        <v>2.5499999999999998</v>
      </c>
    </row>
    <row r="39" spans="1:10" x14ac:dyDescent="0.25">
      <c r="A39" s="101" t="str">
        <f>'NIFTY GRP'!C34</f>
        <v>NESTLEIND</v>
      </c>
      <c r="B39" s="140">
        <f>VLOOKUP($A39,'Data shares'!$C:$FA,7)</f>
        <v>1285.5999999999999</v>
      </c>
      <c r="C39" s="140">
        <f>VLOOKUP($A39,'Data shares'!$C:$FA,3)</f>
        <v>1286</v>
      </c>
      <c r="D39" s="50">
        <f>VLOOKUP($A39,'Data shares'!$C:$FA,6)*100</f>
        <v>2.2399999999999998</v>
      </c>
      <c r="E39" s="51">
        <f>VLOOKUP($A39,'Data shares'!$C:$FA,98)</f>
        <v>25472500</v>
      </c>
      <c r="F39" s="51">
        <f>VLOOKUP($A39,'Data shares'!$C:$FA,99)</f>
        <v>24099500</v>
      </c>
      <c r="G39" s="50">
        <f>VLOOKUP($A39,'Data shares'!$C:$FA,101)*100</f>
        <v>5.7</v>
      </c>
      <c r="H39" s="49">
        <f>VLOOKUP($A39,'Data Vlaue (Cr)'!$C:$FB,99)</f>
        <v>3276</v>
      </c>
      <c r="I39" s="49">
        <f>VLOOKUP($A39,'Data Vlaue (Cr)'!$C:$FB,100)</f>
        <v>3099</v>
      </c>
      <c r="J39" s="49">
        <f>VLOOKUP($A39,'Data Vlaue (Cr)'!$C:$FB,102)*100</f>
        <v>5.7</v>
      </c>
    </row>
    <row r="40" spans="1:10" x14ac:dyDescent="0.25">
      <c r="A40" s="101" t="str">
        <f>'NIFTY GRP'!C35</f>
        <v>NTPC</v>
      </c>
      <c r="B40" s="140">
        <f>VLOOKUP($A40,'Data shares'!$C:$FA,7)</f>
        <v>393.6</v>
      </c>
      <c r="C40" s="140">
        <f>VLOOKUP($A40,'Data shares'!$C:$FA,3)</f>
        <v>395.2</v>
      </c>
      <c r="D40" s="50">
        <f>VLOOKUP($A40,'Data shares'!$C:$FA,6)*100</f>
        <v>0.83</v>
      </c>
      <c r="E40" s="51">
        <f>VLOOKUP($A40,'Data shares'!$C:$FA,98)</f>
        <v>188704500</v>
      </c>
      <c r="F40" s="51">
        <f>VLOOKUP($A40,'Data shares'!$C:$FA,99)</f>
        <v>171784500</v>
      </c>
      <c r="G40" s="50">
        <f>VLOOKUP($A40,'Data shares'!$C:$FA,101)*100</f>
        <v>9.85</v>
      </c>
      <c r="H40" s="49">
        <f>VLOOKUP($A40,'Data Vlaue (Cr)'!$C:$FB,99)</f>
        <v>7458</v>
      </c>
      <c r="I40" s="49">
        <f>VLOOKUP($A40,'Data Vlaue (Cr)'!$C:$FB,100)</f>
        <v>6789</v>
      </c>
      <c r="J40" s="49">
        <f>VLOOKUP($A40,'Data Vlaue (Cr)'!$C:$FB,102)*100</f>
        <v>9.85</v>
      </c>
    </row>
    <row r="41" spans="1:10" x14ac:dyDescent="0.25">
      <c r="A41" s="101" t="str">
        <f>'NIFTY GRP'!C36</f>
        <v>ONGC</v>
      </c>
      <c r="B41" s="140">
        <f>VLOOKUP($A41,'Data shares'!$C:$FA,7)</f>
        <v>284.05</v>
      </c>
      <c r="C41" s="140">
        <f>VLOOKUP($A41,'Data shares'!$C:$FA,3)</f>
        <v>284.89999999999998</v>
      </c>
      <c r="D41" s="50">
        <f>VLOOKUP($A41,'Data shares'!$C:$FA,6)*100</f>
        <v>0.48</v>
      </c>
      <c r="E41" s="51">
        <f>VLOOKUP($A41,'Data shares'!$C:$FA,98)</f>
        <v>229875750</v>
      </c>
      <c r="F41" s="51">
        <f>VLOOKUP($A41,'Data shares'!$C:$FA,99)</f>
        <v>228629250</v>
      </c>
      <c r="G41" s="50">
        <f>VLOOKUP($A41,'Data shares'!$C:$FA,101)*100</f>
        <v>0.54999999999999993</v>
      </c>
      <c r="H41" s="49">
        <f>VLOOKUP($A41,'Data Vlaue (Cr)'!$C:$FB,99)</f>
        <v>6549</v>
      </c>
      <c r="I41" s="49">
        <f>VLOOKUP($A41,'Data Vlaue (Cr)'!$C:$FB,100)</f>
        <v>6514</v>
      </c>
      <c r="J41" s="49">
        <f>VLOOKUP($A41,'Data Vlaue (Cr)'!$C:$FB,102)*100</f>
        <v>0.54999999999999993</v>
      </c>
    </row>
    <row r="42" spans="1:10" x14ac:dyDescent="0.25">
      <c r="A42" s="101" t="str">
        <f>'NIFTY GRP'!C37</f>
        <v>POWERGRID</v>
      </c>
      <c r="B42" s="140">
        <f>VLOOKUP($A42,'Data shares'!$C:$FA,7)</f>
        <v>318.10000000000002</v>
      </c>
      <c r="C42" s="140">
        <f>VLOOKUP($A42,'Data shares'!$C:$FA,3)</f>
        <v>317.64999999999998</v>
      </c>
      <c r="D42" s="50">
        <f>VLOOKUP($A42,'Data shares'!$C:$FA,6)*100</f>
        <v>1.8599999999999999</v>
      </c>
      <c r="E42" s="51">
        <f>VLOOKUP($A42,'Data shares'!$C:$FA,98)</f>
        <v>140269400</v>
      </c>
      <c r="F42" s="51">
        <f>VLOOKUP($A42,'Data shares'!$C:$FA,99)</f>
        <v>139327000</v>
      </c>
      <c r="G42" s="50">
        <f>VLOOKUP($A42,'Data shares'!$C:$FA,101)*100</f>
        <v>0.67999999999999994</v>
      </c>
      <c r="H42" s="49">
        <f>VLOOKUP($A42,'Data Vlaue (Cr)'!$C:$FB,99)</f>
        <v>4456</v>
      </c>
      <c r="I42" s="49">
        <f>VLOOKUP($A42,'Data Vlaue (Cr)'!$C:$FB,100)</f>
        <v>4426</v>
      </c>
      <c r="J42" s="49">
        <f>VLOOKUP($A42,'Data Vlaue (Cr)'!$C:$FB,102)*100</f>
        <v>0.67999999999999994</v>
      </c>
    </row>
    <row r="43" spans="1:10" x14ac:dyDescent="0.25">
      <c r="A43" s="101" t="str">
        <f>'NIFTY GRP'!C38</f>
        <v>RELIANCE</v>
      </c>
      <c r="B43" s="140">
        <f>VLOOKUP($A43,'Data shares'!$C:$FA,7)</f>
        <v>1365</v>
      </c>
      <c r="C43" s="140">
        <f>VLOOKUP($A43,'Data shares'!$C:$FA,3)</f>
        <v>1366.3</v>
      </c>
      <c r="D43" s="50">
        <f>VLOOKUP($A43,'Data shares'!$C:$FA,6)*100</f>
        <v>1.6099999999999999</v>
      </c>
      <c r="E43" s="51">
        <f>VLOOKUP($A43,'Data shares'!$C:$FA,98)</f>
        <v>214571500</v>
      </c>
      <c r="F43" s="51">
        <f>VLOOKUP($A43,'Data shares'!$C:$FA,99)</f>
        <v>218069000</v>
      </c>
      <c r="G43" s="50">
        <f>VLOOKUP($A43,'Data shares'!$C:$FA,101)*100</f>
        <v>-1.6</v>
      </c>
      <c r="H43" s="49">
        <f>VLOOKUP($A43,'Data Vlaue (Cr)'!$C:$FB,99)</f>
        <v>29317</v>
      </c>
      <c r="I43" s="49">
        <f>VLOOKUP($A43,'Data Vlaue (Cr)'!$C:$FB,100)</f>
        <v>29795</v>
      </c>
      <c r="J43" s="49">
        <f>VLOOKUP($A43,'Data Vlaue (Cr)'!$C:$FB,102)*100</f>
        <v>-1.6</v>
      </c>
    </row>
    <row r="44" spans="1:10" x14ac:dyDescent="0.25">
      <c r="A44" s="101" t="str">
        <f>'NIFTY GRP'!C39</f>
        <v>SBILIFE</v>
      </c>
      <c r="B44" s="140">
        <f>VLOOKUP($A44,'Data shares'!$C:$FA,7)</f>
        <v>1970.9</v>
      </c>
      <c r="C44" s="140">
        <f>VLOOKUP($A44,'Data shares'!$C:$FA,3)</f>
        <v>1970.4</v>
      </c>
      <c r="D44" s="50">
        <f>VLOOKUP($A44,'Data shares'!$C:$FA,6)*100</f>
        <v>-0.24</v>
      </c>
      <c r="E44" s="51">
        <f>VLOOKUP($A44,'Data shares'!$C:$FA,98)</f>
        <v>16536375</v>
      </c>
      <c r="F44" s="51">
        <f>VLOOKUP($A44,'Data shares'!$C:$FA,99)</f>
        <v>15611625</v>
      </c>
      <c r="G44" s="50">
        <f>VLOOKUP($A44,'Data shares'!$C:$FA,101)*100</f>
        <v>5.92</v>
      </c>
      <c r="H44" s="49">
        <f>VLOOKUP($A44,'Data Vlaue (Cr)'!$C:$FB,99)</f>
        <v>3258</v>
      </c>
      <c r="I44" s="49">
        <f>VLOOKUP($A44,'Data Vlaue (Cr)'!$C:$FB,100)</f>
        <v>3076</v>
      </c>
      <c r="J44" s="49">
        <f>VLOOKUP($A44,'Data Vlaue (Cr)'!$C:$FB,102)*100</f>
        <v>5.92</v>
      </c>
    </row>
    <row r="45" spans="1:10" x14ac:dyDescent="0.25">
      <c r="A45" s="101" t="str">
        <f>'NIFTY GRP'!C40</f>
        <v>SBIN</v>
      </c>
      <c r="B45" s="140">
        <f>VLOOKUP($A45,'Data shares'!$C:$FA,7)</f>
        <v>1080.25</v>
      </c>
      <c r="C45" s="140">
        <f>VLOOKUP($A45,'Data shares'!$C:$FA,3)</f>
        <v>1082.8</v>
      </c>
      <c r="D45" s="50">
        <f>VLOOKUP($A45,'Data shares'!$C:$FA,6)*100</f>
        <v>1.18</v>
      </c>
      <c r="E45" s="51">
        <f>VLOOKUP($A45,'Data shares'!$C:$FA,98)</f>
        <v>161564250</v>
      </c>
      <c r="F45" s="51">
        <f>VLOOKUP($A45,'Data shares'!$C:$FA,99)</f>
        <v>158238000</v>
      </c>
      <c r="G45" s="50">
        <f>VLOOKUP($A45,'Data shares'!$C:$FA,101)*100</f>
        <v>2.1</v>
      </c>
      <c r="H45" s="49">
        <f>VLOOKUP($A45,'Data Vlaue (Cr)'!$C:$FB,99)</f>
        <v>17494</v>
      </c>
      <c r="I45" s="49">
        <f>VLOOKUP($A45,'Data Vlaue (Cr)'!$C:$FB,100)</f>
        <v>17134</v>
      </c>
      <c r="J45" s="49">
        <f>VLOOKUP($A45,'Data Vlaue (Cr)'!$C:$FB,102)*100</f>
        <v>2.1</v>
      </c>
    </row>
    <row r="46" spans="1:10" x14ac:dyDescent="0.25">
      <c r="A46" s="101" t="str">
        <f>'NIFTY GRP'!C41</f>
        <v>SHRIRAMFIN</v>
      </c>
      <c r="B46" s="140">
        <f>VLOOKUP($A46,'Data shares'!$C:$FA,7)</f>
        <v>1036.95</v>
      </c>
      <c r="C46" s="140">
        <f>VLOOKUP($A46,'Data shares'!$C:$FA,3)</f>
        <v>1036.7</v>
      </c>
      <c r="D46" s="50">
        <f>VLOOKUP($A46,'Data shares'!$C:$FA,6)*100</f>
        <v>1.29</v>
      </c>
      <c r="E46" s="51">
        <f>VLOOKUP($A46,'Data shares'!$C:$FA,98)</f>
        <v>64866450</v>
      </c>
      <c r="F46" s="51">
        <f>VLOOKUP($A46,'Data shares'!$C:$FA,99)</f>
        <v>66008250</v>
      </c>
      <c r="G46" s="50">
        <f>VLOOKUP($A46,'Data shares'!$C:$FA,101)*100</f>
        <v>-1.73</v>
      </c>
      <c r="H46" s="49">
        <f>VLOOKUP($A46,'Data Vlaue (Cr)'!$C:$FB,99)</f>
        <v>6725</v>
      </c>
      <c r="I46" s="49">
        <f>VLOOKUP($A46,'Data Vlaue (Cr)'!$C:$FB,100)</f>
        <v>6843</v>
      </c>
      <c r="J46" s="49">
        <f>VLOOKUP($A46,'Data Vlaue (Cr)'!$C:$FB,102)*100</f>
        <v>-1.73</v>
      </c>
    </row>
    <row r="47" spans="1:10" x14ac:dyDescent="0.25">
      <c r="A47" s="101" t="str">
        <f>'NIFTY GRP'!C42</f>
        <v>SUNPHARMA</v>
      </c>
      <c r="B47" s="140">
        <f>VLOOKUP($A47,'Data shares'!$C:$FA,7)</f>
        <v>1675.5</v>
      </c>
      <c r="C47" s="140">
        <f>VLOOKUP($A47,'Data shares'!$C:$FA,3)</f>
        <v>1674.9</v>
      </c>
      <c r="D47" s="50">
        <f>VLOOKUP($A47,'Data shares'!$C:$FA,6)*100</f>
        <v>-1.06</v>
      </c>
      <c r="E47" s="51">
        <f>VLOOKUP($A47,'Data shares'!$C:$FA,98)</f>
        <v>32741800</v>
      </c>
      <c r="F47" s="51">
        <f>VLOOKUP($A47,'Data shares'!$C:$FA,99)</f>
        <v>31182550</v>
      </c>
      <c r="G47" s="50">
        <f>VLOOKUP($A47,'Data shares'!$C:$FA,101)*100</f>
        <v>5</v>
      </c>
      <c r="H47" s="49">
        <f>VLOOKUP($A47,'Data Vlaue (Cr)'!$C:$FB,99)</f>
        <v>5484</v>
      </c>
      <c r="I47" s="49">
        <f>VLOOKUP($A47,'Data Vlaue (Cr)'!$C:$FB,100)</f>
        <v>5223</v>
      </c>
      <c r="J47" s="49">
        <f>VLOOKUP($A47,'Data Vlaue (Cr)'!$C:$FB,102)*100</f>
        <v>5</v>
      </c>
    </row>
    <row r="48" spans="1:10" x14ac:dyDescent="0.25">
      <c r="A48" s="101" t="str">
        <f>'NIFTY GRP'!C43</f>
        <v>TATACONSUM</v>
      </c>
      <c r="B48" s="140">
        <f>VLOOKUP($A48,'Data shares'!$C:$FA,7)</f>
        <v>1113.2</v>
      </c>
      <c r="C48" s="140">
        <f>VLOOKUP($A48,'Data shares'!$C:$FA,3)</f>
        <v>1113.9000000000001</v>
      </c>
      <c r="D48" s="50">
        <f>VLOOKUP($A48,'Data shares'!$C:$FA,6)*100</f>
        <v>1.02</v>
      </c>
      <c r="E48" s="51">
        <f>VLOOKUP($A48,'Data shares'!$C:$FA,98)</f>
        <v>18161000</v>
      </c>
      <c r="F48" s="51">
        <f>VLOOKUP($A48,'Data shares'!$C:$FA,99)</f>
        <v>17458100</v>
      </c>
      <c r="G48" s="50">
        <f>VLOOKUP($A48,'Data shares'!$C:$FA,101)*100</f>
        <v>4.03</v>
      </c>
      <c r="H48" s="49">
        <f>VLOOKUP($A48,'Data Vlaue (Cr)'!$C:$FB,99)</f>
        <v>2023</v>
      </c>
      <c r="I48" s="49">
        <f>VLOOKUP($A48,'Data Vlaue (Cr)'!$C:$FB,100)</f>
        <v>1945</v>
      </c>
      <c r="J48" s="49">
        <f>VLOOKUP($A48,'Data Vlaue (Cr)'!$C:$FB,102)*100</f>
        <v>4.03</v>
      </c>
    </row>
    <row r="49" spans="1:10" x14ac:dyDescent="0.25">
      <c r="A49" s="101" t="str">
        <f>'NIFTY GRP'!C44</f>
        <v>TATASTEEL</v>
      </c>
      <c r="B49" s="140">
        <f>VLOOKUP($A49,'Data shares'!$C:$FA,7)</f>
        <v>212.12</v>
      </c>
      <c r="C49" s="140">
        <f>VLOOKUP($A49,'Data shares'!$C:$FA,3)</f>
        <v>212.3</v>
      </c>
      <c r="D49" s="50">
        <f>VLOOKUP($A49,'Data shares'!$C:$FA,6)*100</f>
        <v>0.75</v>
      </c>
      <c r="E49" s="51">
        <f>VLOOKUP($A49,'Data shares'!$C:$FA,98)</f>
        <v>394652500</v>
      </c>
      <c r="F49" s="51">
        <f>VLOOKUP($A49,'Data shares'!$C:$FA,99)</f>
        <v>390819000</v>
      </c>
      <c r="G49" s="50">
        <f>VLOOKUP($A49,'Data shares'!$C:$FA,101)*100</f>
        <v>0.98</v>
      </c>
      <c r="H49" s="49">
        <f>VLOOKUP($A49,'Data Vlaue (Cr)'!$C:$FB,99)</f>
        <v>8378</v>
      </c>
      <c r="I49" s="49">
        <f>VLOOKUP($A49,'Data Vlaue (Cr)'!$C:$FB,100)</f>
        <v>8297</v>
      </c>
      <c r="J49" s="49">
        <f>VLOOKUP($A49,'Data Vlaue (Cr)'!$C:$FB,102)*100</f>
        <v>0.98</v>
      </c>
    </row>
    <row r="50" spans="1:10" x14ac:dyDescent="0.25">
      <c r="A50" s="101" t="str">
        <f>'NIFTY GRP'!C45</f>
        <v>TCS</v>
      </c>
      <c r="B50" s="140">
        <f>VLOOKUP($A50,'Data shares'!$C:$FA,7)</f>
        <v>2581.5</v>
      </c>
      <c r="C50" s="140">
        <f>VLOOKUP($A50,'Data shares'!$C:$FA,3)</f>
        <v>2561.1999999999998</v>
      </c>
      <c r="D50" s="50">
        <f>VLOOKUP($A50,'Data shares'!$C:$FA,6)*100</f>
        <v>0.22</v>
      </c>
      <c r="E50" s="51">
        <f>VLOOKUP($A50,'Data shares'!$C:$FA,98)</f>
        <v>65483075</v>
      </c>
      <c r="F50" s="51">
        <f>VLOOKUP($A50,'Data shares'!$C:$FA,99)</f>
        <v>66019450</v>
      </c>
      <c r="G50" s="50">
        <f>VLOOKUP($A50,'Data shares'!$C:$FA,101)*100</f>
        <v>-0.80999999999999994</v>
      </c>
      <c r="H50" s="49">
        <f>VLOOKUP($A50,'Data Vlaue (Cr)'!$C:$FB,99)</f>
        <v>16772</v>
      </c>
      <c r="I50" s="49">
        <f>VLOOKUP($A50,'Data Vlaue (Cr)'!$C:$FB,100)</f>
        <v>16909</v>
      </c>
      <c r="J50" s="49">
        <f>VLOOKUP($A50,'Data Vlaue (Cr)'!$C:$FB,102)*100</f>
        <v>-0.80999999999999994</v>
      </c>
    </row>
    <row r="51" spans="1:10" x14ac:dyDescent="0.25">
      <c r="A51" s="101" t="str">
        <f>'NIFTY GRP'!C46</f>
        <v>TECHM</v>
      </c>
      <c r="B51" s="140">
        <f>VLOOKUP($A51,'Data shares'!$C:$FA,7)</f>
        <v>1511.4</v>
      </c>
      <c r="C51" s="140">
        <f>VLOOKUP($A51,'Data shares'!$C:$FA,3)</f>
        <v>1503.1</v>
      </c>
      <c r="D51" s="50">
        <f>VLOOKUP($A51,'Data shares'!$C:$FA,6)*100</f>
        <v>1.21</v>
      </c>
      <c r="E51" s="51">
        <f>VLOOKUP($A51,'Data shares'!$C:$FA,98)</f>
        <v>27787800</v>
      </c>
      <c r="F51" s="51">
        <f>VLOOKUP($A51,'Data shares'!$C:$FA,99)</f>
        <v>27628800</v>
      </c>
      <c r="G51" s="50">
        <f>VLOOKUP($A51,'Data shares'!$C:$FA,101)*100</f>
        <v>0.57999999999999996</v>
      </c>
      <c r="H51" s="49">
        <f>VLOOKUP($A51,'Data Vlaue (Cr)'!$C:$FB,99)</f>
        <v>4177</v>
      </c>
      <c r="I51" s="49">
        <f>VLOOKUP($A51,'Data Vlaue (Cr)'!$C:$FB,100)</f>
        <v>4153</v>
      </c>
      <c r="J51" s="49">
        <f>VLOOKUP($A51,'Data Vlaue (Cr)'!$C:$FB,102)*100</f>
        <v>0.57999999999999996</v>
      </c>
    </row>
    <row r="52" spans="1:10" x14ac:dyDescent="0.25">
      <c r="A52" s="101" t="str">
        <f>'NIFTY GRP'!C47</f>
        <v>TITAN</v>
      </c>
      <c r="B52" s="140">
        <f>VLOOKUP($A52,'Data shares'!$C:$FA,7)</f>
        <v>4525.8999999999996</v>
      </c>
      <c r="C52" s="140">
        <f>VLOOKUP($A52,'Data shares'!$C:$FA,3)</f>
        <v>4525</v>
      </c>
      <c r="D52" s="50">
        <f>VLOOKUP($A52,'Data shares'!$C:$FA,6)*100</f>
        <v>1.0999999999999999</v>
      </c>
      <c r="E52" s="51">
        <f>VLOOKUP($A52,'Data shares'!$C:$FA,98)</f>
        <v>16115225</v>
      </c>
      <c r="F52" s="51">
        <f>VLOOKUP($A52,'Data shares'!$C:$FA,99)</f>
        <v>16101400</v>
      </c>
      <c r="G52" s="50">
        <f>VLOOKUP($A52,'Data shares'!$C:$FA,101)*100</f>
        <v>0.09</v>
      </c>
      <c r="H52" s="49">
        <f>VLOOKUP($A52,'Data Vlaue (Cr)'!$C:$FB,99)</f>
        <v>7292</v>
      </c>
      <c r="I52" s="49">
        <f>VLOOKUP($A52,'Data Vlaue (Cr)'!$C:$FB,100)</f>
        <v>7286</v>
      </c>
      <c r="J52" s="49">
        <f>VLOOKUP($A52,'Data Vlaue (Cr)'!$C:$FB,102)*100</f>
        <v>0.09</v>
      </c>
    </row>
    <row r="53" spans="1:10" x14ac:dyDescent="0.25">
      <c r="A53" s="101" t="str">
        <f>'NIFTY GRP'!C48</f>
        <v>TMPV</v>
      </c>
      <c r="B53" s="140">
        <f>VLOOKUP($A53,'Data shares'!$C:$FA,7)</f>
        <v>360.1</v>
      </c>
      <c r="C53" s="140">
        <f>VLOOKUP($A53,'Data shares'!$C:$FA,3)</f>
        <v>360.25</v>
      </c>
      <c r="D53" s="50">
        <f>VLOOKUP($A53,'Data shares'!$C:$FA,6)*100</f>
        <v>0.97</v>
      </c>
      <c r="E53" s="51">
        <f>VLOOKUP($A53,'Data shares'!$C:$FA,98)</f>
        <v>123376000</v>
      </c>
      <c r="F53" s="51">
        <f>VLOOKUP($A53,'Data shares'!$C:$FA,99)</f>
        <v>122641600</v>
      </c>
      <c r="G53" s="50">
        <f>VLOOKUP($A53,'Data shares'!$C:$FA,101)*100</f>
        <v>0.6</v>
      </c>
      <c r="H53" s="49">
        <f>VLOOKUP($A53,'Data Vlaue (Cr)'!$C:$FB,99)</f>
        <v>4445</v>
      </c>
      <c r="I53" s="49">
        <f>VLOOKUP($A53,'Data Vlaue (Cr)'!$C:$FB,100)</f>
        <v>4418</v>
      </c>
      <c r="J53" s="49">
        <f>VLOOKUP($A53,'Data Vlaue (Cr)'!$C:$FB,102)*100</f>
        <v>0.6</v>
      </c>
    </row>
    <row r="54" spans="1:10" x14ac:dyDescent="0.25">
      <c r="A54" s="101" t="str">
        <f>'NIFTY GRP'!C49</f>
        <v>TRENT</v>
      </c>
      <c r="B54" s="140">
        <f>VLOOKUP($A54,'Data shares'!$C:$FA,7)</f>
        <v>4107.7</v>
      </c>
      <c r="C54" s="140">
        <f>VLOOKUP($A54,'Data shares'!$C:$FA,3)</f>
        <v>4108.3999999999996</v>
      </c>
      <c r="D54" s="50">
        <f>VLOOKUP($A54,'Data shares'!$C:$FA,6)*100</f>
        <v>0.28999999999999998</v>
      </c>
      <c r="E54" s="51">
        <f>VLOOKUP($A54,'Data shares'!$C:$FA,98)</f>
        <v>13600800</v>
      </c>
      <c r="F54" s="51">
        <f>VLOOKUP($A54,'Data shares'!$C:$FA,99)</f>
        <v>13320600</v>
      </c>
      <c r="G54" s="50">
        <f>VLOOKUP($A54,'Data shares'!$C:$FA,101)*100</f>
        <v>2.1</v>
      </c>
      <c r="H54" s="49">
        <f>VLOOKUP($A54,'Data Vlaue (Cr)'!$C:$FB,99)</f>
        <v>5588</v>
      </c>
      <c r="I54" s="49">
        <f>VLOOKUP($A54,'Data Vlaue (Cr)'!$C:$FB,100)</f>
        <v>5473</v>
      </c>
      <c r="J54" s="49">
        <f>VLOOKUP($A54,'Data Vlaue (Cr)'!$C:$FB,102)*100</f>
        <v>2.1</v>
      </c>
    </row>
    <row r="55" spans="1:10" x14ac:dyDescent="0.25">
      <c r="A55" s="101" t="str">
        <f>'NIFTY GRP'!C50</f>
        <v>ULTRACEMCO</v>
      </c>
      <c r="B55" s="140">
        <f>VLOOKUP($A55,'Data shares'!$C:$FA,7)</f>
        <v>11886</v>
      </c>
      <c r="C55" s="140">
        <f>VLOOKUP($A55,'Data shares'!$C:$FA,3)</f>
        <v>11884</v>
      </c>
      <c r="D55" s="50">
        <f>VLOOKUP($A55,'Data shares'!$C:$FA,6)*100</f>
        <v>0.52</v>
      </c>
      <c r="E55" s="51">
        <f>VLOOKUP($A55,'Data shares'!$C:$FA,98)</f>
        <v>3534650</v>
      </c>
      <c r="F55" s="51">
        <f>VLOOKUP($A55,'Data shares'!$C:$FA,99)</f>
        <v>3406500</v>
      </c>
      <c r="G55" s="50">
        <f>VLOOKUP($A55,'Data shares'!$C:$FA,101)*100</f>
        <v>3.7600000000000002</v>
      </c>
      <c r="H55" s="49">
        <f>VLOOKUP($A55,'Data Vlaue (Cr)'!$C:$FB,99)</f>
        <v>4201</v>
      </c>
      <c r="I55" s="49">
        <f>VLOOKUP($A55,'Data Vlaue (Cr)'!$C:$FB,100)</f>
        <v>4048</v>
      </c>
      <c r="J55" s="49">
        <f>VLOOKUP($A55,'Data Vlaue (Cr)'!$C:$FB,102)*100</f>
        <v>3.7600000000000002</v>
      </c>
    </row>
    <row r="56" spans="1:10" x14ac:dyDescent="0.25">
      <c r="A56" s="101" t="str">
        <f>'NIFTY GRP'!C51</f>
        <v>WIPRO</v>
      </c>
      <c r="B56" s="140">
        <f>VLOOKUP($A56,'Data shares'!$C:$FA,7)</f>
        <v>204.32</v>
      </c>
      <c r="C56" s="140">
        <f>VLOOKUP($A56,'Data shares'!$C:$FA,3)</f>
        <v>202.37</v>
      </c>
      <c r="D56" s="50">
        <f>VLOOKUP($A56,'Data shares'!$C:$FA,6)*100</f>
        <v>-1.1900000000000002</v>
      </c>
      <c r="E56" s="51">
        <f>VLOOKUP($A56,'Data shares'!$C:$FA,98)</f>
        <v>575652000</v>
      </c>
      <c r="F56" s="51">
        <f>VLOOKUP($A56,'Data shares'!$C:$FA,99)</f>
        <v>492342000</v>
      </c>
      <c r="G56" s="50">
        <f>VLOOKUP($A56,'Data shares'!$C:$FA,101)*100</f>
        <v>16.919999999999998</v>
      </c>
      <c r="H56" s="49">
        <f>VLOOKUP($A56,'Data Vlaue (Cr)'!$C:$FB,99)</f>
        <v>11649</v>
      </c>
      <c r="I56" s="49">
        <f>VLOOKUP($A56,'Data Vlaue (Cr)'!$C:$FB,100)</f>
        <v>9964</v>
      </c>
      <c r="J56" s="49">
        <f>VLOOKUP($A56,'Data Vlaue (Cr)'!$C:$FB,102)*100</f>
        <v>16.919999999999998</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2"/>
      <c r="B62" s="17"/>
      <c r="C62" s="17"/>
      <c r="D62" s="17"/>
      <c r="E62" s="17"/>
      <c r="F62" s="17"/>
      <c r="G62" s="17"/>
      <c r="H62" s="17"/>
      <c r="I62" s="17"/>
      <c r="J62" s="17"/>
    </row>
    <row r="63" spans="1:10" x14ac:dyDescent="0.25">
      <c r="A63" s="102"/>
      <c r="B63" s="17"/>
      <c r="C63" s="17"/>
      <c r="D63" s="17"/>
      <c r="E63" s="17"/>
      <c r="F63" s="17"/>
      <c r="G63" s="17"/>
      <c r="H63" s="17"/>
      <c r="I63" s="17"/>
      <c r="J63" s="17"/>
    </row>
    <row r="64" spans="1:10" x14ac:dyDescent="0.25">
      <c r="A64" s="126" t="s">
        <v>391</v>
      </c>
      <c r="B64" s="122"/>
      <c r="C64" s="122"/>
      <c r="D64" s="122"/>
      <c r="E64" s="127">
        <f>SUM(E7:E62)</f>
        <v>5506886167</v>
      </c>
      <c r="F64" s="127">
        <f>SUM(F7:F62)</f>
        <v>5275840936</v>
      </c>
      <c r="G64" s="128">
        <f>(E64-F64)/F64</f>
        <v>4.3793062338830145E-2</v>
      </c>
      <c r="H64" s="127">
        <f>SUM(H7:H62)</f>
        <v>439308</v>
      </c>
      <c r="I64" s="127">
        <f>SUM(I7:I62)</f>
        <v>427844</v>
      </c>
      <c r="J64" s="128">
        <f>(H64-I64)/I64</f>
        <v>2.6794813062705099E-2</v>
      </c>
    </row>
    <row r="65" spans="1:10" x14ac:dyDescent="0.25">
      <c r="A65" s="126" t="s">
        <v>398</v>
      </c>
      <c r="B65" s="122"/>
      <c r="C65" s="122"/>
      <c r="D65" s="122"/>
      <c r="E65" s="125">
        <f>E64/10000000</f>
        <v>550.68861670000001</v>
      </c>
      <c r="F65" s="125">
        <f>F64/10000000</f>
        <v>527.58409359999996</v>
      </c>
      <c r="G65" s="128">
        <f>(E65-F65)/F65</f>
        <v>4.3793062338830249E-2</v>
      </c>
      <c r="H65" s="129">
        <f>H64/10000000</f>
        <v>4.3930799999999999E-2</v>
      </c>
      <c r="I65" s="129">
        <f>I64/10000000</f>
        <v>4.27844E-2</v>
      </c>
      <c r="J65" s="128">
        <f>(H65-I65)/I65</f>
        <v>2.6794813062705071E-2</v>
      </c>
    </row>
    <row r="70" spans="1:10" x14ac:dyDescent="0.25">
      <c r="A70" s="43"/>
      <c r="B70" s="43"/>
      <c r="C70" s="44"/>
    </row>
    <row r="71" spans="1:10" ht="34.5" x14ac:dyDescent="0.25">
      <c r="A71" s="95" t="s">
        <v>411</v>
      </c>
      <c r="B71" s="45"/>
      <c r="C71" s="45" t="s">
        <v>385</v>
      </c>
    </row>
    <row r="72" spans="1:10" x14ac:dyDescent="0.25">
      <c r="A72" s="22" t="s">
        <v>412</v>
      </c>
      <c r="B72" s="22" t="s">
        <v>413</v>
      </c>
      <c r="C72" s="22" t="s">
        <v>414</v>
      </c>
    </row>
    <row r="73" spans="1:10" x14ac:dyDescent="0.25">
      <c r="A73" s="38">
        <f>H64</f>
        <v>439308</v>
      </c>
      <c r="B73" s="38">
        <f>I64</f>
        <v>427844</v>
      </c>
      <c r="C73" s="42">
        <f>J64</f>
        <v>2.6794813062705099E-2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7" activePane="bottomLeft" state="frozen"/>
      <selection pane="bottomLeft" activeCell="A7" sqref="A7:A225"/>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8" t="s">
        <v>356</v>
      </c>
      <c r="B3" s="299"/>
      <c r="C3" s="299"/>
      <c r="D3" s="299"/>
      <c r="E3" s="299"/>
      <c r="F3" s="299"/>
      <c r="G3" s="299"/>
      <c r="H3" s="299"/>
      <c r="I3" s="299"/>
      <c r="J3" s="299"/>
      <c r="K3" s="299"/>
      <c r="L3" s="299"/>
      <c r="M3" s="299"/>
      <c r="N3" s="299"/>
      <c r="O3" s="300"/>
    </row>
    <row r="4" spans="1:15" s="93" customFormat="1" x14ac:dyDescent="0.25">
      <c r="A4" s="285" t="s">
        <v>330</v>
      </c>
      <c r="B4" s="287" t="s">
        <v>308</v>
      </c>
      <c r="C4" s="289"/>
      <c r="D4" s="287" t="s">
        <v>357</v>
      </c>
      <c r="E4" s="288"/>
      <c r="F4" s="288"/>
      <c r="G4" s="288"/>
      <c r="H4" s="288"/>
      <c r="I4" s="288"/>
      <c r="J4" s="288"/>
      <c r="K4" s="288"/>
      <c r="L4" s="288"/>
      <c r="M4" s="288"/>
      <c r="N4" s="288"/>
      <c r="O4" s="289"/>
    </row>
    <row r="5" spans="1:15" s="93" customFormat="1" x14ac:dyDescent="0.25">
      <c r="A5" s="286"/>
      <c r="B5" s="301" t="s">
        <v>312</v>
      </c>
      <c r="C5" s="291"/>
      <c r="D5" s="301" t="s">
        <v>357</v>
      </c>
      <c r="E5" s="290"/>
      <c r="F5" s="291"/>
      <c r="G5" s="301" t="s">
        <v>358</v>
      </c>
      <c r="H5" s="290"/>
      <c r="I5" s="291"/>
      <c r="J5" s="301" t="s">
        <v>359</v>
      </c>
      <c r="K5" s="290"/>
      <c r="L5" s="291"/>
      <c r="M5" s="301" t="s">
        <v>360</v>
      </c>
      <c r="N5" s="290"/>
      <c r="O5" s="291"/>
    </row>
    <row r="6" spans="1:15" s="93" customFormat="1" x14ac:dyDescent="0.25">
      <c r="A6" s="76" t="s">
        <v>318</v>
      </c>
      <c r="B6" s="3">
        <f>'Nifty Baskets'!B6</f>
        <v>46129</v>
      </c>
      <c r="C6" s="76" t="s">
        <v>328</v>
      </c>
      <c r="D6" s="3">
        <f>B6</f>
        <v>46129</v>
      </c>
      <c r="E6" s="76" t="s">
        <v>322</v>
      </c>
      <c r="F6" s="76" t="s">
        <v>328</v>
      </c>
      <c r="G6" s="3">
        <f>D6</f>
        <v>46129</v>
      </c>
      <c r="H6" s="76" t="s">
        <v>322</v>
      </c>
      <c r="I6" s="76" t="s">
        <v>328</v>
      </c>
      <c r="J6" s="3">
        <f>D6</f>
        <v>46129</v>
      </c>
      <c r="K6" s="76" t="s">
        <v>322</v>
      </c>
      <c r="L6" s="76" t="s">
        <v>328</v>
      </c>
      <c r="M6" s="3">
        <f>D6</f>
        <v>46129</v>
      </c>
      <c r="N6" s="76" t="s">
        <v>322</v>
      </c>
      <c r="O6" s="76" t="s">
        <v>328</v>
      </c>
    </row>
    <row r="7" spans="1:15" x14ac:dyDescent="0.25">
      <c r="A7" s="101" t="str">
        <f>'Data Vlaue (Cr)'!C2</f>
        <v>360ONE</v>
      </c>
      <c r="B7" s="50">
        <f>VLOOKUP($A7,'Data Vlaue (Cr)'!$C:$FB,8)</f>
        <v>1113.3</v>
      </c>
      <c r="C7" s="50">
        <f>VLOOKUP($A7,'Data Vlaue (Cr)'!$C:$FB,11)*100</f>
        <v>3.42</v>
      </c>
      <c r="D7" s="50">
        <f>VLOOKUP($A7,'Data Vlaue (Cr)'!$C:$FB,143)</f>
        <v>1167.02</v>
      </c>
      <c r="E7" s="50">
        <f>VLOOKUP($A7,'Data Vlaue (Cr)'!$C:$FB,144)</f>
        <v>596.04999999999995</v>
      </c>
      <c r="F7" s="50">
        <f>VLOOKUP($A7,'Data Vlaue (Cr)'!$C:$FB,146)*100</f>
        <v>95.789999999999992</v>
      </c>
      <c r="G7" s="49">
        <f>VLOOKUP($A7,'Data Vlaue (Cr)'!$C:$FB,43)</f>
        <v>281</v>
      </c>
      <c r="H7" s="49">
        <f>VLOOKUP($A7,'Data Vlaue (Cr)'!$C:$FB,44)</f>
        <v>142</v>
      </c>
      <c r="I7" s="49">
        <f>VLOOKUP($A7,'Data Vlaue (Cr)'!$C:$FB,46)*100</f>
        <v>98.460000000000008</v>
      </c>
      <c r="J7" s="51">
        <f>VLOOKUP($A7,'Data Vlaue (Cr)'!$C:$FB,59)</f>
        <v>574</v>
      </c>
      <c r="K7" s="51">
        <f>VLOOKUP($A7,'Data Vlaue (Cr)'!$C:$FB,60)</f>
        <v>239</v>
      </c>
      <c r="L7" s="51">
        <f>VLOOKUP($A7,'Data Vlaue (Cr)'!$C:$FB,62)*100</f>
        <v>139.82000000000002</v>
      </c>
      <c r="M7" s="51">
        <f>VLOOKUP($A7,'Data Vlaue (Cr)'!$C:$FB,63)</f>
        <v>311</v>
      </c>
      <c r="N7" s="51">
        <f>VLOOKUP($A7,'Data Vlaue (Cr)'!$C:$FB,64)</f>
        <v>235</v>
      </c>
      <c r="O7" s="51">
        <f>VLOOKUP($A7,'Data Vlaue (Cr)'!$C:$FB,66)*100</f>
        <v>32.72</v>
      </c>
    </row>
    <row r="8" spans="1:15" x14ac:dyDescent="0.25">
      <c r="A8" s="101" t="str">
        <f>'Data Vlaue (Cr)'!C3</f>
        <v>ABB</v>
      </c>
      <c r="B8" s="50">
        <f>VLOOKUP($A8,'Data Vlaue (Cr)'!$C:$FB,8)</f>
        <v>7029.5</v>
      </c>
      <c r="C8" s="50">
        <f>VLOOKUP($A8,'Data Vlaue (Cr)'!$C:$FB,11)*100</f>
        <v>2.12</v>
      </c>
      <c r="D8" s="50">
        <f>VLOOKUP($A8,'Data Vlaue (Cr)'!$C:$FB,143)</f>
        <v>4831.58</v>
      </c>
      <c r="E8" s="50">
        <f>VLOOKUP($A8,'Data Vlaue (Cr)'!$C:$FB,144)</f>
        <v>3133.96</v>
      </c>
      <c r="F8" s="50">
        <f>VLOOKUP($A8,'Data Vlaue (Cr)'!$C:$FB,146)*100</f>
        <v>54.169999999999995</v>
      </c>
      <c r="G8" s="49">
        <f>VLOOKUP($A8,'Data Vlaue (Cr)'!$C:$FB,43)</f>
        <v>440</v>
      </c>
      <c r="H8" s="49">
        <f>VLOOKUP($A8,'Data Vlaue (Cr)'!$C:$FB,44)</f>
        <v>452</v>
      </c>
      <c r="I8" s="49">
        <f>VLOOKUP($A8,'Data Vlaue (Cr)'!$C:$FB,46)*100</f>
        <v>-2.63</v>
      </c>
      <c r="J8" s="51">
        <f>VLOOKUP($A8,'Data Vlaue (Cr)'!$C:$FB,59)</f>
        <v>2949</v>
      </c>
      <c r="K8" s="51">
        <f>VLOOKUP($A8,'Data Vlaue (Cr)'!$C:$FB,60)</f>
        <v>1492</v>
      </c>
      <c r="L8" s="51">
        <f>VLOOKUP($A8,'Data Vlaue (Cr)'!$C:$FB,62)*100</f>
        <v>97.69</v>
      </c>
      <c r="M8" s="51">
        <f>VLOOKUP($A8,'Data Vlaue (Cr)'!$C:$FB,63)</f>
        <v>1405</v>
      </c>
      <c r="N8" s="51">
        <f>VLOOKUP($A8,'Data Vlaue (Cr)'!$C:$FB,64)</f>
        <v>1224</v>
      </c>
      <c r="O8" s="51">
        <f>VLOOKUP($A8,'Data Vlaue (Cr)'!$C:$FB,66)*100</f>
        <v>14.85</v>
      </c>
    </row>
    <row r="9" spans="1:15" x14ac:dyDescent="0.25">
      <c r="A9" s="101" t="str">
        <f>'Data Vlaue (Cr)'!C4</f>
        <v>ABCAPITAL</v>
      </c>
      <c r="B9" s="50">
        <f>VLOOKUP($A9,'Data Vlaue (Cr)'!$C:$FB,8)</f>
        <v>340.4</v>
      </c>
      <c r="C9" s="50">
        <f>VLOOKUP($A9,'Data Vlaue (Cr)'!$C:$FB,11)*100</f>
        <v>0.72</v>
      </c>
      <c r="D9" s="50">
        <f>VLOOKUP($A9,'Data Vlaue (Cr)'!$C:$FB,143)</f>
        <v>2555.19</v>
      </c>
      <c r="E9" s="50">
        <f>VLOOKUP($A9,'Data Vlaue (Cr)'!$C:$FB,144)</f>
        <v>1173.06</v>
      </c>
      <c r="F9" s="50">
        <f>VLOOKUP($A9,'Data Vlaue (Cr)'!$C:$FB,146)*100</f>
        <v>117.82</v>
      </c>
      <c r="G9" s="49">
        <f>VLOOKUP($A9,'Data Vlaue (Cr)'!$C:$FB,43)</f>
        <v>221</v>
      </c>
      <c r="H9" s="49">
        <f>VLOOKUP($A9,'Data Vlaue (Cr)'!$C:$FB,44)</f>
        <v>314</v>
      </c>
      <c r="I9" s="49">
        <f>VLOOKUP($A9,'Data Vlaue (Cr)'!$C:$FB,46)*100</f>
        <v>-29.82</v>
      </c>
      <c r="J9" s="51">
        <f>VLOOKUP($A9,'Data Vlaue (Cr)'!$C:$FB,59)</f>
        <v>1828</v>
      </c>
      <c r="K9" s="51">
        <f>VLOOKUP($A9,'Data Vlaue (Cr)'!$C:$FB,60)</f>
        <v>524</v>
      </c>
      <c r="L9" s="51">
        <f>VLOOKUP($A9,'Data Vlaue (Cr)'!$C:$FB,62)*100</f>
        <v>249.14000000000001</v>
      </c>
      <c r="M9" s="51">
        <f>VLOOKUP($A9,'Data Vlaue (Cr)'!$C:$FB,63)</f>
        <v>433</v>
      </c>
      <c r="N9" s="51">
        <f>VLOOKUP($A9,'Data Vlaue (Cr)'!$C:$FB,64)</f>
        <v>312</v>
      </c>
      <c r="O9" s="51">
        <f>VLOOKUP($A9,'Data Vlaue (Cr)'!$C:$FB,66)*100</f>
        <v>38.629999999999995</v>
      </c>
    </row>
    <row r="10" spans="1:15" x14ac:dyDescent="0.25">
      <c r="A10" s="101" t="str">
        <f>'Data Vlaue (Cr)'!C5</f>
        <v>ADANIENSOL</v>
      </c>
      <c r="B10" s="50">
        <f>VLOOKUP($A10,'Data Vlaue (Cr)'!$C:$FB,8)</f>
        <v>1259.8</v>
      </c>
      <c r="C10" s="50">
        <f>VLOOKUP($A10,'Data Vlaue (Cr)'!$C:$FB,11)*100</f>
        <v>3.04</v>
      </c>
      <c r="D10" s="50">
        <f>VLOOKUP($A10,'Data Vlaue (Cr)'!$C:$FB,143)</f>
        <v>3326.75</v>
      </c>
      <c r="E10" s="50">
        <f>VLOOKUP($A10,'Data Vlaue (Cr)'!$C:$FB,144)</f>
        <v>2466.3000000000002</v>
      </c>
      <c r="F10" s="50">
        <f>VLOOKUP($A10,'Data Vlaue (Cr)'!$C:$FB,146)*100</f>
        <v>34.89</v>
      </c>
      <c r="G10" s="49">
        <f>VLOOKUP($A10,'Data Vlaue (Cr)'!$C:$FB,43)</f>
        <v>834</v>
      </c>
      <c r="H10" s="49">
        <f>VLOOKUP($A10,'Data Vlaue (Cr)'!$C:$FB,44)</f>
        <v>541</v>
      </c>
      <c r="I10" s="49">
        <f>VLOOKUP($A10,'Data Vlaue (Cr)'!$C:$FB,46)*100</f>
        <v>54.339999999999996</v>
      </c>
      <c r="J10" s="51">
        <f>VLOOKUP($A10,'Data Vlaue (Cr)'!$C:$FB,59)</f>
        <v>1605</v>
      </c>
      <c r="K10" s="51">
        <f>VLOOKUP($A10,'Data Vlaue (Cr)'!$C:$FB,60)</f>
        <v>1396</v>
      </c>
      <c r="L10" s="51">
        <f>VLOOKUP($A10,'Data Vlaue (Cr)'!$C:$FB,62)*100</f>
        <v>14.979999999999999</v>
      </c>
      <c r="M10" s="51">
        <f>VLOOKUP($A10,'Data Vlaue (Cr)'!$C:$FB,63)</f>
        <v>883</v>
      </c>
      <c r="N10" s="51">
        <f>VLOOKUP($A10,'Data Vlaue (Cr)'!$C:$FB,64)</f>
        <v>588</v>
      </c>
      <c r="O10" s="51">
        <f>VLOOKUP($A10,'Data Vlaue (Cr)'!$C:$FB,66)*100</f>
        <v>50.22</v>
      </c>
    </row>
    <row r="11" spans="1:15" x14ac:dyDescent="0.25">
      <c r="A11" s="101" t="str">
        <f>'Data Vlaue (Cr)'!C6</f>
        <v>ADANIENT</v>
      </c>
      <c r="B11" s="50">
        <f>VLOOKUP($A11,'Data Vlaue (Cr)'!$C:$FB,8)</f>
        <v>2218.3000000000002</v>
      </c>
      <c r="C11" s="50">
        <f>VLOOKUP($A11,'Data Vlaue (Cr)'!$C:$FB,11)*100</f>
        <v>0.66</v>
      </c>
      <c r="D11" s="50">
        <f>VLOOKUP($A11,'Data Vlaue (Cr)'!$C:$FB,143)</f>
        <v>5506.59</v>
      </c>
      <c r="E11" s="50">
        <f>VLOOKUP($A11,'Data Vlaue (Cr)'!$C:$FB,144)</f>
        <v>4748.8599999999997</v>
      </c>
      <c r="F11" s="50">
        <f>VLOOKUP($A11,'Data Vlaue (Cr)'!$C:$FB,146)*100</f>
        <v>15.959999999999999</v>
      </c>
      <c r="G11" s="49">
        <f>VLOOKUP($A11,'Data Vlaue (Cr)'!$C:$FB,43)</f>
        <v>764</v>
      </c>
      <c r="H11" s="49">
        <f>VLOOKUP($A11,'Data Vlaue (Cr)'!$C:$FB,44)</f>
        <v>763</v>
      </c>
      <c r="I11" s="49">
        <f>VLOOKUP($A11,'Data Vlaue (Cr)'!$C:$FB,46)*100</f>
        <v>0.18</v>
      </c>
      <c r="J11" s="51">
        <f>VLOOKUP($A11,'Data Vlaue (Cr)'!$C:$FB,59)</f>
        <v>3154</v>
      </c>
      <c r="K11" s="51">
        <f>VLOOKUP($A11,'Data Vlaue (Cr)'!$C:$FB,60)</f>
        <v>2701</v>
      </c>
      <c r="L11" s="51">
        <f>VLOOKUP($A11,'Data Vlaue (Cr)'!$C:$FB,62)*100</f>
        <v>16.760000000000002</v>
      </c>
      <c r="M11" s="51">
        <f>VLOOKUP($A11,'Data Vlaue (Cr)'!$C:$FB,63)</f>
        <v>1516</v>
      </c>
      <c r="N11" s="51">
        <f>VLOOKUP($A11,'Data Vlaue (Cr)'!$C:$FB,64)</f>
        <v>1262</v>
      </c>
      <c r="O11" s="51">
        <f>VLOOKUP($A11,'Data Vlaue (Cr)'!$C:$FB,66)*100</f>
        <v>20.169999999999998</v>
      </c>
    </row>
    <row r="12" spans="1:15" x14ac:dyDescent="0.25">
      <c r="A12" s="101" t="str">
        <f>'Data Vlaue (Cr)'!C7</f>
        <v>ADANIGREEN</v>
      </c>
      <c r="B12" s="50">
        <f>VLOOKUP($A12,'Data Vlaue (Cr)'!$C:$FB,8)</f>
        <v>1127.3</v>
      </c>
      <c r="C12" s="50">
        <f>VLOOKUP($A12,'Data Vlaue (Cr)'!$C:$FB,11)*100</f>
        <v>0.75</v>
      </c>
      <c r="D12" s="50">
        <f>VLOOKUP($A12,'Data Vlaue (Cr)'!$C:$FB,143)</f>
        <v>2769.26</v>
      </c>
      <c r="E12" s="50">
        <f>VLOOKUP($A12,'Data Vlaue (Cr)'!$C:$FB,144)</f>
        <v>2675.54</v>
      </c>
      <c r="F12" s="50">
        <f>VLOOKUP($A12,'Data Vlaue (Cr)'!$C:$FB,146)*100</f>
        <v>3.5000000000000004</v>
      </c>
      <c r="G12" s="49">
        <f>VLOOKUP($A12,'Data Vlaue (Cr)'!$C:$FB,43)</f>
        <v>423</v>
      </c>
      <c r="H12" s="49">
        <f>VLOOKUP($A12,'Data Vlaue (Cr)'!$C:$FB,44)</f>
        <v>404</v>
      </c>
      <c r="I12" s="49">
        <f>VLOOKUP($A12,'Data Vlaue (Cr)'!$C:$FB,46)*100</f>
        <v>4.8</v>
      </c>
      <c r="J12" s="51">
        <f>VLOOKUP($A12,'Data Vlaue (Cr)'!$C:$FB,59)</f>
        <v>1538</v>
      </c>
      <c r="K12" s="51">
        <f>VLOOKUP($A12,'Data Vlaue (Cr)'!$C:$FB,60)</f>
        <v>1469</v>
      </c>
      <c r="L12" s="51">
        <f>VLOOKUP($A12,'Data Vlaue (Cr)'!$C:$FB,62)*100</f>
        <v>4.71</v>
      </c>
      <c r="M12" s="51">
        <f>VLOOKUP($A12,'Data Vlaue (Cr)'!$C:$FB,63)</f>
        <v>767</v>
      </c>
      <c r="N12" s="51">
        <f>VLOOKUP($A12,'Data Vlaue (Cr)'!$C:$FB,64)</f>
        <v>787</v>
      </c>
      <c r="O12" s="51">
        <f>VLOOKUP($A12,'Data Vlaue (Cr)'!$C:$FB,66)*100</f>
        <v>-2.5700000000000003</v>
      </c>
    </row>
    <row r="13" spans="1:15" x14ac:dyDescent="0.25">
      <c r="A13" s="101" t="str">
        <f>'Data Vlaue (Cr)'!C8</f>
        <v>ADANIPORTS</v>
      </c>
      <c r="B13" s="50">
        <f>VLOOKUP($A13,'Data Vlaue (Cr)'!$C:$FB,8)</f>
        <v>1573.4</v>
      </c>
      <c r="C13" s="50">
        <f>VLOOKUP($A13,'Data Vlaue (Cr)'!$C:$FB,11)*100</f>
        <v>1.52</v>
      </c>
      <c r="D13" s="50">
        <f>VLOOKUP($A13,'Data Vlaue (Cr)'!$C:$FB,143)</f>
        <v>6595.08</v>
      </c>
      <c r="E13" s="50">
        <f>VLOOKUP($A13,'Data Vlaue (Cr)'!$C:$FB,144)</f>
        <v>6984.65</v>
      </c>
      <c r="F13" s="50">
        <f>VLOOKUP($A13,'Data Vlaue (Cr)'!$C:$FB,146)*100</f>
        <v>-5.58</v>
      </c>
      <c r="G13" s="49">
        <f>VLOOKUP($A13,'Data Vlaue (Cr)'!$C:$FB,43)</f>
        <v>627</v>
      </c>
      <c r="H13" s="49">
        <f>VLOOKUP($A13,'Data Vlaue (Cr)'!$C:$FB,44)</f>
        <v>795</v>
      </c>
      <c r="I13" s="49">
        <f>VLOOKUP($A13,'Data Vlaue (Cr)'!$C:$FB,46)*100</f>
        <v>-21.08</v>
      </c>
      <c r="J13" s="51">
        <f>VLOOKUP($A13,'Data Vlaue (Cr)'!$C:$FB,59)</f>
        <v>3972</v>
      </c>
      <c r="K13" s="51">
        <f>VLOOKUP($A13,'Data Vlaue (Cr)'!$C:$FB,60)</f>
        <v>4341</v>
      </c>
      <c r="L13" s="51">
        <f>VLOOKUP($A13,'Data Vlaue (Cr)'!$C:$FB,62)*100</f>
        <v>-8.5</v>
      </c>
      <c r="M13" s="51">
        <f>VLOOKUP($A13,'Data Vlaue (Cr)'!$C:$FB,63)</f>
        <v>1910</v>
      </c>
      <c r="N13" s="51">
        <f>VLOOKUP($A13,'Data Vlaue (Cr)'!$C:$FB,64)</f>
        <v>1887</v>
      </c>
      <c r="O13" s="51">
        <f>VLOOKUP($A13,'Data Vlaue (Cr)'!$C:$FB,66)*100</f>
        <v>1.24</v>
      </c>
    </row>
    <row r="14" spans="1:15" x14ac:dyDescent="0.25">
      <c r="A14" s="101" t="str">
        <f>'Data Vlaue (Cr)'!C9</f>
        <v>ADANIPOWER</v>
      </c>
      <c r="B14" s="50">
        <f>VLOOKUP($A14,'Data Vlaue (Cr)'!$C:$FB,8)</f>
        <v>198.5</v>
      </c>
      <c r="C14" s="50">
        <f>VLOOKUP($A14,'Data Vlaue (Cr)'!$C:$FB,11)*100</f>
        <v>2.75</v>
      </c>
      <c r="D14" s="50">
        <f>VLOOKUP($A14,'Data Vlaue (Cr)'!$C:$FB,143)</f>
        <v>4827.01</v>
      </c>
      <c r="E14" s="50">
        <f>VLOOKUP($A14,'Data Vlaue (Cr)'!$C:$FB,144)</f>
        <v>3710.92</v>
      </c>
      <c r="F14" s="50">
        <f>VLOOKUP($A14,'Data Vlaue (Cr)'!$C:$FB,146)*100</f>
        <v>30.080000000000002</v>
      </c>
      <c r="G14" s="49">
        <f>VLOOKUP($A14,'Data Vlaue (Cr)'!$C:$FB,43)</f>
        <v>1254</v>
      </c>
      <c r="H14" s="49">
        <f>VLOOKUP($A14,'Data Vlaue (Cr)'!$C:$FB,44)</f>
        <v>893</v>
      </c>
      <c r="I14" s="49">
        <f>VLOOKUP($A14,'Data Vlaue (Cr)'!$C:$FB,46)*100</f>
        <v>40.44</v>
      </c>
      <c r="J14" s="51">
        <f>VLOOKUP($A14,'Data Vlaue (Cr)'!$C:$FB,59)</f>
        <v>2587</v>
      </c>
      <c r="K14" s="51">
        <f>VLOOKUP($A14,'Data Vlaue (Cr)'!$C:$FB,60)</f>
        <v>2158</v>
      </c>
      <c r="L14" s="51">
        <f>VLOOKUP($A14,'Data Vlaue (Cr)'!$C:$FB,62)*100</f>
        <v>19.869999999999997</v>
      </c>
      <c r="M14" s="51">
        <f>VLOOKUP($A14,'Data Vlaue (Cr)'!$C:$FB,63)</f>
        <v>955</v>
      </c>
      <c r="N14" s="51">
        <f>VLOOKUP($A14,'Data Vlaue (Cr)'!$C:$FB,64)</f>
        <v>746</v>
      </c>
      <c r="O14" s="51">
        <f>VLOOKUP($A14,'Data Vlaue (Cr)'!$C:$FB,66)*100</f>
        <v>28.04</v>
      </c>
    </row>
    <row r="15" spans="1:15" x14ac:dyDescent="0.25">
      <c r="A15" s="101" t="str">
        <f>'Data Vlaue (Cr)'!C10</f>
        <v>ALKEM</v>
      </c>
      <c r="B15" s="50">
        <f>VLOOKUP($A15,'Data Vlaue (Cr)'!$C:$FB,8)</f>
        <v>5582</v>
      </c>
      <c r="C15" s="50">
        <f>VLOOKUP($A15,'Data Vlaue (Cr)'!$C:$FB,11)*100</f>
        <v>0.22</v>
      </c>
      <c r="D15" s="50">
        <f>VLOOKUP($A15,'Data Vlaue (Cr)'!$C:$FB,143)</f>
        <v>271.23</v>
      </c>
      <c r="E15" s="50">
        <f>VLOOKUP($A15,'Data Vlaue (Cr)'!$C:$FB,144)</f>
        <v>408.51</v>
      </c>
      <c r="F15" s="50">
        <f>VLOOKUP($A15,'Data Vlaue (Cr)'!$C:$FB,146)*100</f>
        <v>-33.6</v>
      </c>
      <c r="G15" s="49">
        <f>VLOOKUP($A15,'Data Vlaue (Cr)'!$C:$FB,43)</f>
        <v>58</v>
      </c>
      <c r="H15" s="49">
        <f>VLOOKUP($A15,'Data Vlaue (Cr)'!$C:$FB,44)</f>
        <v>96</v>
      </c>
      <c r="I15" s="49">
        <f>VLOOKUP($A15,'Data Vlaue (Cr)'!$C:$FB,46)*100</f>
        <v>-39.65</v>
      </c>
      <c r="J15" s="51">
        <f>VLOOKUP($A15,'Data Vlaue (Cr)'!$C:$FB,59)</f>
        <v>157</v>
      </c>
      <c r="K15" s="51">
        <f>VLOOKUP($A15,'Data Vlaue (Cr)'!$C:$FB,60)</f>
        <v>223</v>
      </c>
      <c r="L15" s="51">
        <f>VLOOKUP($A15,'Data Vlaue (Cr)'!$C:$FB,62)*100</f>
        <v>-29.330000000000002</v>
      </c>
      <c r="M15" s="51">
        <f>VLOOKUP($A15,'Data Vlaue (Cr)'!$C:$FB,63)</f>
        <v>52</v>
      </c>
      <c r="N15" s="51">
        <f>VLOOKUP($A15,'Data Vlaue (Cr)'!$C:$FB,64)</f>
        <v>81</v>
      </c>
      <c r="O15" s="51">
        <f>VLOOKUP($A15,'Data Vlaue (Cr)'!$C:$FB,66)*100</f>
        <v>-36.22</v>
      </c>
    </row>
    <row r="16" spans="1:15" x14ac:dyDescent="0.25">
      <c r="A16" s="101" t="str">
        <f>'Data Vlaue (Cr)'!C11</f>
        <v>AMBER</v>
      </c>
      <c r="B16" s="50">
        <f>VLOOKUP($A16,'Data Vlaue (Cr)'!$C:$FB,8)</f>
        <v>7958.5</v>
      </c>
      <c r="C16" s="50">
        <f>VLOOKUP($A16,'Data Vlaue (Cr)'!$C:$FB,11)*100</f>
        <v>3.16</v>
      </c>
      <c r="D16" s="50">
        <f>VLOOKUP($A16,'Data Vlaue (Cr)'!$C:$FB,143)</f>
        <v>3277.3</v>
      </c>
      <c r="E16" s="50">
        <f>VLOOKUP($A16,'Data Vlaue (Cr)'!$C:$FB,144)</f>
        <v>4638.47</v>
      </c>
      <c r="F16" s="50">
        <f>VLOOKUP($A16,'Data Vlaue (Cr)'!$C:$FB,146)*100</f>
        <v>-29.349999999999998</v>
      </c>
      <c r="G16" s="49">
        <f>VLOOKUP($A16,'Data Vlaue (Cr)'!$C:$FB,43)</f>
        <v>347</v>
      </c>
      <c r="H16" s="49">
        <f>VLOOKUP($A16,'Data Vlaue (Cr)'!$C:$FB,44)</f>
        <v>457</v>
      </c>
      <c r="I16" s="49">
        <f>VLOOKUP($A16,'Data Vlaue (Cr)'!$C:$FB,46)*100</f>
        <v>-24.21</v>
      </c>
      <c r="J16" s="51">
        <f>VLOOKUP($A16,'Data Vlaue (Cr)'!$C:$FB,59)</f>
        <v>1892</v>
      </c>
      <c r="K16" s="51">
        <f>VLOOKUP($A16,'Data Vlaue (Cr)'!$C:$FB,60)</f>
        <v>2967</v>
      </c>
      <c r="L16" s="51">
        <f>VLOOKUP($A16,'Data Vlaue (Cr)'!$C:$FB,62)*100</f>
        <v>-36.22</v>
      </c>
      <c r="M16" s="51">
        <f>VLOOKUP($A16,'Data Vlaue (Cr)'!$C:$FB,63)</f>
        <v>1039</v>
      </c>
      <c r="N16" s="51">
        <f>VLOOKUP($A16,'Data Vlaue (Cr)'!$C:$FB,64)</f>
        <v>1300</v>
      </c>
      <c r="O16" s="51">
        <f>VLOOKUP($A16,'Data Vlaue (Cr)'!$C:$FB,66)*100</f>
        <v>-20.05</v>
      </c>
    </row>
    <row r="17" spans="1:15" x14ac:dyDescent="0.25">
      <c r="A17" s="101" t="str">
        <f>'Data Vlaue (Cr)'!C12</f>
        <v>AMBUJACEM</v>
      </c>
      <c r="B17" s="50">
        <f>VLOOKUP($A17,'Data Vlaue (Cr)'!$C:$FB,8)</f>
        <v>459</v>
      </c>
      <c r="C17" s="50">
        <f>VLOOKUP($A17,'Data Vlaue (Cr)'!$C:$FB,11)*100</f>
        <v>0.21</v>
      </c>
      <c r="D17" s="50">
        <f>VLOOKUP($A17,'Data Vlaue (Cr)'!$C:$FB,143)</f>
        <v>669.83</v>
      </c>
      <c r="E17" s="50">
        <f>VLOOKUP($A17,'Data Vlaue (Cr)'!$C:$FB,144)</f>
        <v>956.57</v>
      </c>
      <c r="F17" s="50">
        <f>VLOOKUP($A17,'Data Vlaue (Cr)'!$C:$FB,146)*100</f>
        <v>-29.98</v>
      </c>
      <c r="G17" s="49">
        <f>VLOOKUP($A17,'Data Vlaue (Cr)'!$C:$FB,43)</f>
        <v>187</v>
      </c>
      <c r="H17" s="49">
        <f>VLOOKUP($A17,'Data Vlaue (Cr)'!$C:$FB,44)</f>
        <v>225</v>
      </c>
      <c r="I17" s="49">
        <f>VLOOKUP($A17,'Data Vlaue (Cr)'!$C:$FB,46)*100</f>
        <v>-17.05</v>
      </c>
      <c r="J17" s="51">
        <f>VLOOKUP($A17,'Data Vlaue (Cr)'!$C:$FB,59)</f>
        <v>304</v>
      </c>
      <c r="K17" s="51">
        <f>VLOOKUP($A17,'Data Vlaue (Cr)'!$C:$FB,60)</f>
        <v>463</v>
      </c>
      <c r="L17" s="51">
        <f>VLOOKUP($A17,'Data Vlaue (Cr)'!$C:$FB,62)*100</f>
        <v>-34.39</v>
      </c>
      <c r="M17" s="51">
        <f>VLOOKUP($A17,'Data Vlaue (Cr)'!$C:$FB,63)</f>
        <v>170</v>
      </c>
      <c r="N17" s="51">
        <f>VLOOKUP($A17,'Data Vlaue (Cr)'!$C:$FB,64)</f>
        <v>256</v>
      </c>
      <c r="O17" s="51">
        <f>VLOOKUP($A17,'Data Vlaue (Cr)'!$C:$FB,66)*100</f>
        <v>-33.78</v>
      </c>
    </row>
    <row r="18" spans="1:15" x14ac:dyDescent="0.25">
      <c r="A18" s="101" t="str">
        <f>'Data Vlaue (Cr)'!C13</f>
        <v>ANGELONE</v>
      </c>
      <c r="B18" s="50">
        <f>VLOOKUP($A18,'Data Vlaue (Cr)'!$C:$FB,8)</f>
        <v>322.47000000000003</v>
      </c>
      <c r="C18" s="50">
        <f>VLOOKUP($A18,'Data Vlaue (Cr)'!$C:$FB,11)*100</f>
        <v>10.199999999999999</v>
      </c>
      <c r="D18" s="50">
        <f>VLOOKUP($A18,'Data Vlaue (Cr)'!$C:$FB,143)</f>
        <v>21787.22</v>
      </c>
      <c r="E18" s="50">
        <f>VLOOKUP($A18,'Data Vlaue (Cr)'!$C:$FB,144)</f>
        <v>4148.04</v>
      </c>
      <c r="F18" s="50">
        <f>VLOOKUP($A18,'Data Vlaue (Cr)'!$C:$FB,146)*100</f>
        <v>425.23999999999995</v>
      </c>
      <c r="G18" s="49">
        <f>VLOOKUP($A18,'Data Vlaue (Cr)'!$C:$FB,43)</f>
        <v>1906</v>
      </c>
      <c r="H18" s="49">
        <f>VLOOKUP($A18,'Data Vlaue (Cr)'!$C:$FB,44)</f>
        <v>817</v>
      </c>
      <c r="I18" s="49">
        <f>VLOOKUP($A18,'Data Vlaue (Cr)'!$C:$FB,46)*100</f>
        <v>133.43</v>
      </c>
      <c r="J18" s="51">
        <f>VLOOKUP($A18,'Data Vlaue (Cr)'!$C:$FB,59)</f>
        <v>13683</v>
      </c>
      <c r="K18" s="51">
        <f>VLOOKUP($A18,'Data Vlaue (Cr)'!$C:$FB,60)</f>
        <v>2057</v>
      </c>
      <c r="L18" s="51">
        <f>VLOOKUP($A18,'Data Vlaue (Cr)'!$C:$FB,62)*100</f>
        <v>565.13</v>
      </c>
      <c r="M18" s="51">
        <f>VLOOKUP($A18,'Data Vlaue (Cr)'!$C:$FB,63)</f>
        <v>6625</v>
      </c>
      <c r="N18" s="51">
        <f>VLOOKUP($A18,'Data Vlaue (Cr)'!$C:$FB,64)</f>
        <v>1610</v>
      </c>
      <c r="O18" s="51">
        <f>VLOOKUP($A18,'Data Vlaue (Cr)'!$C:$FB,66)*100</f>
        <v>311.38</v>
      </c>
    </row>
    <row r="19" spans="1:15" x14ac:dyDescent="0.25">
      <c r="A19" s="101" t="str">
        <f>'Data Vlaue (Cr)'!C14</f>
        <v>APLAPOLLO</v>
      </c>
      <c r="B19" s="50">
        <f>VLOOKUP($A19,'Data Vlaue (Cr)'!$C:$FB,8)</f>
        <v>2105.6999999999998</v>
      </c>
      <c r="C19" s="50">
        <f>VLOOKUP($A19,'Data Vlaue (Cr)'!$C:$FB,11)*100</f>
        <v>2.9499999999999997</v>
      </c>
      <c r="D19" s="50">
        <f>VLOOKUP($A19,'Data Vlaue (Cr)'!$C:$FB,143)</f>
        <v>1215.8699999999999</v>
      </c>
      <c r="E19" s="50">
        <f>VLOOKUP($A19,'Data Vlaue (Cr)'!$C:$FB,144)</f>
        <v>732.42</v>
      </c>
      <c r="F19" s="50">
        <f>VLOOKUP($A19,'Data Vlaue (Cr)'!$C:$FB,146)*100</f>
        <v>66.010000000000005</v>
      </c>
      <c r="G19" s="49">
        <f>VLOOKUP($A19,'Data Vlaue (Cr)'!$C:$FB,43)</f>
        <v>158</v>
      </c>
      <c r="H19" s="49">
        <f>VLOOKUP($A19,'Data Vlaue (Cr)'!$C:$FB,44)</f>
        <v>299</v>
      </c>
      <c r="I19" s="49">
        <f>VLOOKUP($A19,'Data Vlaue (Cr)'!$C:$FB,46)*100</f>
        <v>-46.989999999999995</v>
      </c>
      <c r="J19" s="51">
        <f>VLOOKUP($A19,'Data Vlaue (Cr)'!$C:$FB,59)</f>
        <v>817</v>
      </c>
      <c r="K19" s="51">
        <f>VLOOKUP($A19,'Data Vlaue (Cr)'!$C:$FB,60)</f>
        <v>339</v>
      </c>
      <c r="L19" s="51">
        <f>VLOOKUP($A19,'Data Vlaue (Cr)'!$C:$FB,62)*100</f>
        <v>140.69</v>
      </c>
      <c r="M19" s="51">
        <f>VLOOKUP($A19,'Data Vlaue (Cr)'!$C:$FB,63)</f>
        <v>228</v>
      </c>
      <c r="N19" s="51">
        <f>VLOOKUP($A19,'Data Vlaue (Cr)'!$C:$FB,64)</f>
        <v>103</v>
      </c>
      <c r="O19" s="51">
        <f>VLOOKUP($A19,'Data Vlaue (Cr)'!$C:$FB,66)*100</f>
        <v>119.94</v>
      </c>
    </row>
    <row r="20" spans="1:15" x14ac:dyDescent="0.25">
      <c r="A20" s="101" t="str">
        <f>'Data Vlaue (Cr)'!C15</f>
        <v>APOLLOHOSP</v>
      </c>
      <c r="B20" s="50">
        <f>VLOOKUP($A20,'Data Vlaue (Cr)'!$C:$FB,8)</f>
        <v>7699</v>
      </c>
      <c r="C20" s="50">
        <f>VLOOKUP($A20,'Data Vlaue (Cr)'!$C:$FB,11)*100</f>
        <v>1.9300000000000002</v>
      </c>
      <c r="D20" s="50">
        <f>VLOOKUP($A20,'Data Vlaue (Cr)'!$C:$FB,143)</f>
        <v>3287.67</v>
      </c>
      <c r="E20" s="50">
        <f>VLOOKUP($A20,'Data Vlaue (Cr)'!$C:$FB,144)</f>
        <v>2997.71</v>
      </c>
      <c r="F20" s="50">
        <f>VLOOKUP($A20,'Data Vlaue (Cr)'!$C:$FB,146)*100</f>
        <v>9.67</v>
      </c>
      <c r="G20" s="49">
        <f>VLOOKUP($A20,'Data Vlaue (Cr)'!$C:$FB,43)</f>
        <v>242</v>
      </c>
      <c r="H20" s="49">
        <f>VLOOKUP($A20,'Data Vlaue (Cr)'!$C:$FB,44)</f>
        <v>349</v>
      </c>
      <c r="I20" s="49">
        <f>VLOOKUP($A20,'Data Vlaue (Cr)'!$C:$FB,46)*100</f>
        <v>-30.599999999999998</v>
      </c>
      <c r="J20" s="51">
        <f>VLOOKUP($A20,'Data Vlaue (Cr)'!$C:$FB,59)</f>
        <v>2202</v>
      </c>
      <c r="K20" s="51">
        <f>VLOOKUP($A20,'Data Vlaue (Cr)'!$C:$FB,60)</f>
        <v>1688</v>
      </c>
      <c r="L20" s="51">
        <f>VLOOKUP($A20,'Data Vlaue (Cr)'!$C:$FB,62)*100</f>
        <v>30.42</v>
      </c>
      <c r="M20" s="51">
        <f>VLOOKUP($A20,'Data Vlaue (Cr)'!$C:$FB,63)</f>
        <v>819</v>
      </c>
      <c r="N20" s="51">
        <f>VLOOKUP($A20,'Data Vlaue (Cr)'!$C:$FB,64)</f>
        <v>973</v>
      </c>
      <c r="O20" s="51">
        <f>VLOOKUP($A20,'Data Vlaue (Cr)'!$C:$FB,66)*100</f>
        <v>-15.770000000000001</v>
      </c>
    </row>
    <row r="21" spans="1:15" x14ac:dyDescent="0.25">
      <c r="A21" s="101" t="str">
        <f>'Data Vlaue (Cr)'!C16</f>
        <v>ASHOKLEY</v>
      </c>
      <c r="B21" s="50">
        <f>VLOOKUP($A21,'Data Vlaue (Cr)'!$C:$FB,8)</f>
        <v>174.78</v>
      </c>
      <c r="C21" s="50">
        <f>VLOOKUP($A21,'Data Vlaue (Cr)'!$C:$FB,11)*100</f>
        <v>-1.0999999999999999</v>
      </c>
      <c r="D21" s="50">
        <f>VLOOKUP($A21,'Data Vlaue (Cr)'!$C:$FB,143)</f>
        <v>2714.04</v>
      </c>
      <c r="E21" s="50">
        <f>VLOOKUP($A21,'Data Vlaue (Cr)'!$C:$FB,144)</f>
        <v>2318.85</v>
      </c>
      <c r="F21" s="50">
        <f>VLOOKUP($A21,'Data Vlaue (Cr)'!$C:$FB,146)*100</f>
        <v>17.04</v>
      </c>
      <c r="G21" s="49">
        <f>VLOOKUP($A21,'Data Vlaue (Cr)'!$C:$FB,43)</f>
        <v>576</v>
      </c>
      <c r="H21" s="49">
        <f>VLOOKUP($A21,'Data Vlaue (Cr)'!$C:$FB,44)</f>
        <v>410</v>
      </c>
      <c r="I21" s="49">
        <f>VLOOKUP($A21,'Data Vlaue (Cr)'!$C:$FB,46)*100</f>
        <v>40.660000000000004</v>
      </c>
      <c r="J21" s="51">
        <f>VLOOKUP($A21,'Data Vlaue (Cr)'!$C:$FB,59)</f>
        <v>1330</v>
      </c>
      <c r="K21" s="51">
        <f>VLOOKUP($A21,'Data Vlaue (Cr)'!$C:$FB,60)</f>
        <v>1115</v>
      </c>
      <c r="L21" s="51">
        <f>VLOOKUP($A21,'Data Vlaue (Cr)'!$C:$FB,62)*100</f>
        <v>19.27</v>
      </c>
      <c r="M21" s="51">
        <f>VLOOKUP($A21,'Data Vlaue (Cr)'!$C:$FB,63)</f>
        <v>759</v>
      </c>
      <c r="N21" s="51">
        <f>VLOOKUP($A21,'Data Vlaue (Cr)'!$C:$FB,64)</f>
        <v>738</v>
      </c>
      <c r="O21" s="51">
        <f>VLOOKUP($A21,'Data Vlaue (Cr)'!$C:$FB,66)*100</f>
        <v>2.8899999999999997</v>
      </c>
    </row>
    <row r="22" spans="1:15" x14ac:dyDescent="0.25">
      <c r="A22" s="101" t="str">
        <f>'Data Vlaue (Cr)'!C17</f>
        <v>ASIANPAINT</v>
      </c>
      <c r="B22" s="50">
        <f>VLOOKUP($A22,'Data Vlaue (Cr)'!$C:$FB,8)</f>
        <v>2464</v>
      </c>
      <c r="C22" s="50">
        <f>VLOOKUP($A22,'Data Vlaue (Cr)'!$C:$FB,11)*100</f>
        <v>0.97</v>
      </c>
      <c r="D22" s="50">
        <f>VLOOKUP($A22,'Data Vlaue (Cr)'!$C:$FB,143)</f>
        <v>4687.6000000000004</v>
      </c>
      <c r="E22" s="50">
        <f>VLOOKUP($A22,'Data Vlaue (Cr)'!$C:$FB,144)</f>
        <v>2880.18</v>
      </c>
      <c r="F22" s="50">
        <f>VLOOKUP($A22,'Data Vlaue (Cr)'!$C:$FB,146)*100</f>
        <v>62.749999999999993</v>
      </c>
      <c r="G22" s="49">
        <f>VLOOKUP($A22,'Data Vlaue (Cr)'!$C:$FB,43)</f>
        <v>799</v>
      </c>
      <c r="H22" s="49">
        <f>VLOOKUP($A22,'Data Vlaue (Cr)'!$C:$FB,44)</f>
        <v>345</v>
      </c>
      <c r="I22" s="49">
        <f>VLOOKUP($A22,'Data Vlaue (Cr)'!$C:$FB,46)*100</f>
        <v>131.9</v>
      </c>
      <c r="J22" s="51">
        <f>VLOOKUP($A22,'Data Vlaue (Cr)'!$C:$FB,59)</f>
        <v>2271</v>
      </c>
      <c r="K22" s="51">
        <f>VLOOKUP($A22,'Data Vlaue (Cr)'!$C:$FB,60)</f>
        <v>1406</v>
      </c>
      <c r="L22" s="51">
        <f>VLOOKUP($A22,'Data Vlaue (Cr)'!$C:$FB,62)*100</f>
        <v>61.550000000000004</v>
      </c>
      <c r="M22" s="51">
        <f>VLOOKUP($A22,'Data Vlaue (Cr)'!$C:$FB,63)</f>
        <v>1590</v>
      </c>
      <c r="N22" s="51">
        <f>VLOOKUP($A22,'Data Vlaue (Cr)'!$C:$FB,64)</f>
        <v>1151</v>
      </c>
      <c r="O22" s="51">
        <f>VLOOKUP($A22,'Data Vlaue (Cr)'!$C:$FB,66)*100</f>
        <v>38.159999999999997</v>
      </c>
    </row>
    <row r="23" spans="1:15" x14ac:dyDescent="0.25">
      <c r="A23" s="101" t="str">
        <f>'Data Vlaue (Cr)'!C18</f>
        <v>ASTRAL</v>
      </c>
      <c r="B23" s="50">
        <f>VLOOKUP($A23,'Data Vlaue (Cr)'!$C:$FB,8)</f>
        <v>1605</v>
      </c>
      <c r="C23" s="50">
        <f>VLOOKUP($A23,'Data Vlaue (Cr)'!$C:$FB,11)*100</f>
        <v>1.67</v>
      </c>
      <c r="D23" s="50">
        <f>VLOOKUP($A23,'Data Vlaue (Cr)'!$C:$FB,143)</f>
        <v>2836.94</v>
      </c>
      <c r="E23" s="50">
        <f>VLOOKUP($A23,'Data Vlaue (Cr)'!$C:$FB,144)</f>
        <v>5693.47</v>
      </c>
      <c r="F23" s="50">
        <f>VLOOKUP($A23,'Data Vlaue (Cr)'!$C:$FB,146)*100</f>
        <v>-50.17</v>
      </c>
      <c r="G23" s="49">
        <f>VLOOKUP($A23,'Data Vlaue (Cr)'!$C:$FB,43)</f>
        <v>567</v>
      </c>
      <c r="H23" s="49">
        <f>VLOOKUP($A23,'Data Vlaue (Cr)'!$C:$FB,44)</f>
        <v>946</v>
      </c>
      <c r="I23" s="49">
        <f>VLOOKUP($A23,'Data Vlaue (Cr)'!$C:$FB,46)*100</f>
        <v>-40.11</v>
      </c>
      <c r="J23" s="51">
        <f>VLOOKUP($A23,'Data Vlaue (Cr)'!$C:$FB,59)</f>
        <v>1471</v>
      </c>
      <c r="K23" s="51">
        <f>VLOOKUP($A23,'Data Vlaue (Cr)'!$C:$FB,60)</f>
        <v>2989</v>
      </c>
      <c r="L23" s="51">
        <f>VLOOKUP($A23,'Data Vlaue (Cr)'!$C:$FB,62)*100</f>
        <v>-50.78</v>
      </c>
      <c r="M23" s="51">
        <f>VLOOKUP($A23,'Data Vlaue (Cr)'!$C:$FB,63)</f>
        <v>717</v>
      </c>
      <c r="N23" s="51">
        <f>VLOOKUP($A23,'Data Vlaue (Cr)'!$C:$FB,64)</f>
        <v>1632</v>
      </c>
      <c r="O23" s="51">
        <f>VLOOKUP($A23,'Data Vlaue (Cr)'!$C:$FB,66)*100</f>
        <v>-56.07</v>
      </c>
    </row>
    <row r="24" spans="1:15" x14ac:dyDescent="0.25">
      <c r="A24" s="101" t="str">
        <f>'Data Vlaue (Cr)'!C19</f>
        <v>AUBANK</v>
      </c>
      <c r="B24" s="50">
        <f>VLOOKUP($A24,'Data Vlaue (Cr)'!$C:$FB,8)</f>
        <v>990.6</v>
      </c>
      <c r="C24" s="50">
        <f>VLOOKUP($A24,'Data Vlaue (Cr)'!$C:$FB,11)*100</f>
        <v>0.67999999999999994</v>
      </c>
      <c r="D24" s="50">
        <f>VLOOKUP($A24,'Data Vlaue (Cr)'!$C:$FB,143)</f>
        <v>1164.3499999999999</v>
      </c>
      <c r="E24" s="50">
        <f>VLOOKUP($A24,'Data Vlaue (Cr)'!$C:$FB,144)</f>
        <v>1191.28</v>
      </c>
      <c r="F24" s="50">
        <f>VLOOKUP($A24,'Data Vlaue (Cr)'!$C:$FB,146)*100</f>
        <v>-2.2599999999999998</v>
      </c>
      <c r="G24" s="49">
        <f>VLOOKUP($A24,'Data Vlaue (Cr)'!$C:$FB,43)</f>
        <v>300</v>
      </c>
      <c r="H24" s="49">
        <f>VLOOKUP($A24,'Data Vlaue (Cr)'!$C:$FB,44)</f>
        <v>315</v>
      </c>
      <c r="I24" s="49">
        <f>VLOOKUP($A24,'Data Vlaue (Cr)'!$C:$FB,46)*100</f>
        <v>-4.55</v>
      </c>
      <c r="J24" s="51">
        <f>VLOOKUP($A24,'Data Vlaue (Cr)'!$C:$FB,59)</f>
        <v>492</v>
      </c>
      <c r="K24" s="51">
        <f>VLOOKUP($A24,'Data Vlaue (Cr)'!$C:$FB,60)</f>
        <v>467</v>
      </c>
      <c r="L24" s="51">
        <f>VLOOKUP($A24,'Data Vlaue (Cr)'!$C:$FB,62)*100</f>
        <v>5.4899999999999993</v>
      </c>
      <c r="M24" s="51">
        <f>VLOOKUP($A24,'Data Vlaue (Cr)'!$C:$FB,63)</f>
        <v>368</v>
      </c>
      <c r="N24" s="51">
        <f>VLOOKUP($A24,'Data Vlaue (Cr)'!$C:$FB,64)</f>
        <v>406</v>
      </c>
      <c r="O24" s="51">
        <f>VLOOKUP($A24,'Data Vlaue (Cr)'!$C:$FB,66)*100</f>
        <v>-9.2799999999999994</v>
      </c>
    </row>
    <row r="25" spans="1:15" x14ac:dyDescent="0.25">
      <c r="A25" s="101" t="str">
        <f>'Data Vlaue (Cr)'!C20</f>
        <v>AUROPHARMA</v>
      </c>
      <c r="B25" s="50">
        <f>VLOOKUP($A25,'Data Vlaue (Cr)'!$C:$FB,8)</f>
        <v>1386</v>
      </c>
      <c r="C25" s="50">
        <f>VLOOKUP($A25,'Data Vlaue (Cr)'!$C:$FB,11)*100</f>
        <v>-0.04</v>
      </c>
      <c r="D25" s="50">
        <f>VLOOKUP($A25,'Data Vlaue (Cr)'!$C:$FB,143)</f>
        <v>1071.8</v>
      </c>
      <c r="E25" s="50">
        <f>VLOOKUP($A25,'Data Vlaue (Cr)'!$C:$FB,144)</f>
        <v>1152.04</v>
      </c>
      <c r="F25" s="50">
        <f>VLOOKUP($A25,'Data Vlaue (Cr)'!$C:$FB,146)*100</f>
        <v>-6.9599999999999991</v>
      </c>
      <c r="G25" s="49">
        <f>VLOOKUP($A25,'Data Vlaue (Cr)'!$C:$FB,43)</f>
        <v>208</v>
      </c>
      <c r="H25" s="49">
        <f>VLOOKUP($A25,'Data Vlaue (Cr)'!$C:$FB,44)</f>
        <v>286</v>
      </c>
      <c r="I25" s="49">
        <f>VLOOKUP($A25,'Data Vlaue (Cr)'!$C:$FB,46)*100</f>
        <v>-27.089999999999996</v>
      </c>
      <c r="J25" s="51">
        <f>VLOOKUP($A25,'Data Vlaue (Cr)'!$C:$FB,59)</f>
        <v>514</v>
      </c>
      <c r="K25" s="51">
        <f>VLOOKUP($A25,'Data Vlaue (Cr)'!$C:$FB,60)</f>
        <v>551</v>
      </c>
      <c r="L25" s="51">
        <f>VLOOKUP($A25,'Data Vlaue (Cr)'!$C:$FB,62)*100</f>
        <v>-6.72</v>
      </c>
      <c r="M25" s="51">
        <f>VLOOKUP($A25,'Data Vlaue (Cr)'!$C:$FB,63)</f>
        <v>342</v>
      </c>
      <c r="N25" s="51">
        <f>VLOOKUP($A25,'Data Vlaue (Cr)'!$C:$FB,64)</f>
        <v>314</v>
      </c>
      <c r="O25" s="51">
        <f>VLOOKUP($A25,'Data Vlaue (Cr)'!$C:$FB,66)*100</f>
        <v>8.93</v>
      </c>
    </row>
    <row r="26" spans="1:15" x14ac:dyDescent="0.25">
      <c r="A26" s="101" t="str">
        <f>'Data Vlaue (Cr)'!C21</f>
        <v>AXISBANK</v>
      </c>
      <c r="B26" s="50">
        <f>VLOOKUP($A26,'Data Vlaue (Cr)'!$C:$FB,8)</f>
        <v>1359.1</v>
      </c>
      <c r="C26" s="50">
        <f>VLOOKUP($A26,'Data Vlaue (Cr)'!$C:$FB,11)*100</f>
        <v>0.70000000000000007</v>
      </c>
      <c r="D26" s="50">
        <f>VLOOKUP($A26,'Data Vlaue (Cr)'!$C:$FB,143)</f>
        <v>4702.3900000000003</v>
      </c>
      <c r="E26" s="50">
        <f>VLOOKUP($A26,'Data Vlaue (Cr)'!$C:$FB,144)</f>
        <v>5321.03</v>
      </c>
      <c r="F26" s="50">
        <f>VLOOKUP($A26,'Data Vlaue (Cr)'!$C:$FB,146)*100</f>
        <v>-11.63</v>
      </c>
      <c r="G26" s="49">
        <f>VLOOKUP($A26,'Data Vlaue (Cr)'!$C:$FB,43)</f>
        <v>964</v>
      </c>
      <c r="H26" s="49">
        <f>VLOOKUP($A26,'Data Vlaue (Cr)'!$C:$FB,44)</f>
        <v>1108</v>
      </c>
      <c r="I26" s="49">
        <f>VLOOKUP($A26,'Data Vlaue (Cr)'!$C:$FB,46)*100</f>
        <v>-12.989999999999998</v>
      </c>
      <c r="J26" s="51">
        <f>VLOOKUP($A26,'Data Vlaue (Cr)'!$C:$FB,59)</f>
        <v>2188</v>
      </c>
      <c r="K26" s="51">
        <f>VLOOKUP($A26,'Data Vlaue (Cr)'!$C:$FB,60)</f>
        <v>2243</v>
      </c>
      <c r="L26" s="51">
        <f>VLOOKUP($A26,'Data Vlaue (Cr)'!$C:$FB,62)*100</f>
        <v>-2.44</v>
      </c>
      <c r="M26" s="51">
        <f>VLOOKUP($A26,'Data Vlaue (Cr)'!$C:$FB,63)</f>
        <v>1516</v>
      </c>
      <c r="N26" s="51">
        <f>VLOOKUP($A26,'Data Vlaue (Cr)'!$C:$FB,64)</f>
        <v>1965</v>
      </c>
      <c r="O26" s="51">
        <f>VLOOKUP($A26,'Data Vlaue (Cr)'!$C:$FB,66)*100</f>
        <v>-22.84</v>
      </c>
    </row>
    <row r="27" spans="1:15" x14ac:dyDescent="0.25">
      <c r="A27" s="101" t="str">
        <f>'Data Vlaue (Cr)'!C22</f>
        <v>BAJAJ-AUTO</v>
      </c>
      <c r="B27" s="50">
        <f>VLOOKUP($A27,'Data Vlaue (Cr)'!$C:$FB,8)</f>
        <v>9773.5</v>
      </c>
      <c r="C27" s="50">
        <f>VLOOKUP($A27,'Data Vlaue (Cr)'!$C:$FB,11)*100</f>
        <v>-0.52</v>
      </c>
      <c r="D27" s="50">
        <f>VLOOKUP($A27,'Data Vlaue (Cr)'!$C:$FB,143)</f>
        <v>2407.39</v>
      </c>
      <c r="E27" s="50">
        <f>VLOOKUP($A27,'Data Vlaue (Cr)'!$C:$FB,144)</f>
        <v>3020.85</v>
      </c>
      <c r="F27" s="50">
        <f>VLOOKUP($A27,'Data Vlaue (Cr)'!$C:$FB,146)*100</f>
        <v>-20.309999999999999</v>
      </c>
      <c r="G27" s="49">
        <f>VLOOKUP($A27,'Data Vlaue (Cr)'!$C:$FB,43)</f>
        <v>307</v>
      </c>
      <c r="H27" s="49">
        <f>VLOOKUP($A27,'Data Vlaue (Cr)'!$C:$FB,44)</f>
        <v>484</v>
      </c>
      <c r="I27" s="49">
        <f>VLOOKUP($A27,'Data Vlaue (Cr)'!$C:$FB,46)*100</f>
        <v>-36.61</v>
      </c>
      <c r="J27" s="51">
        <f>VLOOKUP($A27,'Data Vlaue (Cr)'!$C:$FB,59)</f>
        <v>1232</v>
      </c>
      <c r="K27" s="51">
        <f>VLOOKUP($A27,'Data Vlaue (Cr)'!$C:$FB,60)</f>
        <v>1544</v>
      </c>
      <c r="L27" s="51">
        <f>VLOOKUP($A27,'Data Vlaue (Cr)'!$C:$FB,62)*100</f>
        <v>-20.16</v>
      </c>
      <c r="M27" s="51">
        <f>VLOOKUP($A27,'Data Vlaue (Cr)'!$C:$FB,63)</f>
        <v>829</v>
      </c>
      <c r="N27" s="51">
        <f>VLOOKUP($A27,'Data Vlaue (Cr)'!$C:$FB,64)</f>
        <v>911</v>
      </c>
      <c r="O27" s="51">
        <f>VLOOKUP($A27,'Data Vlaue (Cr)'!$C:$FB,66)*100</f>
        <v>-9</v>
      </c>
    </row>
    <row r="28" spans="1:15" x14ac:dyDescent="0.25">
      <c r="A28" s="101" t="str">
        <f>'Data Vlaue (Cr)'!C23</f>
        <v>BAJAJFINSV</v>
      </c>
      <c r="B28" s="50">
        <f>VLOOKUP($A28,'Data Vlaue (Cr)'!$C:$FB,8)</f>
        <v>1838.9</v>
      </c>
      <c r="C28" s="50">
        <f>VLOOKUP($A28,'Data Vlaue (Cr)'!$C:$FB,11)*100</f>
        <v>0.49</v>
      </c>
      <c r="D28" s="50">
        <f>VLOOKUP($A28,'Data Vlaue (Cr)'!$C:$FB,143)</f>
        <v>681.96</v>
      </c>
      <c r="E28" s="50">
        <f>VLOOKUP($A28,'Data Vlaue (Cr)'!$C:$FB,144)</f>
        <v>1555.85</v>
      </c>
      <c r="F28" s="50">
        <f>VLOOKUP($A28,'Data Vlaue (Cr)'!$C:$FB,146)*100</f>
        <v>-56.169999999999995</v>
      </c>
      <c r="G28" s="49">
        <f>VLOOKUP($A28,'Data Vlaue (Cr)'!$C:$FB,43)</f>
        <v>82</v>
      </c>
      <c r="H28" s="49">
        <f>VLOOKUP($A28,'Data Vlaue (Cr)'!$C:$FB,44)</f>
        <v>249</v>
      </c>
      <c r="I28" s="49">
        <f>VLOOKUP($A28,'Data Vlaue (Cr)'!$C:$FB,46)*100</f>
        <v>-66.91</v>
      </c>
      <c r="J28" s="51">
        <f>VLOOKUP($A28,'Data Vlaue (Cr)'!$C:$FB,59)</f>
        <v>358</v>
      </c>
      <c r="K28" s="51">
        <f>VLOOKUP($A28,'Data Vlaue (Cr)'!$C:$FB,60)</f>
        <v>891</v>
      </c>
      <c r="L28" s="51">
        <f>VLOOKUP($A28,'Data Vlaue (Cr)'!$C:$FB,62)*100</f>
        <v>-59.85</v>
      </c>
      <c r="M28" s="51">
        <f>VLOOKUP($A28,'Data Vlaue (Cr)'!$C:$FB,63)</f>
        <v>235</v>
      </c>
      <c r="N28" s="51">
        <f>VLOOKUP($A28,'Data Vlaue (Cr)'!$C:$FB,64)</f>
        <v>395</v>
      </c>
      <c r="O28" s="51">
        <f>VLOOKUP($A28,'Data Vlaue (Cr)'!$C:$FB,66)*100</f>
        <v>-40.520000000000003</v>
      </c>
    </row>
    <row r="29" spans="1:15" x14ac:dyDescent="0.25">
      <c r="A29" s="101" t="str">
        <f>'Data Vlaue (Cr)'!C24</f>
        <v>BAJAJHLDNG</v>
      </c>
      <c r="B29" s="50">
        <f>VLOOKUP($A29,'Data Vlaue (Cr)'!$C:$FB,8)</f>
        <v>10355.5</v>
      </c>
      <c r="C29" s="50">
        <f>VLOOKUP($A29,'Data Vlaue (Cr)'!$C:$FB,11)*100</f>
        <v>1.47</v>
      </c>
      <c r="D29" s="50">
        <f>VLOOKUP($A29,'Data Vlaue (Cr)'!$C:$FB,143)</f>
        <v>244.06</v>
      </c>
      <c r="E29" s="50">
        <f>VLOOKUP($A29,'Data Vlaue (Cr)'!$C:$FB,144)</f>
        <v>344.09</v>
      </c>
      <c r="F29" s="50">
        <f>VLOOKUP($A29,'Data Vlaue (Cr)'!$C:$FB,146)*100</f>
        <v>-29.07</v>
      </c>
      <c r="G29" s="49">
        <f>VLOOKUP($A29,'Data Vlaue (Cr)'!$C:$FB,43)</f>
        <v>29</v>
      </c>
      <c r="H29" s="49">
        <f>VLOOKUP($A29,'Data Vlaue (Cr)'!$C:$FB,44)</f>
        <v>63</v>
      </c>
      <c r="I29" s="49">
        <f>VLOOKUP($A29,'Data Vlaue (Cr)'!$C:$FB,46)*100</f>
        <v>-54.379999999999995</v>
      </c>
      <c r="J29" s="51">
        <f>VLOOKUP($A29,'Data Vlaue (Cr)'!$C:$FB,59)</f>
        <v>93</v>
      </c>
      <c r="K29" s="51">
        <f>VLOOKUP($A29,'Data Vlaue (Cr)'!$C:$FB,60)</f>
        <v>234</v>
      </c>
      <c r="L29" s="51">
        <f>VLOOKUP($A29,'Data Vlaue (Cr)'!$C:$FB,62)*100</f>
        <v>-60.17</v>
      </c>
      <c r="M29" s="51">
        <f>VLOOKUP($A29,'Data Vlaue (Cr)'!$C:$FB,63)</f>
        <v>140</v>
      </c>
      <c r="N29" s="51">
        <f>VLOOKUP($A29,'Data Vlaue (Cr)'!$C:$FB,64)</f>
        <v>37</v>
      </c>
      <c r="O29" s="51">
        <f>VLOOKUP($A29,'Data Vlaue (Cr)'!$C:$FB,66)*100</f>
        <v>272.10000000000002</v>
      </c>
    </row>
    <row r="30" spans="1:15" x14ac:dyDescent="0.25">
      <c r="A30" s="101" t="str">
        <f>'Data Vlaue (Cr)'!C25</f>
        <v>BAJFINANCE</v>
      </c>
      <c r="B30" s="50">
        <f>VLOOKUP($A30,'Data Vlaue (Cr)'!$C:$FB,8)</f>
        <v>908.25</v>
      </c>
      <c r="C30" s="50">
        <f>VLOOKUP($A30,'Data Vlaue (Cr)'!$C:$FB,11)*100</f>
        <v>0.26</v>
      </c>
      <c r="D30" s="50">
        <f>VLOOKUP($A30,'Data Vlaue (Cr)'!$C:$FB,143)</f>
        <v>2526.41</v>
      </c>
      <c r="E30" s="50">
        <f>VLOOKUP($A30,'Data Vlaue (Cr)'!$C:$FB,144)</f>
        <v>5222.53</v>
      </c>
      <c r="F30" s="50">
        <f>VLOOKUP($A30,'Data Vlaue (Cr)'!$C:$FB,146)*100</f>
        <v>-51.62</v>
      </c>
      <c r="G30" s="49">
        <f>VLOOKUP($A30,'Data Vlaue (Cr)'!$C:$FB,43)</f>
        <v>440</v>
      </c>
      <c r="H30" s="49">
        <f>VLOOKUP($A30,'Data Vlaue (Cr)'!$C:$FB,44)</f>
        <v>941</v>
      </c>
      <c r="I30" s="49">
        <f>VLOOKUP($A30,'Data Vlaue (Cr)'!$C:$FB,46)*100</f>
        <v>-53.26</v>
      </c>
      <c r="J30" s="51">
        <f>VLOOKUP($A30,'Data Vlaue (Cr)'!$C:$FB,59)</f>
        <v>1268</v>
      </c>
      <c r="K30" s="51">
        <f>VLOOKUP($A30,'Data Vlaue (Cr)'!$C:$FB,60)</f>
        <v>2660</v>
      </c>
      <c r="L30" s="51">
        <f>VLOOKUP($A30,'Data Vlaue (Cr)'!$C:$FB,62)*100</f>
        <v>-52.339999999999996</v>
      </c>
      <c r="M30" s="51">
        <f>VLOOKUP($A30,'Data Vlaue (Cr)'!$C:$FB,63)</f>
        <v>793</v>
      </c>
      <c r="N30" s="51">
        <f>VLOOKUP($A30,'Data Vlaue (Cr)'!$C:$FB,64)</f>
        <v>1504</v>
      </c>
      <c r="O30" s="51">
        <f>VLOOKUP($A30,'Data Vlaue (Cr)'!$C:$FB,66)*100</f>
        <v>-47.3</v>
      </c>
    </row>
    <row r="31" spans="1:15" x14ac:dyDescent="0.25">
      <c r="A31" s="101" t="str">
        <f>'Data Vlaue (Cr)'!C26</f>
        <v>BANDHANBNK</v>
      </c>
      <c r="B31" s="50">
        <f>VLOOKUP($A31,'Data Vlaue (Cr)'!$C:$FB,8)</f>
        <v>174.47</v>
      </c>
      <c r="C31" s="50">
        <f>VLOOKUP($A31,'Data Vlaue (Cr)'!$C:$FB,11)*100</f>
        <v>0.16999999999999998</v>
      </c>
      <c r="D31" s="50">
        <f>VLOOKUP($A31,'Data Vlaue (Cr)'!$C:$FB,143)</f>
        <v>741.72</v>
      </c>
      <c r="E31" s="50">
        <f>VLOOKUP($A31,'Data Vlaue (Cr)'!$C:$FB,144)</f>
        <v>781.91</v>
      </c>
      <c r="F31" s="50">
        <f>VLOOKUP($A31,'Data Vlaue (Cr)'!$C:$FB,146)*100</f>
        <v>-5.1400000000000006</v>
      </c>
      <c r="G31" s="49">
        <f>VLOOKUP($A31,'Data Vlaue (Cr)'!$C:$FB,43)</f>
        <v>452</v>
      </c>
      <c r="H31" s="49">
        <f>VLOOKUP($A31,'Data Vlaue (Cr)'!$C:$FB,44)</f>
        <v>242</v>
      </c>
      <c r="I31" s="49">
        <f>VLOOKUP($A31,'Data Vlaue (Cr)'!$C:$FB,46)*100</f>
        <v>86.47</v>
      </c>
      <c r="J31" s="51">
        <f>VLOOKUP($A31,'Data Vlaue (Cr)'!$C:$FB,59)</f>
        <v>163</v>
      </c>
      <c r="K31" s="51">
        <f>VLOOKUP($A31,'Data Vlaue (Cr)'!$C:$FB,60)</f>
        <v>304</v>
      </c>
      <c r="L31" s="51">
        <f>VLOOKUP($A31,'Data Vlaue (Cr)'!$C:$FB,62)*100</f>
        <v>-46.28</v>
      </c>
      <c r="M31" s="51">
        <f>VLOOKUP($A31,'Data Vlaue (Cr)'!$C:$FB,63)</f>
        <v>120</v>
      </c>
      <c r="N31" s="51">
        <f>VLOOKUP($A31,'Data Vlaue (Cr)'!$C:$FB,64)</f>
        <v>228</v>
      </c>
      <c r="O31" s="51">
        <f>VLOOKUP($A31,'Data Vlaue (Cr)'!$C:$FB,66)*100</f>
        <v>-47.24</v>
      </c>
    </row>
    <row r="32" spans="1:15" x14ac:dyDescent="0.25">
      <c r="A32" s="101" t="str">
        <f>'Data Vlaue (Cr)'!C27</f>
        <v>BANKBARODA</v>
      </c>
      <c r="B32" s="50">
        <f>VLOOKUP($A32,'Data Vlaue (Cr)'!$C:$FB,8)</f>
        <v>280.44</v>
      </c>
      <c r="C32" s="50">
        <f>VLOOKUP($A32,'Data Vlaue (Cr)'!$C:$FB,11)*100</f>
        <v>0.38</v>
      </c>
      <c r="D32" s="50">
        <f>VLOOKUP($A32,'Data Vlaue (Cr)'!$C:$FB,143)</f>
        <v>2379.65</v>
      </c>
      <c r="E32" s="50">
        <f>VLOOKUP($A32,'Data Vlaue (Cr)'!$C:$FB,144)</f>
        <v>1884.99</v>
      </c>
      <c r="F32" s="50">
        <f>VLOOKUP($A32,'Data Vlaue (Cr)'!$C:$FB,146)*100</f>
        <v>26.240000000000002</v>
      </c>
      <c r="G32" s="49">
        <f>VLOOKUP($A32,'Data Vlaue (Cr)'!$C:$FB,43)</f>
        <v>759</v>
      </c>
      <c r="H32" s="49">
        <f>VLOOKUP($A32,'Data Vlaue (Cr)'!$C:$FB,44)</f>
        <v>427</v>
      </c>
      <c r="I32" s="49">
        <f>VLOOKUP($A32,'Data Vlaue (Cr)'!$C:$FB,46)*100</f>
        <v>77.929999999999993</v>
      </c>
      <c r="J32" s="51">
        <f>VLOOKUP($A32,'Data Vlaue (Cr)'!$C:$FB,59)</f>
        <v>943</v>
      </c>
      <c r="K32" s="51">
        <f>VLOOKUP($A32,'Data Vlaue (Cr)'!$C:$FB,60)</f>
        <v>879</v>
      </c>
      <c r="L32" s="51">
        <f>VLOOKUP($A32,'Data Vlaue (Cr)'!$C:$FB,62)*100</f>
        <v>7.3400000000000007</v>
      </c>
      <c r="M32" s="51">
        <f>VLOOKUP($A32,'Data Vlaue (Cr)'!$C:$FB,63)</f>
        <v>669</v>
      </c>
      <c r="N32" s="51">
        <f>VLOOKUP($A32,'Data Vlaue (Cr)'!$C:$FB,64)</f>
        <v>557</v>
      </c>
      <c r="O32" s="51">
        <f>VLOOKUP($A32,'Data Vlaue (Cr)'!$C:$FB,66)*100</f>
        <v>19.950000000000003</v>
      </c>
    </row>
    <row r="33" spans="1:15" x14ac:dyDescent="0.25">
      <c r="A33" s="101" t="str">
        <f>'Data Vlaue (Cr)'!C28</f>
        <v>BANKINDIA</v>
      </c>
      <c r="B33" s="50">
        <f>VLOOKUP($A33,'Data Vlaue (Cr)'!$C:$FB,8)</f>
        <v>148.1</v>
      </c>
      <c r="C33" s="50">
        <f>VLOOKUP($A33,'Data Vlaue (Cr)'!$C:$FB,11)*100</f>
        <v>-0.51</v>
      </c>
      <c r="D33" s="50">
        <f>VLOOKUP($A33,'Data Vlaue (Cr)'!$C:$FB,143)</f>
        <v>744.63</v>
      </c>
      <c r="E33" s="50">
        <f>VLOOKUP($A33,'Data Vlaue (Cr)'!$C:$FB,144)</f>
        <v>764.43</v>
      </c>
      <c r="F33" s="50">
        <f>VLOOKUP($A33,'Data Vlaue (Cr)'!$C:$FB,146)*100</f>
        <v>-2.59</v>
      </c>
      <c r="G33" s="49">
        <f>VLOOKUP($A33,'Data Vlaue (Cr)'!$C:$FB,43)</f>
        <v>207</v>
      </c>
      <c r="H33" s="49">
        <f>VLOOKUP($A33,'Data Vlaue (Cr)'!$C:$FB,44)</f>
        <v>209</v>
      </c>
      <c r="I33" s="49">
        <f>VLOOKUP($A33,'Data Vlaue (Cr)'!$C:$FB,46)*100</f>
        <v>-0.54999999999999993</v>
      </c>
      <c r="J33" s="51">
        <f>VLOOKUP($A33,'Data Vlaue (Cr)'!$C:$FB,59)</f>
        <v>354</v>
      </c>
      <c r="K33" s="51">
        <f>VLOOKUP($A33,'Data Vlaue (Cr)'!$C:$FB,60)</f>
        <v>328</v>
      </c>
      <c r="L33" s="51">
        <f>VLOOKUP($A33,'Data Vlaue (Cr)'!$C:$FB,62)*100</f>
        <v>7.8</v>
      </c>
      <c r="M33" s="51">
        <f>VLOOKUP($A33,'Data Vlaue (Cr)'!$C:$FB,63)</f>
        <v>169</v>
      </c>
      <c r="N33" s="51">
        <f>VLOOKUP($A33,'Data Vlaue (Cr)'!$C:$FB,64)</f>
        <v>206</v>
      </c>
      <c r="O33" s="51">
        <f>VLOOKUP($A33,'Data Vlaue (Cr)'!$C:$FB,66)*100</f>
        <v>-18.13</v>
      </c>
    </row>
    <row r="34" spans="1:15" x14ac:dyDescent="0.25">
      <c r="A34" s="101" t="str">
        <f>'Data Vlaue (Cr)'!C29</f>
        <v>BANKNIFTY</v>
      </c>
      <c r="B34" s="50">
        <f>VLOOKUP($A34,'Data Vlaue (Cr)'!$C:$FB,8)</f>
        <v>56565.7</v>
      </c>
      <c r="C34" s="50">
        <f>VLOOKUP($A34,'Data Vlaue (Cr)'!$C:$FB,11)*100</f>
        <v>0.85000000000000009</v>
      </c>
      <c r="D34" s="50">
        <f>VLOOKUP($A34,'Data Vlaue (Cr)'!$C:$FB,143)</f>
        <v>435846.19</v>
      </c>
      <c r="E34" s="50">
        <f>VLOOKUP($A34,'Data Vlaue (Cr)'!$C:$FB,144)</f>
        <v>444852.61</v>
      </c>
      <c r="F34" s="50">
        <f>VLOOKUP($A34,'Data Vlaue (Cr)'!$C:$FB,146)*100</f>
        <v>-2.02</v>
      </c>
      <c r="G34" s="49">
        <f>VLOOKUP($A34,'Data Vlaue (Cr)'!$C:$FB,43)</f>
        <v>4325</v>
      </c>
      <c r="H34" s="49">
        <f>VLOOKUP($A34,'Data Vlaue (Cr)'!$C:$FB,44)</f>
        <v>5288</v>
      </c>
      <c r="I34" s="49">
        <f>VLOOKUP($A34,'Data Vlaue (Cr)'!$C:$FB,46)*100</f>
        <v>-18.22</v>
      </c>
      <c r="J34" s="51">
        <f>VLOOKUP($A34,'Data Vlaue (Cr)'!$C:$FB,59)</f>
        <v>230314</v>
      </c>
      <c r="K34" s="51">
        <f>VLOOKUP($A34,'Data Vlaue (Cr)'!$C:$FB,60)</f>
        <v>224839</v>
      </c>
      <c r="L34" s="51">
        <f>VLOOKUP($A34,'Data Vlaue (Cr)'!$C:$FB,62)*100</f>
        <v>2.44</v>
      </c>
      <c r="M34" s="51">
        <f>VLOOKUP($A34,'Data Vlaue (Cr)'!$C:$FB,63)</f>
        <v>202527</v>
      </c>
      <c r="N34" s="51">
        <f>VLOOKUP($A34,'Data Vlaue (Cr)'!$C:$FB,64)</f>
        <v>214460</v>
      </c>
      <c r="O34" s="51">
        <f>VLOOKUP($A34,'Data Vlaue (Cr)'!$C:$FB,66)*100</f>
        <v>-5.56</v>
      </c>
    </row>
    <row r="35" spans="1:15" x14ac:dyDescent="0.25">
      <c r="A35" s="101" t="str">
        <f>'Data Vlaue (Cr)'!C30</f>
        <v>BDL</v>
      </c>
      <c r="B35" s="50">
        <f>VLOOKUP($A35,'Data Vlaue (Cr)'!$C:$FB,8)</f>
        <v>1380.7</v>
      </c>
      <c r="C35" s="50">
        <f>VLOOKUP($A35,'Data Vlaue (Cr)'!$C:$FB,11)*100</f>
        <v>1.5699999999999998</v>
      </c>
      <c r="D35" s="50">
        <f>VLOOKUP($A35,'Data Vlaue (Cr)'!$C:$FB,143)</f>
        <v>1445.7</v>
      </c>
      <c r="E35" s="50">
        <f>VLOOKUP($A35,'Data Vlaue (Cr)'!$C:$FB,144)</f>
        <v>1224.01</v>
      </c>
      <c r="F35" s="50">
        <f>VLOOKUP($A35,'Data Vlaue (Cr)'!$C:$FB,146)*100</f>
        <v>18.11</v>
      </c>
      <c r="G35" s="49">
        <f>VLOOKUP($A35,'Data Vlaue (Cr)'!$C:$FB,43)</f>
        <v>164</v>
      </c>
      <c r="H35" s="49">
        <f>VLOOKUP($A35,'Data Vlaue (Cr)'!$C:$FB,44)</f>
        <v>228</v>
      </c>
      <c r="I35" s="49">
        <f>VLOOKUP($A35,'Data Vlaue (Cr)'!$C:$FB,46)*100</f>
        <v>-28.04</v>
      </c>
      <c r="J35" s="51">
        <f>VLOOKUP($A35,'Data Vlaue (Cr)'!$C:$FB,59)</f>
        <v>829</v>
      </c>
      <c r="K35" s="51">
        <f>VLOOKUP($A35,'Data Vlaue (Cr)'!$C:$FB,60)</f>
        <v>671</v>
      </c>
      <c r="L35" s="51">
        <f>VLOOKUP($A35,'Data Vlaue (Cr)'!$C:$FB,62)*100</f>
        <v>23.57</v>
      </c>
      <c r="M35" s="51">
        <f>VLOOKUP($A35,'Data Vlaue (Cr)'!$C:$FB,63)</f>
        <v>434</v>
      </c>
      <c r="N35" s="51">
        <f>VLOOKUP($A35,'Data Vlaue (Cr)'!$C:$FB,64)</f>
        <v>322</v>
      </c>
      <c r="O35" s="51">
        <f>VLOOKUP($A35,'Data Vlaue (Cr)'!$C:$FB,66)*100</f>
        <v>34.64</v>
      </c>
    </row>
    <row r="36" spans="1:15" x14ac:dyDescent="0.25">
      <c r="A36" s="101" t="str">
        <f>'Data Vlaue (Cr)'!C31</f>
        <v>BEL</v>
      </c>
      <c r="B36" s="50">
        <f>VLOOKUP($A36,'Data Vlaue (Cr)'!$C:$FB,8)</f>
        <v>462.75</v>
      </c>
      <c r="C36" s="50">
        <f>VLOOKUP($A36,'Data Vlaue (Cr)'!$C:$FB,11)*100</f>
        <v>1.5599999999999998</v>
      </c>
      <c r="D36" s="50">
        <f>VLOOKUP($A36,'Data Vlaue (Cr)'!$C:$FB,143)</f>
        <v>6019.79</v>
      </c>
      <c r="E36" s="50">
        <f>VLOOKUP($A36,'Data Vlaue (Cr)'!$C:$FB,144)</f>
        <v>5468.63</v>
      </c>
      <c r="F36" s="50">
        <f>VLOOKUP($A36,'Data Vlaue (Cr)'!$C:$FB,146)*100</f>
        <v>10.08</v>
      </c>
      <c r="G36" s="49">
        <f>VLOOKUP($A36,'Data Vlaue (Cr)'!$C:$FB,43)</f>
        <v>577</v>
      </c>
      <c r="H36" s="49">
        <f>VLOOKUP($A36,'Data Vlaue (Cr)'!$C:$FB,44)</f>
        <v>676</v>
      </c>
      <c r="I36" s="49">
        <f>VLOOKUP($A36,'Data Vlaue (Cr)'!$C:$FB,46)*100</f>
        <v>-14.63</v>
      </c>
      <c r="J36" s="51">
        <f>VLOOKUP($A36,'Data Vlaue (Cr)'!$C:$FB,59)</f>
        <v>3598</v>
      </c>
      <c r="K36" s="51">
        <f>VLOOKUP($A36,'Data Vlaue (Cr)'!$C:$FB,60)</f>
        <v>3278</v>
      </c>
      <c r="L36" s="51">
        <f>VLOOKUP($A36,'Data Vlaue (Cr)'!$C:$FB,62)*100</f>
        <v>9.74</v>
      </c>
      <c r="M36" s="51">
        <f>VLOOKUP($A36,'Data Vlaue (Cr)'!$C:$FB,63)</f>
        <v>1788</v>
      </c>
      <c r="N36" s="51">
        <f>VLOOKUP($A36,'Data Vlaue (Cr)'!$C:$FB,64)</f>
        <v>1526</v>
      </c>
      <c r="O36" s="51">
        <f>VLOOKUP($A36,'Data Vlaue (Cr)'!$C:$FB,66)*100</f>
        <v>17.16</v>
      </c>
    </row>
    <row r="37" spans="1:15" x14ac:dyDescent="0.25">
      <c r="A37" s="101" t="str">
        <f>'Data Vlaue (Cr)'!C32</f>
        <v>BHARATFORG</v>
      </c>
      <c r="B37" s="50">
        <f>VLOOKUP($A37,'Data Vlaue (Cr)'!$C:$FB,8)</f>
        <v>1860.5</v>
      </c>
      <c r="C37" s="50">
        <f>VLOOKUP($A37,'Data Vlaue (Cr)'!$C:$FB,11)*100</f>
        <v>0.25</v>
      </c>
      <c r="D37" s="50">
        <f>VLOOKUP($A37,'Data Vlaue (Cr)'!$C:$FB,143)</f>
        <v>1446.29</v>
      </c>
      <c r="E37" s="50">
        <f>VLOOKUP($A37,'Data Vlaue (Cr)'!$C:$FB,144)</f>
        <v>1306.9100000000001</v>
      </c>
      <c r="F37" s="50">
        <f>VLOOKUP($A37,'Data Vlaue (Cr)'!$C:$FB,146)*100</f>
        <v>10.67</v>
      </c>
      <c r="G37" s="49">
        <f>VLOOKUP($A37,'Data Vlaue (Cr)'!$C:$FB,43)</f>
        <v>276</v>
      </c>
      <c r="H37" s="49">
        <f>VLOOKUP($A37,'Data Vlaue (Cr)'!$C:$FB,44)</f>
        <v>304</v>
      </c>
      <c r="I37" s="49">
        <f>VLOOKUP($A37,'Data Vlaue (Cr)'!$C:$FB,46)*100</f>
        <v>-9.15</v>
      </c>
      <c r="J37" s="51">
        <f>VLOOKUP($A37,'Data Vlaue (Cr)'!$C:$FB,59)</f>
        <v>706</v>
      </c>
      <c r="K37" s="51">
        <f>VLOOKUP($A37,'Data Vlaue (Cr)'!$C:$FB,60)</f>
        <v>650</v>
      </c>
      <c r="L37" s="51">
        <f>VLOOKUP($A37,'Data Vlaue (Cr)'!$C:$FB,62)*100</f>
        <v>8.51</v>
      </c>
      <c r="M37" s="51">
        <f>VLOOKUP($A37,'Data Vlaue (Cr)'!$C:$FB,63)</f>
        <v>450</v>
      </c>
      <c r="N37" s="51">
        <f>VLOOKUP($A37,'Data Vlaue (Cr)'!$C:$FB,64)</f>
        <v>344</v>
      </c>
      <c r="O37" s="51">
        <f>VLOOKUP($A37,'Data Vlaue (Cr)'!$C:$FB,66)*100</f>
        <v>31.019999999999996</v>
      </c>
    </row>
    <row r="38" spans="1:15" x14ac:dyDescent="0.25">
      <c r="A38" s="101" t="str">
        <f>'Data Vlaue (Cr)'!C33</f>
        <v>BHARTIARTL</v>
      </c>
      <c r="B38" s="50">
        <f>VLOOKUP($A38,'Data Vlaue (Cr)'!$C:$FB,8)</f>
        <v>1846.9</v>
      </c>
      <c r="C38" s="50">
        <f>VLOOKUP($A38,'Data Vlaue (Cr)'!$C:$FB,11)*100</f>
        <v>0.33999999999999997</v>
      </c>
      <c r="D38" s="50">
        <f>VLOOKUP($A38,'Data Vlaue (Cr)'!$C:$FB,143)</f>
        <v>5025.84</v>
      </c>
      <c r="E38" s="50">
        <f>VLOOKUP($A38,'Data Vlaue (Cr)'!$C:$FB,144)</f>
        <v>8097.68</v>
      </c>
      <c r="F38" s="50">
        <f>VLOOKUP($A38,'Data Vlaue (Cr)'!$C:$FB,146)*100</f>
        <v>-37.93</v>
      </c>
      <c r="G38" s="49">
        <f>VLOOKUP($A38,'Data Vlaue (Cr)'!$C:$FB,43)</f>
        <v>723</v>
      </c>
      <c r="H38" s="49">
        <f>VLOOKUP($A38,'Data Vlaue (Cr)'!$C:$FB,44)</f>
        <v>1432</v>
      </c>
      <c r="I38" s="49">
        <f>VLOOKUP($A38,'Data Vlaue (Cr)'!$C:$FB,46)*100</f>
        <v>-49.51</v>
      </c>
      <c r="J38" s="51">
        <f>VLOOKUP($A38,'Data Vlaue (Cr)'!$C:$FB,59)</f>
        <v>2884</v>
      </c>
      <c r="K38" s="51">
        <f>VLOOKUP($A38,'Data Vlaue (Cr)'!$C:$FB,60)</f>
        <v>4551</v>
      </c>
      <c r="L38" s="51">
        <f>VLOOKUP($A38,'Data Vlaue (Cr)'!$C:$FB,62)*100</f>
        <v>-36.64</v>
      </c>
      <c r="M38" s="51">
        <f>VLOOKUP($A38,'Data Vlaue (Cr)'!$C:$FB,63)</f>
        <v>1363</v>
      </c>
      <c r="N38" s="51">
        <f>VLOOKUP($A38,'Data Vlaue (Cr)'!$C:$FB,64)</f>
        <v>1964</v>
      </c>
      <c r="O38" s="51">
        <f>VLOOKUP($A38,'Data Vlaue (Cr)'!$C:$FB,66)*100</f>
        <v>-30.580000000000002</v>
      </c>
    </row>
    <row r="39" spans="1:15" x14ac:dyDescent="0.25">
      <c r="A39" s="101" t="str">
        <f>'Data Vlaue (Cr)'!C34</f>
        <v>BHEL</v>
      </c>
      <c r="B39" s="50">
        <f>VLOOKUP($A39,'Data Vlaue (Cr)'!$C:$FB,8)</f>
        <v>316.79000000000002</v>
      </c>
      <c r="C39" s="50">
        <f>VLOOKUP($A39,'Data Vlaue (Cr)'!$C:$FB,11)*100</f>
        <v>2.4299999999999997</v>
      </c>
      <c r="D39" s="50">
        <f>VLOOKUP($A39,'Data Vlaue (Cr)'!$C:$FB,143)</f>
        <v>8686.0499999999993</v>
      </c>
      <c r="E39" s="50">
        <f>VLOOKUP($A39,'Data Vlaue (Cr)'!$C:$FB,144)</f>
        <v>8057.17</v>
      </c>
      <c r="F39" s="50">
        <f>VLOOKUP($A39,'Data Vlaue (Cr)'!$C:$FB,146)*100</f>
        <v>7.8100000000000005</v>
      </c>
      <c r="G39" s="49">
        <f>VLOOKUP($A39,'Data Vlaue (Cr)'!$C:$FB,43)</f>
        <v>1175</v>
      </c>
      <c r="H39" s="49">
        <f>VLOOKUP($A39,'Data Vlaue (Cr)'!$C:$FB,44)</f>
        <v>1590</v>
      </c>
      <c r="I39" s="49">
        <f>VLOOKUP($A39,'Data Vlaue (Cr)'!$C:$FB,46)*100</f>
        <v>-26.119999999999997</v>
      </c>
      <c r="J39" s="51">
        <f>VLOOKUP($A39,'Data Vlaue (Cr)'!$C:$FB,59)</f>
        <v>4722</v>
      </c>
      <c r="K39" s="51">
        <f>VLOOKUP($A39,'Data Vlaue (Cr)'!$C:$FB,60)</f>
        <v>4669</v>
      </c>
      <c r="L39" s="51">
        <f>VLOOKUP($A39,'Data Vlaue (Cr)'!$C:$FB,62)*100</f>
        <v>1.1400000000000001</v>
      </c>
      <c r="M39" s="51">
        <f>VLOOKUP($A39,'Data Vlaue (Cr)'!$C:$FB,63)</f>
        <v>2821</v>
      </c>
      <c r="N39" s="51">
        <f>VLOOKUP($A39,'Data Vlaue (Cr)'!$C:$FB,64)</f>
        <v>2022</v>
      </c>
      <c r="O39" s="51">
        <f>VLOOKUP($A39,'Data Vlaue (Cr)'!$C:$FB,66)*100</f>
        <v>39.53</v>
      </c>
    </row>
    <row r="40" spans="1:15" x14ac:dyDescent="0.25">
      <c r="A40" s="101" t="str">
        <f>'Data Vlaue (Cr)'!C35</f>
        <v>BIOCON</v>
      </c>
      <c r="B40" s="50">
        <f>VLOOKUP($A40,'Data Vlaue (Cr)'!$C:$FB,8)</f>
        <v>358.1</v>
      </c>
      <c r="C40" s="50">
        <f>VLOOKUP($A40,'Data Vlaue (Cr)'!$C:$FB,11)*100</f>
        <v>2.1</v>
      </c>
      <c r="D40" s="50">
        <f>VLOOKUP($A40,'Data Vlaue (Cr)'!$C:$FB,143)</f>
        <v>3041.68</v>
      </c>
      <c r="E40" s="50">
        <f>VLOOKUP($A40,'Data Vlaue (Cr)'!$C:$FB,144)</f>
        <v>1143.6099999999999</v>
      </c>
      <c r="F40" s="50">
        <f>VLOOKUP($A40,'Data Vlaue (Cr)'!$C:$FB,146)*100</f>
        <v>165.97</v>
      </c>
      <c r="G40" s="49">
        <f>VLOOKUP($A40,'Data Vlaue (Cr)'!$C:$FB,43)</f>
        <v>327</v>
      </c>
      <c r="H40" s="49">
        <f>VLOOKUP($A40,'Data Vlaue (Cr)'!$C:$FB,44)</f>
        <v>198</v>
      </c>
      <c r="I40" s="49">
        <f>VLOOKUP($A40,'Data Vlaue (Cr)'!$C:$FB,46)*100</f>
        <v>65.41</v>
      </c>
      <c r="J40" s="51">
        <f>VLOOKUP($A40,'Data Vlaue (Cr)'!$C:$FB,59)</f>
        <v>2153</v>
      </c>
      <c r="K40" s="51">
        <f>VLOOKUP($A40,'Data Vlaue (Cr)'!$C:$FB,60)</f>
        <v>680</v>
      </c>
      <c r="L40" s="51">
        <f>VLOOKUP($A40,'Data Vlaue (Cr)'!$C:$FB,62)*100</f>
        <v>216.78000000000003</v>
      </c>
      <c r="M40" s="51">
        <f>VLOOKUP($A40,'Data Vlaue (Cr)'!$C:$FB,63)</f>
        <v>510</v>
      </c>
      <c r="N40" s="51">
        <f>VLOOKUP($A40,'Data Vlaue (Cr)'!$C:$FB,64)</f>
        <v>257</v>
      </c>
      <c r="O40" s="51">
        <f>VLOOKUP($A40,'Data Vlaue (Cr)'!$C:$FB,66)*100</f>
        <v>97.98</v>
      </c>
    </row>
    <row r="41" spans="1:15" x14ac:dyDescent="0.25">
      <c r="A41" s="101" t="str">
        <f>'Data Vlaue (Cr)'!C36</f>
        <v>BLUESTARCO</v>
      </c>
      <c r="B41" s="50">
        <f>VLOOKUP($A41,'Data Vlaue (Cr)'!$C:$FB,8)</f>
        <v>1866.1</v>
      </c>
      <c r="C41" s="50">
        <f>VLOOKUP($A41,'Data Vlaue (Cr)'!$C:$FB,11)*100</f>
        <v>0.91</v>
      </c>
      <c r="D41" s="50">
        <f>VLOOKUP($A41,'Data Vlaue (Cr)'!$C:$FB,143)</f>
        <v>751.57</v>
      </c>
      <c r="E41" s="50">
        <f>VLOOKUP($A41,'Data Vlaue (Cr)'!$C:$FB,144)</f>
        <v>2012.7</v>
      </c>
      <c r="F41" s="50">
        <f>VLOOKUP($A41,'Data Vlaue (Cr)'!$C:$FB,146)*100</f>
        <v>-62.660000000000004</v>
      </c>
      <c r="G41" s="49">
        <f>VLOOKUP($A41,'Data Vlaue (Cr)'!$C:$FB,43)</f>
        <v>260</v>
      </c>
      <c r="H41" s="49">
        <f>VLOOKUP($A41,'Data Vlaue (Cr)'!$C:$FB,44)</f>
        <v>331</v>
      </c>
      <c r="I41" s="49">
        <f>VLOOKUP($A41,'Data Vlaue (Cr)'!$C:$FB,46)*100</f>
        <v>-21.65</v>
      </c>
      <c r="J41" s="51">
        <f>VLOOKUP($A41,'Data Vlaue (Cr)'!$C:$FB,59)</f>
        <v>324</v>
      </c>
      <c r="K41" s="51">
        <f>VLOOKUP($A41,'Data Vlaue (Cr)'!$C:$FB,60)</f>
        <v>1270</v>
      </c>
      <c r="L41" s="51">
        <f>VLOOKUP($A41,'Data Vlaue (Cr)'!$C:$FB,62)*100</f>
        <v>-74.489999999999995</v>
      </c>
      <c r="M41" s="51">
        <f>VLOOKUP($A41,'Data Vlaue (Cr)'!$C:$FB,63)</f>
        <v>167</v>
      </c>
      <c r="N41" s="51">
        <f>VLOOKUP($A41,'Data Vlaue (Cr)'!$C:$FB,64)</f>
        <v>375</v>
      </c>
      <c r="O41" s="51">
        <f>VLOOKUP($A41,'Data Vlaue (Cr)'!$C:$FB,66)*100</f>
        <v>-55.45</v>
      </c>
    </row>
    <row r="42" spans="1:15" x14ac:dyDescent="0.25">
      <c r="A42" s="101" t="str">
        <f>'Data Vlaue (Cr)'!C37</f>
        <v>BOSCHLTD</v>
      </c>
      <c r="B42" s="50">
        <f>VLOOKUP($A42,'Data Vlaue (Cr)'!$C:$FB,8)</f>
        <v>37505</v>
      </c>
      <c r="C42" s="50">
        <f>VLOOKUP($A42,'Data Vlaue (Cr)'!$C:$FB,11)*100</f>
        <v>0.16999999999999998</v>
      </c>
      <c r="D42" s="50">
        <f>VLOOKUP($A42,'Data Vlaue (Cr)'!$C:$FB,143)</f>
        <v>2848.15</v>
      </c>
      <c r="E42" s="50">
        <f>VLOOKUP($A42,'Data Vlaue (Cr)'!$C:$FB,144)</f>
        <v>1955.58</v>
      </c>
      <c r="F42" s="50">
        <f>VLOOKUP($A42,'Data Vlaue (Cr)'!$C:$FB,146)*100</f>
        <v>45.64</v>
      </c>
      <c r="G42" s="49">
        <f>VLOOKUP($A42,'Data Vlaue (Cr)'!$C:$FB,43)</f>
        <v>106</v>
      </c>
      <c r="H42" s="49">
        <f>VLOOKUP($A42,'Data Vlaue (Cr)'!$C:$FB,44)</f>
        <v>158</v>
      </c>
      <c r="I42" s="49">
        <f>VLOOKUP($A42,'Data Vlaue (Cr)'!$C:$FB,46)*100</f>
        <v>-32.5</v>
      </c>
      <c r="J42" s="51">
        <f>VLOOKUP($A42,'Data Vlaue (Cr)'!$C:$FB,59)</f>
        <v>666</v>
      </c>
      <c r="K42" s="51">
        <f>VLOOKUP($A42,'Data Vlaue (Cr)'!$C:$FB,60)</f>
        <v>914</v>
      </c>
      <c r="L42" s="51">
        <f>VLOOKUP($A42,'Data Vlaue (Cr)'!$C:$FB,62)*100</f>
        <v>-27.13</v>
      </c>
      <c r="M42" s="51">
        <f>VLOOKUP($A42,'Data Vlaue (Cr)'!$C:$FB,63)</f>
        <v>2504</v>
      </c>
      <c r="N42" s="51">
        <f>VLOOKUP($A42,'Data Vlaue (Cr)'!$C:$FB,64)</f>
        <v>955</v>
      </c>
      <c r="O42" s="51">
        <f>VLOOKUP($A42,'Data Vlaue (Cr)'!$C:$FB,66)*100</f>
        <v>162.09</v>
      </c>
    </row>
    <row r="43" spans="1:15" x14ac:dyDescent="0.25">
      <c r="A43" s="101" t="str">
        <f>'Data Vlaue (Cr)'!C38</f>
        <v>BPCL</v>
      </c>
      <c r="B43" s="50">
        <f>VLOOKUP($A43,'Data Vlaue (Cr)'!$C:$FB,8)</f>
        <v>312.10000000000002</v>
      </c>
      <c r="C43" s="50">
        <f>VLOOKUP($A43,'Data Vlaue (Cr)'!$C:$FB,11)*100</f>
        <v>1.35</v>
      </c>
      <c r="D43" s="50">
        <f>VLOOKUP($A43,'Data Vlaue (Cr)'!$C:$FB,143)</f>
        <v>1917.06</v>
      </c>
      <c r="E43" s="50">
        <f>VLOOKUP($A43,'Data Vlaue (Cr)'!$C:$FB,144)</f>
        <v>1455.49</v>
      </c>
      <c r="F43" s="50">
        <f>VLOOKUP($A43,'Data Vlaue (Cr)'!$C:$FB,146)*100</f>
        <v>31.71</v>
      </c>
      <c r="G43" s="49">
        <f>VLOOKUP($A43,'Data Vlaue (Cr)'!$C:$FB,43)</f>
        <v>247</v>
      </c>
      <c r="H43" s="49">
        <f>VLOOKUP($A43,'Data Vlaue (Cr)'!$C:$FB,44)</f>
        <v>254</v>
      </c>
      <c r="I43" s="49">
        <f>VLOOKUP($A43,'Data Vlaue (Cr)'!$C:$FB,46)*100</f>
        <v>-2.7</v>
      </c>
      <c r="J43" s="51">
        <f>VLOOKUP($A43,'Data Vlaue (Cr)'!$C:$FB,59)</f>
        <v>1098</v>
      </c>
      <c r="K43" s="51">
        <f>VLOOKUP($A43,'Data Vlaue (Cr)'!$C:$FB,60)</f>
        <v>743</v>
      </c>
      <c r="L43" s="51">
        <f>VLOOKUP($A43,'Data Vlaue (Cr)'!$C:$FB,62)*100</f>
        <v>47.75</v>
      </c>
      <c r="M43" s="51">
        <f>VLOOKUP($A43,'Data Vlaue (Cr)'!$C:$FB,63)</f>
        <v>527</v>
      </c>
      <c r="N43" s="51">
        <f>VLOOKUP($A43,'Data Vlaue (Cr)'!$C:$FB,64)</f>
        <v>438</v>
      </c>
      <c r="O43" s="51">
        <f>VLOOKUP($A43,'Data Vlaue (Cr)'!$C:$FB,66)*100</f>
        <v>20.36</v>
      </c>
    </row>
    <row r="44" spans="1:15" x14ac:dyDescent="0.25">
      <c r="A44" s="101" t="str">
        <f>'Data Vlaue (Cr)'!C39</f>
        <v>BRITANNIA</v>
      </c>
      <c r="B44" s="50">
        <f>VLOOKUP($A44,'Data Vlaue (Cr)'!$C:$FB,8)</f>
        <v>5735.5</v>
      </c>
      <c r="C44" s="50">
        <f>VLOOKUP($A44,'Data Vlaue (Cr)'!$C:$FB,11)*100</f>
        <v>2.68</v>
      </c>
      <c r="D44" s="50">
        <f>VLOOKUP($A44,'Data Vlaue (Cr)'!$C:$FB,143)</f>
        <v>2114.08</v>
      </c>
      <c r="E44" s="50">
        <f>VLOOKUP($A44,'Data Vlaue (Cr)'!$C:$FB,144)</f>
        <v>1199.06</v>
      </c>
      <c r="F44" s="50">
        <f>VLOOKUP($A44,'Data Vlaue (Cr)'!$C:$FB,146)*100</f>
        <v>76.31</v>
      </c>
      <c r="G44" s="49">
        <f>VLOOKUP($A44,'Data Vlaue (Cr)'!$C:$FB,43)</f>
        <v>251</v>
      </c>
      <c r="H44" s="49">
        <f>VLOOKUP($A44,'Data Vlaue (Cr)'!$C:$FB,44)</f>
        <v>230</v>
      </c>
      <c r="I44" s="49">
        <f>VLOOKUP($A44,'Data Vlaue (Cr)'!$C:$FB,46)*100</f>
        <v>9.17</v>
      </c>
      <c r="J44" s="51">
        <f>VLOOKUP($A44,'Data Vlaue (Cr)'!$C:$FB,59)</f>
        <v>1436</v>
      </c>
      <c r="K44" s="51">
        <f>VLOOKUP($A44,'Data Vlaue (Cr)'!$C:$FB,60)</f>
        <v>681</v>
      </c>
      <c r="L44" s="51">
        <f>VLOOKUP($A44,'Data Vlaue (Cr)'!$C:$FB,62)*100</f>
        <v>110.85000000000001</v>
      </c>
      <c r="M44" s="51">
        <f>VLOOKUP($A44,'Data Vlaue (Cr)'!$C:$FB,63)</f>
        <v>405</v>
      </c>
      <c r="N44" s="51">
        <f>VLOOKUP($A44,'Data Vlaue (Cr)'!$C:$FB,64)</f>
        <v>294</v>
      </c>
      <c r="O44" s="51">
        <f>VLOOKUP($A44,'Data Vlaue (Cr)'!$C:$FB,66)*100</f>
        <v>38.06</v>
      </c>
    </row>
    <row r="45" spans="1:15" x14ac:dyDescent="0.25">
      <c r="A45" s="101" t="str">
        <f>'Data Vlaue (Cr)'!C40</f>
        <v>BSE</v>
      </c>
      <c r="B45" s="50">
        <f>VLOOKUP($A45,'Data Vlaue (Cr)'!$C:$FB,8)</f>
        <v>3531.5</v>
      </c>
      <c r="C45" s="50">
        <f>VLOOKUP($A45,'Data Vlaue (Cr)'!$C:$FB,11)*100</f>
        <v>2.46</v>
      </c>
      <c r="D45" s="50">
        <f>VLOOKUP($A45,'Data Vlaue (Cr)'!$C:$FB,143)</f>
        <v>22843.54</v>
      </c>
      <c r="E45" s="50">
        <f>VLOOKUP($A45,'Data Vlaue (Cr)'!$C:$FB,144)</f>
        <v>11611.74</v>
      </c>
      <c r="F45" s="50">
        <f>VLOOKUP($A45,'Data Vlaue (Cr)'!$C:$FB,146)*100</f>
        <v>96.73</v>
      </c>
      <c r="G45" s="49">
        <f>VLOOKUP($A45,'Data Vlaue (Cr)'!$C:$FB,43)</f>
        <v>1999</v>
      </c>
      <c r="H45" s="49">
        <f>VLOOKUP($A45,'Data Vlaue (Cr)'!$C:$FB,44)</f>
        <v>1141</v>
      </c>
      <c r="I45" s="49">
        <f>VLOOKUP($A45,'Data Vlaue (Cr)'!$C:$FB,46)*100</f>
        <v>75.22</v>
      </c>
      <c r="J45" s="51">
        <f>VLOOKUP($A45,'Data Vlaue (Cr)'!$C:$FB,59)</f>
        <v>11903</v>
      </c>
      <c r="K45" s="51">
        <f>VLOOKUP($A45,'Data Vlaue (Cr)'!$C:$FB,60)</f>
        <v>5695</v>
      </c>
      <c r="L45" s="51">
        <f>VLOOKUP($A45,'Data Vlaue (Cr)'!$C:$FB,62)*100</f>
        <v>109.01</v>
      </c>
      <c r="M45" s="51">
        <f>VLOOKUP($A45,'Data Vlaue (Cr)'!$C:$FB,63)</f>
        <v>9113</v>
      </c>
      <c r="N45" s="51">
        <f>VLOOKUP($A45,'Data Vlaue (Cr)'!$C:$FB,64)</f>
        <v>5072</v>
      </c>
      <c r="O45" s="51">
        <f>VLOOKUP($A45,'Data Vlaue (Cr)'!$C:$FB,66)*100</f>
        <v>79.66</v>
      </c>
    </row>
    <row r="46" spans="1:15" x14ac:dyDescent="0.25">
      <c r="A46" s="101" t="str">
        <f>'Data Vlaue (Cr)'!C41</f>
        <v>CAMS</v>
      </c>
      <c r="B46" s="50">
        <f>VLOOKUP($A46,'Data Vlaue (Cr)'!$C:$FB,8)</f>
        <v>750.15</v>
      </c>
      <c r="C46" s="50">
        <f>VLOOKUP($A46,'Data Vlaue (Cr)'!$C:$FB,11)*100</f>
        <v>1.59</v>
      </c>
      <c r="D46" s="50">
        <f>VLOOKUP($A46,'Data Vlaue (Cr)'!$C:$FB,143)</f>
        <v>958.81</v>
      </c>
      <c r="E46" s="50">
        <f>VLOOKUP($A46,'Data Vlaue (Cr)'!$C:$FB,144)</f>
        <v>539.54999999999995</v>
      </c>
      <c r="F46" s="50">
        <f>VLOOKUP($A46,'Data Vlaue (Cr)'!$C:$FB,146)*100</f>
        <v>77.7</v>
      </c>
      <c r="G46" s="49">
        <f>VLOOKUP($A46,'Data Vlaue (Cr)'!$C:$FB,43)</f>
        <v>192</v>
      </c>
      <c r="H46" s="49">
        <f>VLOOKUP($A46,'Data Vlaue (Cr)'!$C:$FB,44)</f>
        <v>120</v>
      </c>
      <c r="I46" s="49">
        <f>VLOOKUP($A46,'Data Vlaue (Cr)'!$C:$FB,46)*100</f>
        <v>59.809999999999995</v>
      </c>
      <c r="J46" s="51">
        <f>VLOOKUP($A46,'Data Vlaue (Cr)'!$C:$FB,59)</f>
        <v>512</v>
      </c>
      <c r="K46" s="51">
        <f>VLOOKUP($A46,'Data Vlaue (Cr)'!$C:$FB,60)</f>
        <v>282</v>
      </c>
      <c r="L46" s="51">
        <f>VLOOKUP($A46,'Data Vlaue (Cr)'!$C:$FB,62)*100</f>
        <v>81.98</v>
      </c>
      <c r="M46" s="51">
        <f>VLOOKUP($A46,'Data Vlaue (Cr)'!$C:$FB,63)</f>
        <v>250</v>
      </c>
      <c r="N46" s="51">
        <f>VLOOKUP($A46,'Data Vlaue (Cr)'!$C:$FB,64)</f>
        <v>145</v>
      </c>
      <c r="O46" s="51">
        <f>VLOOKUP($A46,'Data Vlaue (Cr)'!$C:$FB,66)*100</f>
        <v>72.47</v>
      </c>
    </row>
    <row r="47" spans="1:15" x14ac:dyDescent="0.25">
      <c r="A47" s="101" t="str">
        <f>'Data Vlaue (Cr)'!C42</f>
        <v>CANBK</v>
      </c>
      <c r="B47" s="50">
        <f>VLOOKUP($A47,'Data Vlaue (Cr)'!$C:$FB,8)</f>
        <v>142.37</v>
      </c>
      <c r="C47" s="50">
        <f>VLOOKUP($A47,'Data Vlaue (Cr)'!$C:$FB,11)*100</f>
        <v>0.95</v>
      </c>
      <c r="D47" s="50">
        <f>VLOOKUP($A47,'Data Vlaue (Cr)'!$C:$FB,143)</f>
        <v>2216.64</v>
      </c>
      <c r="E47" s="50">
        <f>VLOOKUP($A47,'Data Vlaue (Cr)'!$C:$FB,144)</f>
        <v>1820.54</v>
      </c>
      <c r="F47" s="50">
        <f>VLOOKUP($A47,'Data Vlaue (Cr)'!$C:$FB,146)*100</f>
        <v>21.759999999999998</v>
      </c>
      <c r="G47" s="49">
        <f>VLOOKUP($A47,'Data Vlaue (Cr)'!$C:$FB,43)</f>
        <v>732</v>
      </c>
      <c r="H47" s="49">
        <f>VLOOKUP($A47,'Data Vlaue (Cr)'!$C:$FB,44)</f>
        <v>448</v>
      </c>
      <c r="I47" s="49">
        <f>VLOOKUP($A47,'Data Vlaue (Cr)'!$C:$FB,46)*100</f>
        <v>63.43</v>
      </c>
      <c r="J47" s="51">
        <f>VLOOKUP($A47,'Data Vlaue (Cr)'!$C:$FB,59)</f>
        <v>929</v>
      </c>
      <c r="K47" s="51">
        <f>VLOOKUP($A47,'Data Vlaue (Cr)'!$C:$FB,60)</f>
        <v>759</v>
      </c>
      <c r="L47" s="51">
        <f>VLOOKUP($A47,'Data Vlaue (Cr)'!$C:$FB,62)*100</f>
        <v>22.45</v>
      </c>
      <c r="M47" s="51">
        <f>VLOOKUP($A47,'Data Vlaue (Cr)'!$C:$FB,63)</f>
        <v>529</v>
      </c>
      <c r="N47" s="51">
        <f>VLOOKUP($A47,'Data Vlaue (Cr)'!$C:$FB,64)</f>
        <v>597</v>
      </c>
      <c r="O47" s="51">
        <f>VLOOKUP($A47,'Data Vlaue (Cr)'!$C:$FB,66)*100</f>
        <v>-11.42</v>
      </c>
    </row>
    <row r="48" spans="1:15" x14ac:dyDescent="0.25">
      <c r="A48" s="101" t="str">
        <f>'Data Vlaue (Cr)'!C43</f>
        <v>CDSL</v>
      </c>
      <c r="B48" s="50">
        <f>VLOOKUP($A48,'Data Vlaue (Cr)'!$C:$FB,8)</f>
        <v>1393.2</v>
      </c>
      <c r="C48" s="50">
        <f>VLOOKUP($A48,'Data Vlaue (Cr)'!$C:$FB,11)*100</f>
        <v>1.8599999999999999</v>
      </c>
      <c r="D48" s="50">
        <f>VLOOKUP($A48,'Data Vlaue (Cr)'!$C:$FB,143)</f>
        <v>2780.97</v>
      </c>
      <c r="E48" s="50">
        <f>VLOOKUP($A48,'Data Vlaue (Cr)'!$C:$FB,144)</f>
        <v>2055.2399999999998</v>
      </c>
      <c r="F48" s="50">
        <f>VLOOKUP($A48,'Data Vlaue (Cr)'!$C:$FB,146)*100</f>
        <v>35.31</v>
      </c>
      <c r="G48" s="49">
        <f>VLOOKUP($A48,'Data Vlaue (Cr)'!$C:$FB,43)</f>
        <v>340</v>
      </c>
      <c r="H48" s="49">
        <f>VLOOKUP($A48,'Data Vlaue (Cr)'!$C:$FB,44)</f>
        <v>356</v>
      </c>
      <c r="I48" s="49">
        <f>VLOOKUP($A48,'Data Vlaue (Cr)'!$C:$FB,46)*100</f>
        <v>-4.3999999999999995</v>
      </c>
      <c r="J48" s="51">
        <f>VLOOKUP($A48,'Data Vlaue (Cr)'!$C:$FB,59)</f>
        <v>1546</v>
      </c>
      <c r="K48" s="51">
        <f>VLOOKUP($A48,'Data Vlaue (Cr)'!$C:$FB,60)</f>
        <v>1106</v>
      </c>
      <c r="L48" s="51">
        <f>VLOOKUP($A48,'Data Vlaue (Cr)'!$C:$FB,62)*100</f>
        <v>39.75</v>
      </c>
      <c r="M48" s="51">
        <f>VLOOKUP($A48,'Data Vlaue (Cr)'!$C:$FB,63)</f>
        <v>878</v>
      </c>
      <c r="N48" s="51">
        <f>VLOOKUP($A48,'Data Vlaue (Cr)'!$C:$FB,64)</f>
        <v>620</v>
      </c>
      <c r="O48" s="51">
        <f>VLOOKUP($A48,'Data Vlaue (Cr)'!$C:$FB,66)*100</f>
        <v>41.620000000000005</v>
      </c>
    </row>
    <row r="49" spans="1:15" x14ac:dyDescent="0.25">
      <c r="A49" s="101" t="str">
        <f>'Data Vlaue (Cr)'!C44</f>
        <v>CGPOWER</v>
      </c>
      <c r="B49" s="50">
        <f>VLOOKUP($A49,'Data Vlaue (Cr)'!$C:$FB,8)</f>
        <v>774.8</v>
      </c>
      <c r="C49" s="50">
        <f>VLOOKUP($A49,'Data Vlaue (Cr)'!$C:$FB,11)*100</f>
        <v>2.5</v>
      </c>
      <c r="D49" s="50">
        <f>VLOOKUP($A49,'Data Vlaue (Cr)'!$C:$FB,143)</f>
        <v>1703.39</v>
      </c>
      <c r="E49" s="50">
        <f>VLOOKUP($A49,'Data Vlaue (Cr)'!$C:$FB,144)</f>
        <v>1747.81</v>
      </c>
      <c r="F49" s="50">
        <f>VLOOKUP($A49,'Data Vlaue (Cr)'!$C:$FB,146)*100</f>
        <v>-2.54</v>
      </c>
      <c r="G49" s="49">
        <f>VLOOKUP($A49,'Data Vlaue (Cr)'!$C:$FB,43)</f>
        <v>278</v>
      </c>
      <c r="H49" s="49">
        <f>VLOOKUP($A49,'Data Vlaue (Cr)'!$C:$FB,44)</f>
        <v>494</v>
      </c>
      <c r="I49" s="49">
        <f>VLOOKUP($A49,'Data Vlaue (Cr)'!$C:$FB,46)*100</f>
        <v>-43.81</v>
      </c>
      <c r="J49" s="51">
        <f>VLOOKUP($A49,'Data Vlaue (Cr)'!$C:$FB,59)</f>
        <v>1065</v>
      </c>
      <c r="K49" s="51">
        <f>VLOOKUP($A49,'Data Vlaue (Cr)'!$C:$FB,60)</f>
        <v>963</v>
      </c>
      <c r="L49" s="51">
        <f>VLOOKUP($A49,'Data Vlaue (Cr)'!$C:$FB,62)*100</f>
        <v>10.6</v>
      </c>
      <c r="M49" s="51">
        <f>VLOOKUP($A49,'Data Vlaue (Cr)'!$C:$FB,63)</f>
        <v>340</v>
      </c>
      <c r="N49" s="51">
        <f>VLOOKUP($A49,'Data Vlaue (Cr)'!$C:$FB,64)</f>
        <v>298</v>
      </c>
      <c r="O49" s="51">
        <f>VLOOKUP($A49,'Data Vlaue (Cr)'!$C:$FB,66)*100</f>
        <v>14.299999999999999</v>
      </c>
    </row>
    <row r="50" spans="1:15" x14ac:dyDescent="0.25">
      <c r="A50" s="101" t="str">
        <f>'Data Vlaue (Cr)'!C45</f>
        <v>CHOLAFIN</v>
      </c>
      <c r="B50" s="50">
        <f>VLOOKUP($A50,'Data Vlaue (Cr)'!$C:$FB,8)</f>
        <v>1579</v>
      </c>
      <c r="C50" s="50">
        <f>VLOOKUP($A50,'Data Vlaue (Cr)'!$C:$FB,11)*100</f>
        <v>0.57999999999999996</v>
      </c>
      <c r="D50" s="50">
        <f>VLOOKUP($A50,'Data Vlaue (Cr)'!$C:$FB,143)</f>
        <v>1805.06</v>
      </c>
      <c r="E50" s="50">
        <f>VLOOKUP($A50,'Data Vlaue (Cr)'!$C:$FB,144)</f>
        <v>3665.3</v>
      </c>
      <c r="F50" s="50">
        <f>VLOOKUP($A50,'Data Vlaue (Cr)'!$C:$FB,146)*100</f>
        <v>-50.749999999999993</v>
      </c>
      <c r="G50" s="49">
        <f>VLOOKUP($A50,'Data Vlaue (Cr)'!$C:$FB,43)</f>
        <v>534</v>
      </c>
      <c r="H50" s="49">
        <f>VLOOKUP($A50,'Data Vlaue (Cr)'!$C:$FB,44)</f>
        <v>540</v>
      </c>
      <c r="I50" s="49">
        <f>VLOOKUP($A50,'Data Vlaue (Cr)'!$C:$FB,46)*100</f>
        <v>-1.1499999999999999</v>
      </c>
      <c r="J50" s="51">
        <f>VLOOKUP($A50,'Data Vlaue (Cr)'!$C:$FB,59)</f>
        <v>753</v>
      </c>
      <c r="K50" s="51">
        <f>VLOOKUP($A50,'Data Vlaue (Cr)'!$C:$FB,60)</f>
        <v>1964</v>
      </c>
      <c r="L50" s="51">
        <f>VLOOKUP($A50,'Data Vlaue (Cr)'!$C:$FB,62)*100</f>
        <v>-61.650000000000006</v>
      </c>
      <c r="M50" s="51">
        <f>VLOOKUP($A50,'Data Vlaue (Cr)'!$C:$FB,63)</f>
        <v>499</v>
      </c>
      <c r="N50" s="51">
        <f>VLOOKUP($A50,'Data Vlaue (Cr)'!$C:$FB,64)</f>
        <v>1066</v>
      </c>
      <c r="O50" s="51">
        <f>VLOOKUP($A50,'Data Vlaue (Cr)'!$C:$FB,66)*100</f>
        <v>-53.21</v>
      </c>
    </row>
    <row r="51" spans="1:15" x14ac:dyDescent="0.25">
      <c r="A51" s="101" t="str">
        <f>'Data Vlaue (Cr)'!C46</f>
        <v>CIPLA</v>
      </c>
      <c r="B51" s="50">
        <f>VLOOKUP($A51,'Data Vlaue (Cr)'!$C:$FB,8)</f>
        <v>1240.8</v>
      </c>
      <c r="C51" s="50">
        <f>VLOOKUP($A51,'Data Vlaue (Cr)'!$C:$FB,11)*100</f>
        <v>0.84</v>
      </c>
      <c r="D51" s="50">
        <f>VLOOKUP($A51,'Data Vlaue (Cr)'!$C:$FB,143)</f>
        <v>1222.6600000000001</v>
      </c>
      <c r="E51" s="50">
        <f>VLOOKUP($A51,'Data Vlaue (Cr)'!$C:$FB,144)</f>
        <v>932.53</v>
      </c>
      <c r="F51" s="50">
        <f>VLOOKUP($A51,'Data Vlaue (Cr)'!$C:$FB,146)*100</f>
        <v>31.11</v>
      </c>
      <c r="G51" s="49">
        <f>VLOOKUP($A51,'Data Vlaue (Cr)'!$C:$FB,43)</f>
        <v>204</v>
      </c>
      <c r="H51" s="49">
        <f>VLOOKUP($A51,'Data Vlaue (Cr)'!$C:$FB,44)</f>
        <v>197</v>
      </c>
      <c r="I51" s="49">
        <f>VLOOKUP($A51,'Data Vlaue (Cr)'!$C:$FB,46)*100</f>
        <v>3.49</v>
      </c>
      <c r="J51" s="51">
        <f>VLOOKUP($A51,'Data Vlaue (Cr)'!$C:$FB,59)</f>
        <v>734</v>
      </c>
      <c r="K51" s="51">
        <f>VLOOKUP($A51,'Data Vlaue (Cr)'!$C:$FB,60)</f>
        <v>556</v>
      </c>
      <c r="L51" s="51">
        <f>VLOOKUP($A51,'Data Vlaue (Cr)'!$C:$FB,62)*100</f>
        <v>31.990000000000002</v>
      </c>
      <c r="M51" s="51">
        <f>VLOOKUP($A51,'Data Vlaue (Cr)'!$C:$FB,63)</f>
        <v>274</v>
      </c>
      <c r="N51" s="51">
        <f>VLOOKUP($A51,'Data Vlaue (Cr)'!$C:$FB,64)</f>
        <v>175</v>
      </c>
      <c r="O51" s="51">
        <f>VLOOKUP($A51,'Data Vlaue (Cr)'!$C:$FB,66)*100</f>
        <v>56.74</v>
      </c>
    </row>
    <row r="52" spans="1:15" x14ac:dyDescent="0.25">
      <c r="A52" s="101" t="str">
        <f>'Data Vlaue (Cr)'!C47</f>
        <v>COALINDIA</v>
      </c>
      <c r="B52" s="50">
        <f>VLOOKUP($A52,'Data Vlaue (Cr)'!$C:$FB,8)</f>
        <v>438.75</v>
      </c>
      <c r="C52" s="50">
        <f>VLOOKUP($A52,'Data Vlaue (Cr)'!$C:$FB,11)*100</f>
        <v>1.39</v>
      </c>
      <c r="D52" s="50">
        <f>VLOOKUP($A52,'Data Vlaue (Cr)'!$C:$FB,143)</f>
        <v>4237.8100000000004</v>
      </c>
      <c r="E52" s="50">
        <f>VLOOKUP($A52,'Data Vlaue (Cr)'!$C:$FB,144)</f>
        <v>2819.04</v>
      </c>
      <c r="F52" s="50">
        <f>VLOOKUP($A52,'Data Vlaue (Cr)'!$C:$FB,146)*100</f>
        <v>50.33</v>
      </c>
      <c r="G52" s="49">
        <f>VLOOKUP($A52,'Data Vlaue (Cr)'!$C:$FB,43)</f>
        <v>604</v>
      </c>
      <c r="H52" s="49">
        <f>VLOOKUP($A52,'Data Vlaue (Cr)'!$C:$FB,44)</f>
        <v>357</v>
      </c>
      <c r="I52" s="49">
        <f>VLOOKUP($A52,'Data Vlaue (Cr)'!$C:$FB,46)*100</f>
        <v>69.199999999999989</v>
      </c>
      <c r="J52" s="51">
        <f>VLOOKUP($A52,'Data Vlaue (Cr)'!$C:$FB,59)</f>
        <v>2239</v>
      </c>
      <c r="K52" s="51">
        <f>VLOOKUP($A52,'Data Vlaue (Cr)'!$C:$FB,60)</f>
        <v>1694</v>
      </c>
      <c r="L52" s="51">
        <f>VLOOKUP($A52,'Data Vlaue (Cr)'!$C:$FB,62)*100</f>
        <v>32.159999999999997</v>
      </c>
      <c r="M52" s="51">
        <f>VLOOKUP($A52,'Data Vlaue (Cr)'!$C:$FB,63)</f>
        <v>1343</v>
      </c>
      <c r="N52" s="51">
        <f>VLOOKUP($A52,'Data Vlaue (Cr)'!$C:$FB,64)</f>
        <v>708</v>
      </c>
      <c r="O52" s="51">
        <f>VLOOKUP($A52,'Data Vlaue (Cr)'!$C:$FB,66)*100</f>
        <v>89.62</v>
      </c>
    </row>
    <row r="53" spans="1:15" x14ac:dyDescent="0.25">
      <c r="A53" s="101" t="str">
        <f>'Data Vlaue (Cr)'!C48</f>
        <v>COCHINSHIP</v>
      </c>
      <c r="B53" s="50">
        <f>VLOOKUP($A53,'Data Vlaue (Cr)'!$C:$FB,8)</f>
        <v>1561.1</v>
      </c>
      <c r="C53" s="50">
        <f>VLOOKUP($A53,'Data Vlaue (Cr)'!$C:$FB,11)*100</f>
        <v>4.21</v>
      </c>
      <c r="D53" s="50">
        <f>VLOOKUP($A53,'Data Vlaue (Cr)'!$C:$FB,143)</f>
        <v>1949.9</v>
      </c>
      <c r="E53" s="50">
        <f>VLOOKUP($A53,'Data Vlaue (Cr)'!$C:$FB,144)</f>
        <v>515.21</v>
      </c>
      <c r="F53" s="50">
        <f>VLOOKUP($A53,'Data Vlaue (Cr)'!$C:$FB,146)*100</f>
        <v>278.46999999999997</v>
      </c>
      <c r="G53" s="49">
        <f>VLOOKUP($A53,'Data Vlaue (Cr)'!$C:$FB,43)</f>
        <v>269</v>
      </c>
      <c r="H53" s="49">
        <f>VLOOKUP($A53,'Data Vlaue (Cr)'!$C:$FB,44)</f>
        <v>161</v>
      </c>
      <c r="I53" s="49">
        <f>VLOOKUP($A53,'Data Vlaue (Cr)'!$C:$FB,46)*100</f>
        <v>67.040000000000006</v>
      </c>
      <c r="J53" s="51">
        <f>VLOOKUP($A53,'Data Vlaue (Cr)'!$C:$FB,59)</f>
        <v>1381</v>
      </c>
      <c r="K53" s="51">
        <f>VLOOKUP($A53,'Data Vlaue (Cr)'!$C:$FB,60)</f>
        <v>236</v>
      </c>
      <c r="L53" s="51">
        <f>VLOOKUP($A53,'Data Vlaue (Cr)'!$C:$FB,62)*100</f>
        <v>485.03</v>
      </c>
      <c r="M53" s="51">
        <f>VLOOKUP($A53,'Data Vlaue (Cr)'!$C:$FB,63)</f>
        <v>260</v>
      </c>
      <c r="N53" s="51">
        <f>VLOOKUP($A53,'Data Vlaue (Cr)'!$C:$FB,64)</f>
        <v>148</v>
      </c>
      <c r="O53" s="51">
        <f>VLOOKUP($A53,'Data Vlaue (Cr)'!$C:$FB,66)*100</f>
        <v>75.83</v>
      </c>
    </row>
    <row r="54" spans="1:15" x14ac:dyDescent="0.25">
      <c r="A54" s="101" t="str">
        <f>'Data Vlaue (Cr)'!C49</f>
        <v>COFORGE</v>
      </c>
      <c r="B54" s="50">
        <f>VLOOKUP($A54,'Data Vlaue (Cr)'!$C:$FB,8)</f>
        <v>1316.8</v>
      </c>
      <c r="C54" s="50">
        <f>VLOOKUP($A54,'Data Vlaue (Cr)'!$C:$FB,11)*100</f>
        <v>0.27</v>
      </c>
      <c r="D54" s="50">
        <f>VLOOKUP($A54,'Data Vlaue (Cr)'!$C:$FB,143)</f>
        <v>1666.94</v>
      </c>
      <c r="E54" s="50">
        <f>VLOOKUP($A54,'Data Vlaue (Cr)'!$C:$FB,144)</f>
        <v>3993.86</v>
      </c>
      <c r="F54" s="50">
        <f>VLOOKUP($A54,'Data Vlaue (Cr)'!$C:$FB,146)*100</f>
        <v>-58.26</v>
      </c>
      <c r="G54" s="49">
        <f>VLOOKUP($A54,'Data Vlaue (Cr)'!$C:$FB,43)</f>
        <v>306</v>
      </c>
      <c r="H54" s="49">
        <f>VLOOKUP($A54,'Data Vlaue (Cr)'!$C:$FB,44)</f>
        <v>498</v>
      </c>
      <c r="I54" s="49">
        <f>VLOOKUP($A54,'Data Vlaue (Cr)'!$C:$FB,46)*100</f>
        <v>-38.64</v>
      </c>
      <c r="J54" s="51">
        <f>VLOOKUP($A54,'Data Vlaue (Cr)'!$C:$FB,59)</f>
        <v>858</v>
      </c>
      <c r="K54" s="51">
        <f>VLOOKUP($A54,'Data Vlaue (Cr)'!$C:$FB,60)</f>
        <v>2348</v>
      </c>
      <c r="L54" s="51">
        <f>VLOOKUP($A54,'Data Vlaue (Cr)'!$C:$FB,62)*100</f>
        <v>-63.449999999999996</v>
      </c>
      <c r="M54" s="51">
        <f>VLOOKUP($A54,'Data Vlaue (Cr)'!$C:$FB,63)</f>
        <v>476</v>
      </c>
      <c r="N54" s="51">
        <f>VLOOKUP($A54,'Data Vlaue (Cr)'!$C:$FB,64)</f>
        <v>1061</v>
      </c>
      <c r="O54" s="51">
        <f>VLOOKUP($A54,'Data Vlaue (Cr)'!$C:$FB,66)*100</f>
        <v>-55.19</v>
      </c>
    </row>
    <row r="55" spans="1:15" x14ac:dyDescent="0.25">
      <c r="A55" s="101" t="str">
        <f>'Data Vlaue (Cr)'!C50</f>
        <v>COLPAL</v>
      </c>
      <c r="B55" s="50">
        <f>VLOOKUP($A55,'Data Vlaue (Cr)'!$C:$FB,8)</f>
        <v>2106</v>
      </c>
      <c r="C55" s="50">
        <f>VLOOKUP($A55,'Data Vlaue (Cr)'!$C:$FB,11)*100</f>
        <v>6.5</v>
      </c>
      <c r="D55" s="50">
        <f>VLOOKUP($A55,'Data Vlaue (Cr)'!$C:$FB,143)</f>
        <v>8840.01</v>
      </c>
      <c r="E55" s="50">
        <f>VLOOKUP($A55,'Data Vlaue (Cr)'!$C:$FB,144)</f>
        <v>1076.43</v>
      </c>
      <c r="F55" s="50">
        <f>VLOOKUP($A55,'Data Vlaue (Cr)'!$C:$FB,146)*100</f>
        <v>721.23</v>
      </c>
      <c r="G55" s="49">
        <f>VLOOKUP($A55,'Data Vlaue (Cr)'!$C:$FB,43)</f>
        <v>667</v>
      </c>
      <c r="H55" s="49">
        <f>VLOOKUP($A55,'Data Vlaue (Cr)'!$C:$FB,44)</f>
        <v>212</v>
      </c>
      <c r="I55" s="49">
        <f>VLOOKUP($A55,'Data Vlaue (Cr)'!$C:$FB,46)*100</f>
        <v>215.20999999999998</v>
      </c>
      <c r="J55" s="51">
        <f>VLOOKUP($A55,'Data Vlaue (Cr)'!$C:$FB,59)</f>
        <v>5869</v>
      </c>
      <c r="K55" s="51">
        <f>VLOOKUP($A55,'Data Vlaue (Cr)'!$C:$FB,60)</f>
        <v>684</v>
      </c>
      <c r="L55" s="51">
        <f>VLOOKUP($A55,'Data Vlaue (Cr)'!$C:$FB,62)*100</f>
        <v>758.38</v>
      </c>
      <c r="M55" s="51">
        <f>VLOOKUP($A55,'Data Vlaue (Cr)'!$C:$FB,63)</f>
        <v>2207</v>
      </c>
      <c r="N55" s="51">
        <f>VLOOKUP($A55,'Data Vlaue (Cr)'!$C:$FB,64)</f>
        <v>232</v>
      </c>
      <c r="O55" s="51">
        <f>VLOOKUP($A55,'Data Vlaue (Cr)'!$C:$FB,66)*100</f>
        <v>851.74</v>
      </c>
    </row>
    <row r="56" spans="1:15" x14ac:dyDescent="0.25">
      <c r="A56" s="101" t="str">
        <f>'Data Vlaue (Cr)'!C51</f>
        <v>CONCOR</v>
      </c>
      <c r="B56" s="50">
        <f>VLOOKUP($A56,'Data Vlaue (Cr)'!$C:$FB,8)</f>
        <v>503.1</v>
      </c>
      <c r="C56" s="50">
        <f>VLOOKUP($A56,'Data Vlaue (Cr)'!$C:$FB,11)*100</f>
        <v>0.16999999999999998</v>
      </c>
      <c r="D56" s="50">
        <f>VLOOKUP($A56,'Data Vlaue (Cr)'!$C:$FB,143)</f>
        <v>737.28</v>
      </c>
      <c r="E56" s="50">
        <f>VLOOKUP($A56,'Data Vlaue (Cr)'!$C:$FB,144)</f>
        <v>990.02</v>
      </c>
      <c r="F56" s="50">
        <f>VLOOKUP($A56,'Data Vlaue (Cr)'!$C:$FB,146)*100</f>
        <v>-25.53</v>
      </c>
      <c r="G56" s="49">
        <f>VLOOKUP($A56,'Data Vlaue (Cr)'!$C:$FB,43)</f>
        <v>228</v>
      </c>
      <c r="H56" s="49">
        <f>VLOOKUP($A56,'Data Vlaue (Cr)'!$C:$FB,44)</f>
        <v>192</v>
      </c>
      <c r="I56" s="49">
        <f>VLOOKUP($A56,'Data Vlaue (Cr)'!$C:$FB,46)*100</f>
        <v>18.88</v>
      </c>
      <c r="J56" s="51">
        <f>VLOOKUP($A56,'Data Vlaue (Cr)'!$C:$FB,59)</f>
        <v>351</v>
      </c>
      <c r="K56" s="51">
        <f>VLOOKUP($A56,'Data Vlaue (Cr)'!$C:$FB,60)</f>
        <v>634</v>
      </c>
      <c r="L56" s="51">
        <f>VLOOKUP($A56,'Data Vlaue (Cr)'!$C:$FB,62)*100</f>
        <v>-44.57</v>
      </c>
      <c r="M56" s="51">
        <f>VLOOKUP($A56,'Data Vlaue (Cr)'!$C:$FB,63)</f>
        <v>145</v>
      </c>
      <c r="N56" s="51">
        <f>VLOOKUP($A56,'Data Vlaue (Cr)'!$C:$FB,64)</f>
        <v>156</v>
      </c>
      <c r="O56" s="51">
        <f>VLOOKUP($A56,'Data Vlaue (Cr)'!$C:$FB,66)*100</f>
        <v>-6.88</v>
      </c>
    </row>
    <row r="57" spans="1:15" x14ac:dyDescent="0.25">
      <c r="A57" s="101" t="str">
        <f>'Data Vlaue (Cr)'!C52</f>
        <v>CROMPTON</v>
      </c>
      <c r="B57" s="50">
        <f>VLOOKUP($A57,'Data Vlaue (Cr)'!$C:$FB,8)</f>
        <v>261.45</v>
      </c>
      <c r="C57" s="50">
        <f>VLOOKUP($A57,'Data Vlaue (Cr)'!$C:$FB,11)*100</f>
        <v>0.18</v>
      </c>
      <c r="D57" s="50">
        <f>VLOOKUP($A57,'Data Vlaue (Cr)'!$C:$FB,143)</f>
        <v>810.03</v>
      </c>
      <c r="E57" s="50">
        <f>VLOOKUP($A57,'Data Vlaue (Cr)'!$C:$FB,144)</f>
        <v>2003</v>
      </c>
      <c r="F57" s="50">
        <f>VLOOKUP($A57,'Data Vlaue (Cr)'!$C:$FB,146)*100</f>
        <v>-59.56</v>
      </c>
      <c r="G57" s="49">
        <f>VLOOKUP($A57,'Data Vlaue (Cr)'!$C:$FB,43)</f>
        <v>139</v>
      </c>
      <c r="H57" s="49">
        <f>VLOOKUP($A57,'Data Vlaue (Cr)'!$C:$FB,44)</f>
        <v>280</v>
      </c>
      <c r="I57" s="49">
        <f>VLOOKUP($A57,'Data Vlaue (Cr)'!$C:$FB,46)*100</f>
        <v>-50.43</v>
      </c>
      <c r="J57" s="51">
        <f>VLOOKUP($A57,'Data Vlaue (Cr)'!$C:$FB,59)</f>
        <v>454</v>
      </c>
      <c r="K57" s="51">
        <f>VLOOKUP($A57,'Data Vlaue (Cr)'!$C:$FB,60)</f>
        <v>1277</v>
      </c>
      <c r="L57" s="51">
        <f>VLOOKUP($A57,'Data Vlaue (Cr)'!$C:$FB,62)*100</f>
        <v>-64.429999999999993</v>
      </c>
      <c r="M57" s="51">
        <f>VLOOKUP($A57,'Data Vlaue (Cr)'!$C:$FB,63)</f>
        <v>201</v>
      </c>
      <c r="N57" s="51">
        <f>VLOOKUP($A57,'Data Vlaue (Cr)'!$C:$FB,64)</f>
        <v>437</v>
      </c>
      <c r="O57" s="51">
        <f>VLOOKUP($A57,'Data Vlaue (Cr)'!$C:$FB,66)*100</f>
        <v>-54.11</v>
      </c>
    </row>
    <row r="58" spans="1:15" x14ac:dyDescent="0.25">
      <c r="A58" s="101" t="str">
        <f>'Data Vlaue (Cr)'!C53</f>
        <v>CUMMINSIND</v>
      </c>
      <c r="B58" s="50">
        <f>VLOOKUP($A58,'Data Vlaue (Cr)'!$C:$FB,8)</f>
        <v>5140.8999999999996</v>
      </c>
      <c r="C58" s="50">
        <f>VLOOKUP($A58,'Data Vlaue (Cr)'!$C:$FB,11)*100</f>
        <v>2.04</v>
      </c>
      <c r="D58" s="50">
        <f>VLOOKUP($A58,'Data Vlaue (Cr)'!$C:$FB,143)</f>
        <v>3943.35</v>
      </c>
      <c r="E58" s="50">
        <f>VLOOKUP($A58,'Data Vlaue (Cr)'!$C:$FB,144)</f>
        <v>1746.84</v>
      </c>
      <c r="F58" s="50">
        <f>VLOOKUP($A58,'Data Vlaue (Cr)'!$C:$FB,146)*100</f>
        <v>125.74000000000001</v>
      </c>
      <c r="G58" s="49">
        <f>VLOOKUP($A58,'Data Vlaue (Cr)'!$C:$FB,43)</f>
        <v>742</v>
      </c>
      <c r="H58" s="49">
        <f>VLOOKUP($A58,'Data Vlaue (Cr)'!$C:$FB,44)</f>
        <v>311</v>
      </c>
      <c r="I58" s="49">
        <f>VLOOKUP($A58,'Data Vlaue (Cr)'!$C:$FB,46)*100</f>
        <v>138.23000000000002</v>
      </c>
      <c r="J58" s="51">
        <f>VLOOKUP($A58,'Data Vlaue (Cr)'!$C:$FB,59)</f>
        <v>2469</v>
      </c>
      <c r="K58" s="51">
        <f>VLOOKUP($A58,'Data Vlaue (Cr)'!$C:$FB,60)</f>
        <v>987</v>
      </c>
      <c r="L58" s="51">
        <f>VLOOKUP($A58,'Data Vlaue (Cr)'!$C:$FB,62)*100</f>
        <v>150.07</v>
      </c>
      <c r="M58" s="51">
        <f>VLOOKUP($A58,'Data Vlaue (Cr)'!$C:$FB,63)</f>
        <v>673</v>
      </c>
      <c r="N58" s="51">
        <f>VLOOKUP($A58,'Data Vlaue (Cr)'!$C:$FB,64)</f>
        <v>453</v>
      </c>
      <c r="O58" s="51">
        <f>VLOOKUP($A58,'Data Vlaue (Cr)'!$C:$FB,66)*100</f>
        <v>48.55</v>
      </c>
    </row>
    <row r="59" spans="1:15" x14ac:dyDescent="0.25">
      <c r="A59" s="101" t="str">
        <f>'Data Vlaue (Cr)'!C54</f>
        <v>DABUR</v>
      </c>
      <c r="B59" s="50">
        <f>VLOOKUP($A59,'Data Vlaue (Cr)'!$C:$FB,8)</f>
        <v>442.85</v>
      </c>
      <c r="C59" s="50">
        <f>VLOOKUP($A59,'Data Vlaue (Cr)'!$C:$FB,11)*100</f>
        <v>3.58</v>
      </c>
      <c r="D59" s="50">
        <f>VLOOKUP($A59,'Data Vlaue (Cr)'!$C:$FB,143)</f>
        <v>2653.61</v>
      </c>
      <c r="E59" s="50">
        <f>VLOOKUP($A59,'Data Vlaue (Cr)'!$C:$FB,144)</f>
        <v>1263.1400000000001</v>
      </c>
      <c r="F59" s="50">
        <f>VLOOKUP($A59,'Data Vlaue (Cr)'!$C:$FB,146)*100</f>
        <v>110.08</v>
      </c>
      <c r="G59" s="49">
        <f>VLOOKUP($A59,'Data Vlaue (Cr)'!$C:$FB,43)</f>
        <v>379</v>
      </c>
      <c r="H59" s="49">
        <f>VLOOKUP($A59,'Data Vlaue (Cr)'!$C:$FB,44)</f>
        <v>429</v>
      </c>
      <c r="I59" s="49">
        <f>VLOOKUP($A59,'Data Vlaue (Cr)'!$C:$FB,46)*100</f>
        <v>-11.82</v>
      </c>
      <c r="J59" s="51">
        <f>VLOOKUP($A59,'Data Vlaue (Cr)'!$C:$FB,59)</f>
        <v>1697</v>
      </c>
      <c r="K59" s="51">
        <f>VLOOKUP($A59,'Data Vlaue (Cr)'!$C:$FB,60)</f>
        <v>594</v>
      </c>
      <c r="L59" s="51">
        <f>VLOOKUP($A59,'Data Vlaue (Cr)'!$C:$FB,62)*100</f>
        <v>185.54999999999998</v>
      </c>
      <c r="M59" s="51">
        <f>VLOOKUP($A59,'Data Vlaue (Cr)'!$C:$FB,63)</f>
        <v>513</v>
      </c>
      <c r="N59" s="51">
        <f>VLOOKUP($A59,'Data Vlaue (Cr)'!$C:$FB,64)</f>
        <v>244</v>
      </c>
      <c r="O59" s="51">
        <f>VLOOKUP($A59,'Data Vlaue (Cr)'!$C:$FB,66)*100</f>
        <v>110.25</v>
      </c>
    </row>
    <row r="60" spans="1:15" x14ac:dyDescent="0.25">
      <c r="A60" s="101" t="str">
        <f>'Data Vlaue (Cr)'!C55</f>
        <v>DALBHARAT</v>
      </c>
      <c r="B60" s="50">
        <f>VLOOKUP($A60,'Data Vlaue (Cr)'!$C:$FB,8)</f>
        <v>1971.7</v>
      </c>
      <c r="C60" s="50">
        <f>VLOOKUP($A60,'Data Vlaue (Cr)'!$C:$FB,11)*100</f>
        <v>-0.15</v>
      </c>
      <c r="D60" s="50">
        <f>VLOOKUP($A60,'Data Vlaue (Cr)'!$C:$FB,143)</f>
        <v>401.53</v>
      </c>
      <c r="E60" s="50">
        <f>VLOOKUP($A60,'Data Vlaue (Cr)'!$C:$FB,144)</f>
        <v>380.78</v>
      </c>
      <c r="F60" s="50">
        <f>VLOOKUP($A60,'Data Vlaue (Cr)'!$C:$FB,146)*100</f>
        <v>5.45</v>
      </c>
      <c r="G60" s="49">
        <f>VLOOKUP($A60,'Data Vlaue (Cr)'!$C:$FB,43)</f>
        <v>114</v>
      </c>
      <c r="H60" s="49">
        <f>VLOOKUP($A60,'Data Vlaue (Cr)'!$C:$FB,44)</f>
        <v>81</v>
      </c>
      <c r="I60" s="49">
        <f>VLOOKUP($A60,'Data Vlaue (Cr)'!$C:$FB,46)*100</f>
        <v>41.339999999999996</v>
      </c>
      <c r="J60" s="51">
        <f>VLOOKUP($A60,'Data Vlaue (Cr)'!$C:$FB,59)</f>
        <v>189</v>
      </c>
      <c r="K60" s="51">
        <f>VLOOKUP($A60,'Data Vlaue (Cr)'!$C:$FB,60)</f>
        <v>196</v>
      </c>
      <c r="L60" s="51">
        <f>VLOOKUP($A60,'Data Vlaue (Cr)'!$C:$FB,62)*100</f>
        <v>-3.64</v>
      </c>
      <c r="M60" s="51">
        <f>VLOOKUP($A60,'Data Vlaue (Cr)'!$C:$FB,63)</f>
        <v>83</v>
      </c>
      <c r="N60" s="51">
        <f>VLOOKUP($A60,'Data Vlaue (Cr)'!$C:$FB,64)</f>
        <v>84</v>
      </c>
      <c r="O60" s="51">
        <f>VLOOKUP($A60,'Data Vlaue (Cr)'!$C:$FB,66)*100</f>
        <v>-0.45999999999999996</v>
      </c>
    </row>
    <row r="61" spans="1:15" x14ac:dyDescent="0.25">
      <c r="A61" s="101" t="str">
        <f>'Data Vlaue (Cr)'!C56</f>
        <v>DELHIVERY</v>
      </c>
      <c r="B61" s="50">
        <f>VLOOKUP($A61,'Data Vlaue (Cr)'!$C:$FB,8)</f>
        <v>463</v>
      </c>
      <c r="C61" s="50">
        <f>VLOOKUP($A61,'Data Vlaue (Cr)'!$C:$FB,11)*100</f>
        <v>0.71000000000000008</v>
      </c>
      <c r="D61" s="50">
        <f>VLOOKUP($A61,'Data Vlaue (Cr)'!$C:$FB,143)</f>
        <v>2163.87</v>
      </c>
      <c r="E61" s="50">
        <f>VLOOKUP($A61,'Data Vlaue (Cr)'!$C:$FB,144)</f>
        <v>916.99</v>
      </c>
      <c r="F61" s="50">
        <f>VLOOKUP($A61,'Data Vlaue (Cr)'!$C:$FB,146)*100</f>
        <v>135.97999999999999</v>
      </c>
      <c r="G61" s="49">
        <f>VLOOKUP($A61,'Data Vlaue (Cr)'!$C:$FB,43)</f>
        <v>340</v>
      </c>
      <c r="H61" s="49">
        <f>VLOOKUP($A61,'Data Vlaue (Cr)'!$C:$FB,44)</f>
        <v>264</v>
      </c>
      <c r="I61" s="49">
        <f>VLOOKUP($A61,'Data Vlaue (Cr)'!$C:$FB,46)*100</f>
        <v>28.79</v>
      </c>
      <c r="J61" s="51">
        <f>VLOOKUP($A61,'Data Vlaue (Cr)'!$C:$FB,59)</f>
        <v>1442</v>
      </c>
      <c r="K61" s="51">
        <f>VLOOKUP($A61,'Data Vlaue (Cr)'!$C:$FB,60)</f>
        <v>498</v>
      </c>
      <c r="L61" s="51">
        <f>VLOOKUP($A61,'Data Vlaue (Cr)'!$C:$FB,62)*100</f>
        <v>189.81</v>
      </c>
      <c r="M61" s="51">
        <f>VLOOKUP($A61,'Data Vlaue (Cr)'!$C:$FB,63)</f>
        <v>312</v>
      </c>
      <c r="N61" s="51">
        <f>VLOOKUP($A61,'Data Vlaue (Cr)'!$C:$FB,64)</f>
        <v>139</v>
      </c>
      <c r="O61" s="51">
        <f>VLOOKUP($A61,'Data Vlaue (Cr)'!$C:$FB,66)*100</f>
        <v>125.61</v>
      </c>
    </row>
    <row r="62" spans="1:15" x14ac:dyDescent="0.25">
      <c r="A62" s="101" t="str">
        <f>'Data Vlaue (Cr)'!C57</f>
        <v>DIVISLAB</v>
      </c>
      <c r="B62" s="50">
        <f>VLOOKUP($A62,'Data Vlaue (Cr)'!$C:$FB,8)</f>
        <v>6229</v>
      </c>
      <c r="C62" s="50">
        <f>VLOOKUP($A62,'Data Vlaue (Cr)'!$C:$FB,11)*100</f>
        <v>-1.02</v>
      </c>
      <c r="D62" s="50">
        <f>VLOOKUP($A62,'Data Vlaue (Cr)'!$C:$FB,143)</f>
        <v>1157.17</v>
      </c>
      <c r="E62" s="50">
        <f>VLOOKUP($A62,'Data Vlaue (Cr)'!$C:$FB,144)</f>
        <v>1800.28</v>
      </c>
      <c r="F62" s="50">
        <f>VLOOKUP($A62,'Data Vlaue (Cr)'!$C:$FB,146)*100</f>
        <v>-35.72</v>
      </c>
      <c r="G62" s="49">
        <f>VLOOKUP($A62,'Data Vlaue (Cr)'!$C:$FB,43)</f>
        <v>123</v>
      </c>
      <c r="H62" s="49">
        <f>VLOOKUP($A62,'Data Vlaue (Cr)'!$C:$FB,44)</f>
        <v>202</v>
      </c>
      <c r="I62" s="49">
        <f>VLOOKUP($A62,'Data Vlaue (Cr)'!$C:$FB,46)*100</f>
        <v>-39.229999999999997</v>
      </c>
      <c r="J62" s="51">
        <f>VLOOKUP($A62,'Data Vlaue (Cr)'!$C:$FB,59)</f>
        <v>646</v>
      </c>
      <c r="K62" s="51">
        <f>VLOOKUP($A62,'Data Vlaue (Cr)'!$C:$FB,60)</f>
        <v>1071</v>
      </c>
      <c r="L62" s="51">
        <f>VLOOKUP($A62,'Data Vlaue (Cr)'!$C:$FB,62)*100</f>
        <v>-39.68</v>
      </c>
      <c r="M62" s="51">
        <f>VLOOKUP($A62,'Data Vlaue (Cr)'!$C:$FB,63)</f>
        <v>367</v>
      </c>
      <c r="N62" s="51">
        <f>VLOOKUP($A62,'Data Vlaue (Cr)'!$C:$FB,64)</f>
        <v>500</v>
      </c>
      <c r="O62" s="51">
        <f>VLOOKUP($A62,'Data Vlaue (Cr)'!$C:$FB,66)*100</f>
        <v>-26.55</v>
      </c>
    </row>
    <row r="63" spans="1:15" x14ac:dyDescent="0.25">
      <c r="A63" s="101" t="str">
        <f>'Data Vlaue (Cr)'!C58</f>
        <v>DIXON</v>
      </c>
      <c r="B63" s="50">
        <f>VLOOKUP($A63,'Data Vlaue (Cr)'!$C:$FB,8)</f>
        <v>11371.5</v>
      </c>
      <c r="C63" s="50">
        <f>VLOOKUP($A63,'Data Vlaue (Cr)'!$C:$FB,11)*100</f>
        <v>0.75</v>
      </c>
      <c r="D63" s="50">
        <f>VLOOKUP($A63,'Data Vlaue (Cr)'!$C:$FB,143)</f>
        <v>7299.37</v>
      </c>
      <c r="E63" s="50">
        <f>VLOOKUP($A63,'Data Vlaue (Cr)'!$C:$FB,144)</f>
        <v>10857.61</v>
      </c>
      <c r="F63" s="50">
        <f>VLOOKUP($A63,'Data Vlaue (Cr)'!$C:$FB,146)*100</f>
        <v>-32.769999999999996</v>
      </c>
      <c r="G63" s="49">
        <f>VLOOKUP($A63,'Data Vlaue (Cr)'!$C:$FB,43)</f>
        <v>1059</v>
      </c>
      <c r="H63" s="49">
        <f>VLOOKUP($A63,'Data Vlaue (Cr)'!$C:$FB,44)</f>
        <v>1549</v>
      </c>
      <c r="I63" s="49">
        <f>VLOOKUP($A63,'Data Vlaue (Cr)'!$C:$FB,46)*100</f>
        <v>-31.61</v>
      </c>
      <c r="J63" s="51">
        <f>VLOOKUP($A63,'Data Vlaue (Cr)'!$C:$FB,59)</f>
        <v>3955</v>
      </c>
      <c r="K63" s="51">
        <f>VLOOKUP($A63,'Data Vlaue (Cr)'!$C:$FB,60)</f>
        <v>6627</v>
      </c>
      <c r="L63" s="51">
        <f>VLOOKUP($A63,'Data Vlaue (Cr)'!$C:$FB,62)*100</f>
        <v>-40.32</v>
      </c>
      <c r="M63" s="51">
        <f>VLOOKUP($A63,'Data Vlaue (Cr)'!$C:$FB,63)</f>
        <v>2202</v>
      </c>
      <c r="N63" s="51">
        <f>VLOOKUP($A63,'Data Vlaue (Cr)'!$C:$FB,64)</f>
        <v>2546</v>
      </c>
      <c r="O63" s="51">
        <f>VLOOKUP($A63,'Data Vlaue (Cr)'!$C:$FB,66)*100</f>
        <v>-13.530000000000001</v>
      </c>
    </row>
    <row r="64" spans="1:15" x14ac:dyDescent="0.25">
      <c r="A64" s="101" t="str">
        <f>'Data Vlaue (Cr)'!C59</f>
        <v>DLF</v>
      </c>
      <c r="B64" s="50">
        <f>VLOOKUP($A64,'Data Vlaue (Cr)'!$C:$FB,8)</f>
        <v>601.75</v>
      </c>
      <c r="C64" s="50">
        <f>VLOOKUP($A64,'Data Vlaue (Cr)'!$C:$FB,11)*100</f>
        <v>2.04</v>
      </c>
      <c r="D64" s="50">
        <f>VLOOKUP($A64,'Data Vlaue (Cr)'!$C:$FB,143)</f>
        <v>2477.54</v>
      </c>
      <c r="E64" s="50">
        <f>VLOOKUP($A64,'Data Vlaue (Cr)'!$C:$FB,144)</f>
        <v>1500.89</v>
      </c>
      <c r="F64" s="50">
        <f>VLOOKUP($A64,'Data Vlaue (Cr)'!$C:$FB,146)*100</f>
        <v>65.069999999999993</v>
      </c>
      <c r="G64" s="49">
        <f>VLOOKUP($A64,'Data Vlaue (Cr)'!$C:$FB,43)</f>
        <v>587</v>
      </c>
      <c r="H64" s="49">
        <f>VLOOKUP($A64,'Data Vlaue (Cr)'!$C:$FB,44)</f>
        <v>316</v>
      </c>
      <c r="I64" s="49">
        <f>VLOOKUP($A64,'Data Vlaue (Cr)'!$C:$FB,46)*100</f>
        <v>85.95</v>
      </c>
      <c r="J64" s="51">
        <f>VLOOKUP($A64,'Data Vlaue (Cr)'!$C:$FB,59)</f>
        <v>1028</v>
      </c>
      <c r="K64" s="51">
        <f>VLOOKUP($A64,'Data Vlaue (Cr)'!$C:$FB,60)</f>
        <v>661</v>
      </c>
      <c r="L64" s="51">
        <f>VLOOKUP($A64,'Data Vlaue (Cr)'!$C:$FB,62)*100</f>
        <v>55.45</v>
      </c>
      <c r="M64" s="51">
        <f>VLOOKUP($A64,'Data Vlaue (Cr)'!$C:$FB,63)</f>
        <v>865</v>
      </c>
      <c r="N64" s="51">
        <f>VLOOKUP($A64,'Data Vlaue (Cr)'!$C:$FB,64)</f>
        <v>544</v>
      </c>
      <c r="O64" s="51">
        <f>VLOOKUP($A64,'Data Vlaue (Cr)'!$C:$FB,66)*100</f>
        <v>58.91</v>
      </c>
    </row>
    <row r="65" spans="1:15" x14ac:dyDescent="0.25">
      <c r="A65" s="101" t="str">
        <f>'Data Vlaue (Cr)'!C60</f>
        <v>DMART</v>
      </c>
      <c r="B65" s="50">
        <f>VLOOKUP($A65,'Data Vlaue (Cr)'!$C:$FB,8)</f>
        <v>4628.5</v>
      </c>
      <c r="C65" s="50">
        <f>VLOOKUP($A65,'Data Vlaue (Cr)'!$C:$FB,11)*100</f>
        <v>4.5199999999999996</v>
      </c>
      <c r="D65" s="50">
        <f>VLOOKUP($A65,'Data Vlaue (Cr)'!$C:$FB,143)</f>
        <v>7246.53</v>
      </c>
      <c r="E65" s="50">
        <f>VLOOKUP($A65,'Data Vlaue (Cr)'!$C:$FB,144)</f>
        <v>2124.2399999999998</v>
      </c>
      <c r="F65" s="50">
        <f>VLOOKUP($A65,'Data Vlaue (Cr)'!$C:$FB,146)*100</f>
        <v>241.13000000000002</v>
      </c>
      <c r="G65" s="49">
        <f>VLOOKUP($A65,'Data Vlaue (Cr)'!$C:$FB,43)</f>
        <v>676</v>
      </c>
      <c r="H65" s="49">
        <f>VLOOKUP($A65,'Data Vlaue (Cr)'!$C:$FB,44)</f>
        <v>371</v>
      </c>
      <c r="I65" s="49">
        <f>VLOOKUP($A65,'Data Vlaue (Cr)'!$C:$FB,46)*100</f>
        <v>82.05</v>
      </c>
      <c r="J65" s="51">
        <f>VLOOKUP($A65,'Data Vlaue (Cr)'!$C:$FB,59)</f>
        <v>4507</v>
      </c>
      <c r="K65" s="51">
        <f>VLOOKUP($A65,'Data Vlaue (Cr)'!$C:$FB,60)</f>
        <v>1157</v>
      </c>
      <c r="L65" s="51">
        <f>VLOOKUP($A65,'Data Vlaue (Cr)'!$C:$FB,62)*100</f>
        <v>289.59999999999997</v>
      </c>
      <c r="M65" s="51">
        <f>VLOOKUP($A65,'Data Vlaue (Cr)'!$C:$FB,63)</f>
        <v>2025</v>
      </c>
      <c r="N65" s="51">
        <f>VLOOKUP($A65,'Data Vlaue (Cr)'!$C:$FB,64)</f>
        <v>660</v>
      </c>
      <c r="O65" s="51">
        <f>VLOOKUP($A65,'Data Vlaue (Cr)'!$C:$FB,66)*100</f>
        <v>206.57000000000002</v>
      </c>
    </row>
    <row r="66" spans="1:15" x14ac:dyDescent="0.25">
      <c r="A66" s="101" t="str">
        <f>'Data Vlaue (Cr)'!C61</f>
        <v>DRREDDY</v>
      </c>
      <c r="B66" s="50">
        <f>VLOOKUP($A66,'Data Vlaue (Cr)'!$C:$FB,8)</f>
        <v>1235.7</v>
      </c>
      <c r="C66" s="50">
        <f>VLOOKUP($A66,'Data Vlaue (Cr)'!$C:$FB,11)*100</f>
        <v>1.17</v>
      </c>
      <c r="D66" s="50">
        <f>VLOOKUP($A66,'Data Vlaue (Cr)'!$C:$FB,143)</f>
        <v>1983.56</v>
      </c>
      <c r="E66" s="50">
        <f>VLOOKUP($A66,'Data Vlaue (Cr)'!$C:$FB,144)</f>
        <v>2058.0700000000002</v>
      </c>
      <c r="F66" s="50">
        <f>VLOOKUP($A66,'Data Vlaue (Cr)'!$C:$FB,146)*100</f>
        <v>-3.62</v>
      </c>
      <c r="G66" s="49">
        <f>VLOOKUP($A66,'Data Vlaue (Cr)'!$C:$FB,43)</f>
        <v>282</v>
      </c>
      <c r="H66" s="49">
        <f>VLOOKUP($A66,'Data Vlaue (Cr)'!$C:$FB,44)</f>
        <v>333</v>
      </c>
      <c r="I66" s="49">
        <f>VLOOKUP($A66,'Data Vlaue (Cr)'!$C:$FB,46)*100</f>
        <v>-15.1</v>
      </c>
      <c r="J66" s="51">
        <f>VLOOKUP($A66,'Data Vlaue (Cr)'!$C:$FB,59)</f>
        <v>1182</v>
      </c>
      <c r="K66" s="51">
        <f>VLOOKUP($A66,'Data Vlaue (Cr)'!$C:$FB,60)</f>
        <v>1130</v>
      </c>
      <c r="L66" s="51">
        <f>VLOOKUP($A66,'Data Vlaue (Cr)'!$C:$FB,62)*100</f>
        <v>4.5600000000000005</v>
      </c>
      <c r="M66" s="51">
        <f>VLOOKUP($A66,'Data Vlaue (Cr)'!$C:$FB,63)</f>
        <v>497</v>
      </c>
      <c r="N66" s="51">
        <f>VLOOKUP($A66,'Data Vlaue (Cr)'!$C:$FB,64)</f>
        <v>582</v>
      </c>
      <c r="O66" s="51">
        <f>VLOOKUP($A66,'Data Vlaue (Cr)'!$C:$FB,66)*100</f>
        <v>-14.52</v>
      </c>
    </row>
    <row r="67" spans="1:15" x14ac:dyDescent="0.25">
      <c r="A67" s="101" t="str">
        <f>'Data Vlaue (Cr)'!C62</f>
        <v>EICHERMOT</v>
      </c>
      <c r="B67" s="50">
        <f>VLOOKUP($A67,'Data Vlaue (Cr)'!$C:$FB,8)</f>
        <v>7189.5</v>
      </c>
      <c r="C67" s="50">
        <f>VLOOKUP($A67,'Data Vlaue (Cr)'!$C:$FB,11)*100</f>
        <v>0.82000000000000006</v>
      </c>
      <c r="D67" s="50">
        <f>VLOOKUP($A67,'Data Vlaue (Cr)'!$C:$FB,143)</f>
        <v>3574.48</v>
      </c>
      <c r="E67" s="50">
        <f>VLOOKUP($A67,'Data Vlaue (Cr)'!$C:$FB,144)</f>
        <v>3780.91</v>
      </c>
      <c r="F67" s="50">
        <f>VLOOKUP($A67,'Data Vlaue (Cr)'!$C:$FB,146)*100</f>
        <v>-5.46</v>
      </c>
      <c r="G67" s="49">
        <f>VLOOKUP($A67,'Data Vlaue (Cr)'!$C:$FB,43)</f>
        <v>345</v>
      </c>
      <c r="H67" s="49">
        <f>VLOOKUP($A67,'Data Vlaue (Cr)'!$C:$FB,44)</f>
        <v>690</v>
      </c>
      <c r="I67" s="49">
        <f>VLOOKUP($A67,'Data Vlaue (Cr)'!$C:$FB,46)*100</f>
        <v>-49.980000000000004</v>
      </c>
      <c r="J67" s="51">
        <f>VLOOKUP($A67,'Data Vlaue (Cr)'!$C:$FB,59)</f>
        <v>2362</v>
      </c>
      <c r="K67" s="51">
        <f>VLOOKUP($A67,'Data Vlaue (Cr)'!$C:$FB,60)</f>
        <v>1993</v>
      </c>
      <c r="L67" s="51">
        <f>VLOOKUP($A67,'Data Vlaue (Cr)'!$C:$FB,62)*100</f>
        <v>18.509999999999998</v>
      </c>
      <c r="M67" s="51">
        <f>VLOOKUP($A67,'Data Vlaue (Cr)'!$C:$FB,63)</f>
        <v>792</v>
      </c>
      <c r="N67" s="51">
        <f>VLOOKUP($A67,'Data Vlaue (Cr)'!$C:$FB,64)</f>
        <v>1053</v>
      </c>
      <c r="O67" s="51">
        <f>VLOOKUP($A67,'Data Vlaue (Cr)'!$C:$FB,66)*100</f>
        <v>-24.779999999999998</v>
      </c>
    </row>
    <row r="68" spans="1:15" x14ac:dyDescent="0.25">
      <c r="A68" s="101" t="str">
        <f>'Data Vlaue (Cr)'!C63</f>
        <v>ETERNAL</v>
      </c>
      <c r="B68" s="50">
        <f>VLOOKUP($A68,'Data Vlaue (Cr)'!$C:$FB,8)</f>
        <v>252.61</v>
      </c>
      <c r="C68" s="50">
        <f>VLOOKUP($A68,'Data Vlaue (Cr)'!$C:$FB,11)*100</f>
        <v>-0.04</v>
      </c>
      <c r="D68" s="50">
        <f>VLOOKUP($A68,'Data Vlaue (Cr)'!$C:$FB,143)</f>
        <v>4230.0600000000004</v>
      </c>
      <c r="E68" s="50">
        <f>VLOOKUP($A68,'Data Vlaue (Cr)'!$C:$FB,144)</f>
        <v>5408.49</v>
      </c>
      <c r="F68" s="50">
        <f>VLOOKUP($A68,'Data Vlaue (Cr)'!$C:$FB,146)*100</f>
        <v>-21.790000000000003</v>
      </c>
      <c r="G68" s="49">
        <f>VLOOKUP($A68,'Data Vlaue (Cr)'!$C:$FB,43)</f>
        <v>905</v>
      </c>
      <c r="H68" s="49">
        <f>VLOOKUP($A68,'Data Vlaue (Cr)'!$C:$FB,44)</f>
        <v>1060</v>
      </c>
      <c r="I68" s="49">
        <f>VLOOKUP($A68,'Data Vlaue (Cr)'!$C:$FB,46)*100</f>
        <v>-14.67</v>
      </c>
      <c r="J68" s="51">
        <f>VLOOKUP($A68,'Data Vlaue (Cr)'!$C:$FB,59)</f>
        <v>2174</v>
      </c>
      <c r="K68" s="51">
        <f>VLOOKUP($A68,'Data Vlaue (Cr)'!$C:$FB,60)</f>
        <v>2976</v>
      </c>
      <c r="L68" s="51">
        <f>VLOOKUP($A68,'Data Vlaue (Cr)'!$C:$FB,62)*100</f>
        <v>-26.93</v>
      </c>
      <c r="M68" s="51">
        <f>VLOOKUP($A68,'Data Vlaue (Cr)'!$C:$FB,63)</f>
        <v>1064</v>
      </c>
      <c r="N68" s="51">
        <f>VLOOKUP($A68,'Data Vlaue (Cr)'!$C:$FB,64)</f>
        <v>1288</v>
      </c>
      <c r="O68" s="51">
        <f>VLOOKUP($A68,'Data Vlaue (Cr)'!$C:$FB,66)*100</f>
        <v>-17.39</v>
      </c>
    </row>
    <row r="69" spans="1:15" x14ac:dyDescent="0.25">
      <c r="A69" s="101" t="str">
        <f>'Data Vlaue (Cr)'!C64</f>
        <v>EXIDEIND</v>
      </c>
      <c r="B69" s="50">
        <f>VLOOKUP($A69,'Data Vlaue (Cr)'!$C:$FB,8)</f>
        <v>330</v>
      </c>
      <c r="C69" s="50">
        <f>VLOOKUP($A69,'Data Vlaue (Cr)'!$C:$FB,11)*100</f>
        <v>-0.42</v>
      </c>
      <c r="D69" s="50">
        <f>VLOOKUP($A69,'Data Vlaue (Cr)'!$C:$FB,143)</f>
        <v>406.02</v>
      </c>
      <c r="E69" s="50">
        <f>VLOOKUP($A69,'Data Vlaue (Cr)'!$C:$FB,144)</f>
        <v>406.15</v>
      </c>
      <c r="F69" s="50">
        <f>VLOOKUP($A69,'Data Vlaue (Cr)'!$C:$FB,146)*100</f>
        <v>-0.03</v>
      </c>
      <c r="G69" s="49">
        <f>VLOOKUP($A69,'Data Vlaue (Cr)'!$C:$FB,43)</f>
        <v>144</v>
      </c>
      <c r="H69" s="49">
        <f>VLOOKUP($A69,'Data Vlaue (Cr)'!$C:$FB,44)</f>
        <v>113</v>
      </c>
      <c r="I69" s="49">
        <f>VLOOKUP($A69,'Data Vlaue (Cr)'!$C:$FB,46)*100</f>
        <v>27.12</v>
      </c>
      <c r="J69" s="51">
        <f>VLOOKUP($A69,'Data Vlaue (Cr)'!$C:$FB,59)</f>
        <v>168</v>
      </c>
      <c r="K69" s="51">
        <f>VLOOKUP($A69,'Data Vlaue (Cr)'!$C:$FB,60)</f>
        <v>177</v>
      </c>
      <c r="L69" s="51">
        <f>VLOOKUP($A69,'Data Vlaue (Cr)'!$C:$FB,62)*100</f>
        <v>-4.8099999999999996</v>
      </c>
      <c r="M69" s="51">
        <f>VLOOKUP($A69,'Data Vlaue (Cr)'!$C:$FB,63)</f>
        <v>88</v>
      </c>
      <c r="N69" s="51">
        <f>VLOOKUP($A69,'Data Vlaue (Cr)'!$C:$FB,64)</f>
        <v>113</v>
      </c>
      <c r="O69" s="51">
        <f>VLOOKUP($A69,'Data Vlaue (Cr)'!$C:$FB,66)*100</f>
        <v>-22.27</v>
      </c>
    </row>
    <row r="70" spans="1:15" x14ac:dyDescent="0.25">
      <c r="A70" s="101" t="str">
        <f>'Data Vlaue (Cr)'!C65</f>
        <v>FEDERALBNK</v>
      </c>
      <c r="B70" s="50">
        <f>VLOOKUP($A70,'Data Vlaue (Cr)'!$C:$FB,8)</f>
        <v>293.75</v>
      </c>
      <c r="C70" s="50">
        <f>VLOOKUP($A70,'Data Vlaue (Cr)'!$C:$FB,11)*100</f>
        <v>3.29</v>
      </c>
      <c r="D70" s="50">
        <f>VLOOKUP($A70,'Data Vlaue (Cr)'!$C:$FB,143)</f>
        <v>3640.81</v>
      </c>
      <c r="E70" s="50">
        <f>VLOOKUP($A70,'Data Vlaue (Cr)'!$C:$FB,144)</f>
        <v>3106.87</v>
      </c>
      <c r="F70" s="50">
        <f>VLOOKUP($A70,'Data Vlaue (Cr)'!$C:$FB,146)*100</f>
        <v>17.190000000000001</v>
      </c>
      <c r="G70" s="49">
        <f>VLOOKUP($A70,'Data Vlaue (Cr)'!$C:$FB,43)</f>
        <v>567</v>
      </c>
      <c r="H70" s="49">
        <f>VLOOKUP($A70,'Data Vlaue (Cr)'!$C:$FB,44)</f>
        <v>507</v>
      </c>
      <c r="I70" s="49">
        <f>VLOOKUP($A70,'Data Vlaue (Cr)'!$C:$FB,46)*100</f>
        <v>11.81</v>
      </c>
      <c r="J70" s="51">
        <f>VLOOKUP($A70,'Data Vlaue (Cr)'!$C:$FB,59)</f>
        <v>1975</v>
      </c>
      <c r="K70" s="51">
        <f>VLOOKUP($A70,'Data Vlaue (Cr)'!$C:$FB,60)</f>
        <v>1711</v>
      </c>
      <c r="L70" s="51">
        <f>VLOOKUP($A70,'Data Vlaue (Cr)'!$C:$FB,62)*100</f>
        <v>15.379999999999999</v>
      </c>
      <c r="M70" s="51">
        <f>VLOOKUP($A70,'Data Vlaue (Cr)'!$C:$FB,63)</f>
        <v>1092</v>
      </c>
      <c r="N70" s="51">
        <f>VLOOKUP($A70,'Data Vlaue (Cr)'!$C:$FB,64)</f>
        <v>895</v>
      </c>
      <c r="O70" s="51">
        <f>VLOOKUP($A70,'Data Vlaue (Cr)'!$C:$FB,66)*100</f>
        <v>21.92</v>
      </c>
    </row>
    <row r="71" spans="1:15" x14ac:dyDescent="0.25">
      <c r="A71" s="101" t="str">
        <f>'Data Vlaue (Cr)'!C66</f>
        <v>FINNIFTY</v>
      </c>
      <c r="B71" s="50">
        <f>VLOOKUP($A71,'Data Vlaue (Cr)'!$C:$FB,8)</f>
        <v>26521.25</v>
      </c>
      <c r="C71" s="50">
        <f>VLOOKUP($A71,'Data Vlaue (Cr)'!$C:$FB,11)*100</f>
        <v>0.67</v>
      </c>
      <c r="D71" s="50">
        <f>VLOOKUP($A71,'Data Vlaue (Cr)'!$C:$FB,143)</f>
        <v>2490.96</v>
      </c>
      <c r="E71" s="50">
        <f>VLOOKUP($A71,'Data Vlaue (Cr)'!$C:$FB,144)</f>
        <v>2954.85</v>
      </c>
      <c r="F71" s="50">
        <f>VLOOKUP($A71,'Data Vlaue (Cr)'!$C:$FB,146)*100</f>
        <v>-15.7</v>
      </c>
      <c r="G71" s="49">
        <f>VLOOKUP($A71,'Data Vlaue (Cr)'!$C:$FB,43)</f>
        <v>35</v>
      </c>
      <c r="H71" s="49">
        <f>VLOOKUP($A71,'Data Vlaue (Cr)'!$C:$FB,44)</f>
        <v>29</v>
      </c>
      <c r="I71" s="49">
        <f>VLOOKUP($A71,'Data Vlaue (Cr)'!$C:$FB,46)*100</f>
        <v>18.920000000000002</v>
      </c>
      <c r="J71" s="51">
        <f>VLOOKUP($A71,'Data Vlaue (Cr)'!$C:$FB,59)</f>
        <v>1628</v>
      </c>
      <c r="K71" s="51">
        <f>VLOOKUP($A71,'Data Vlaue (Cr)'!$C:$FB,60)</f>
        <v>1670</v>
      </c>
      <c r="L71" s="51">
        <f>VLOOKUP($A71,'Data Vlaue (Cr)'!$C:$FB,62)*100</f>
        <v>-2.5100000000000002</v>
      </c>
      <c r="M71" s="51">
        <f>VLOOKUP($A71,'Data Vlaue (Cr)'!$C:$FB,63)</f>
        <v>811</v>
      </c>
      <c r="N71" s="51">
        <f>VLOOKUP($A71,'Data Vlaue (Cr)'!$C:$FB,64)</f>
        <v>1257</v>
      </c>
      <c r="O71" s="51">
        <f>VLOOKUP($A71,'Data Vlaue (Cr)'!$C:$FB,66)*100</f>
        <v>-35.46</v>
      </c>
    </row>
    <row r="72" spans="1:15" x14ac:dyDescent="0.25">
      <c r="A72" s="101" t="str">
        <f>'Data Vlaue (Cr)'!C67</f>
        <v>FORCEMOT</v>
      </c>
      <c r="B72" s="50">
        <f>VLOOKUP($A72,'Data Vlaue (Cr)'!$C:$FB,8)</f>
        <v>22378</v>
      </c>
      <c r="C72" s="50">
        <f>VLOOKUP($A72,'Data Vlaue (Cr)'!$C:$FB,11)*100</f>
        <v>-0.71000000000000008</v>
      </c>
      <c r="D72" s="50">
        <f>VLOOKUP($A72,'Data Vlaue (Cr)'!$C:$FB,143)</f>
        <v>232.81</v>
      </c>
      <c r="E72" s="50">
        <f>VLOOKUP($A72,'Data Vlaue (Cr)'!$C:$FB,144)</f>
        <v>563.07000000000005</v>
      </c>
      <c r="F72" s="50">
        <f>VLOOKUP($A72,'Data Vlaue (Cr)'!$C:$FB,146)*100</f>
        <v>-58.650000000000006</v>
      </c>
      <c r="G72" s="49">
        <f>VLOOKUP($A72,'Data Vlaue (Cr)'!$C:$FB,43)</f>
        <v>76</v>
      </c>
      <c r="H72" s="49">
        <f>VLOOKUP($A72,'Data Vlaue (Cr)'!$C:$FB,44)</f>
        <v>124</v>
      </c>
      <c r="I72" s="49">
        <f>VLOOKUP($A72,'Data Vlaue (Cr)'!$C:$FB,46)*100</f>
        <v>-38.86</v>
      </c>
      <c r="J72" s="51">
        <f>VLOOKUP($A72,'Data Vlaue (Cr)'!$C:$FB,59)</f>
        <v>119</v>
      </c>
      <c r="K72" s="51">
        <f>VLOOKUP($A72,'Data Vlaue (Cr)'!$C:$FB,60)</f>
        <v>348</v>
      </c>
      <c r="L72" s="51">
        <f>VLOOKUP($A72,'Data Vlaue (Cr)'!$C:$FB,62)*100</f>
        <v>-65.759999999999991</v>
      </c>
      <c r="M72" s="51">
        <f>VLOOKUP($A72,'Data Vlaue (Cr)'!$C:$FB,63)</f>
        <v>28</v>
      </c>
      <c r="N72" s="51">
        <f>VLOOKUP($A72,'Data Vlaue (Cr)'!$C:$FB,64)</f>
        <v>56</v>
      </c>
      <c r="O72" s="51">
        <f>VLOOKUP($A72,'Data Vlaue (Cr)'!$C:$FB,66)*100</f>
        <v>-49.85</v>
      </c>
    </row>
    <row r="73" spans="1:15" x14ac:dyDescent="0.25">
      <c r="A73" s="101" t="str">
        <f>'Data Vlaue (Cr)'!C68</f>
        <v>FORTIS</v>
      </c>
      <c r="B73" s="50">
        <f>VLOOKUP($A73,'Data Vlaue (Cr)'!$C:$FB,8)</f>
        <v>890.2</v>
      </c>
      <c r="C73" s="50">
        <f>VLOOKUP($A73,'Data Vlaue (Cr)'!$C:$FB,11)*100</f>
        <v>1.87</v>
      </c>
      <c r="D73" s="50">
        <f>VLOOKUP($A73,'Data Vlaue (Cr)'!$C:$FB,143)</f>
        <v>771.88</v>
      </c>
      <c r="E73" s="50">
        <f>VLOOKUP($A73,'Data Vlaue (Cr)'!$C:$FB,144)</f>
        <v>622</v>
      </c>
      <c r="F73" s="50">
        <f>VLOOKUP($A73,'Data Vlaue (Cr)'!$C:$FB,146)*100</f>
        <v>24.099999999999998</v>
      </c>
      <c r="G73" s="49">
        <f>VLOOKUP($A73,'Data Vlaue (Cr)'!$C:$FB,43)</f>
        <v>168</v>
      </c>
      <c r="H73" s="49">
        <f>VLOOKUP($A73,'Data Vlaue (Cr)'!$C:$FB,44)</f>
        <v>307</v>
      </c>
      <c r="I73" s="49">
        <f>VLOOKUP($A73,'Data Vlaue (Cr)'!$C:$FB,46)*100</f>
        <v>-45.36</v>
      </c>
      <c r="J73" s="51">
        <f>VLOOKUP($A73,'Data Vlaue (Cr)'!$C:$FB,59)</f>
        <v>410</v>
      </c>
      <c r="K73" s="51">
        <f>VLOOKUP($A73,'Data Vlaue (Cr)'!$C:$FB,60)</f>
        <v>217</v>
      </c>
      <c r="L73" s="51">
        <f>VLOOKUP($A73,'Data Vlaue (Cr)'!$C:$FB,62)*100</f>
        <v>89.18</v>
      </c>
      <c r="M73" s="51">
        <f>VLOOKUP($A73,'Data Vlaue (Cr)'!$C:$FB,63)</f>
        <v>187</v>
      </c>
      <c r="N73" s="51">
        <f>VLOOKUP($A73,'Data Vlaue (Cr)'!$C:$FB,64)</f>
        <v>105</v>
      </c>
      <c r="O73" s="51">
        <f>VLOOKUP($A73,'Data Vlaue (Cr)'!$C:$FB,66)*100</f>
        <v>79.259999999999991</v>
      </c>
    </row>
    <row r="74" spans="1:15" x14ac:dyDescent="0.25">
      <c r="A74" s="101" t="str">
        <f>'Data Vlaue (Cr)'!C69</f>
        <v>GAIL</v>
      </c>
      <c r="B74" s="50">
        <f>VLOOKUP($A74,'Data Vlaue (Cr)'!$C:$FB,8)</f>
        <v>157.82</v>
      </c>
      <c r="C74" s="50">
        <f>VLOOKUP($A74,'Data Vlaue (Cr)'!$C:$FB,11)*100</f>
        <v>-0.69</v>
      </c>
      <c r="D74" s="50">
        <f>VLOOKUP($A74,'Data Vlaue (Cr)'!$C:$FB,143)</f>
        <v>560.79999999999995</v>
      </c>
      <c r="E74" s="50">
        <f>VLOOKUP($A74,'Data Vlaue (Cr)'!$C:$FB,144)</f>
        <v>686.3</v>
      </c>
      <c r="F74" s="50">
        <f>VLOOKUP($A74,'Data Vlaue (Cr)'!$C:$FB,146)*100</f>
        <v>-18.29</v>
      </c>
      <c r="G74" s="49">
        <f>VLOOKUP($A74,'Data Vlaue (Cr)'!$C:$FB,43)</f>
        <v>177</v>
      </c>
      <c r="H74" s="49">
        <f>VLOOKUP($A74,'Data Vlaue (Cr)'!$C:$FB,44)</f>
        <v>248</v>
      </c>
      <c r="I74" s="49">
        <f>VLOOKUP($A74,'Data Vlaue (Cr)'!$C:$FB,46)*100</f>
        <v>-28.599999999999998</v>
      </c>
      <c r="J74" s="51">
        <f>VLOOKUP($A74,'Data Vlaue (Cr)'!$C:$FB,59)</f>
        <v>208</v>
      </c>
      <c r="K74" s="51">
        <f>VLOOKUP($A74,'Data Vlaue (Cr)'!$C:$FB,60)</f>
        <v>263</v>
      </c>
      <c r="L74" s="51">
        <f>VLOOKUP($A74,'Data Vlaue (Cr)'!$C:$FB,62)*100</f>
        <v>-20.810000000000002</v>
      </c>
      <c r="M74" s="51">
        <f>VLOOKUP($A74,'Data Vlaue (Cr)'!$C:$FB,63)</f>
        <v>173</v>
      </c>
      <c r="N74" s="51">
        <f>VLOOKUP($A74,'Data Vlaue (Cr)'!$C:$FB,64)</f>
        <v>173</v>
      </c>
      <c r="O74" s="51">
        <f>VLOOKUP($A74,'Data Vlaue (Cr)'!$C:$FB,66)*100</f>
        <v>-0.37</v>
      </c>
    </row>
    <row r="75" spans="1:15" x14ac:dyDescent="0.25">
      <c r="A75" s="101" t="str">
        <f>'Data Vlaue (Cr)'!C70</f>
        <v>GLENMARK</v>
      </c>
      <c r="B75" s="50">
        <f>VLOOKUP($A75,'Data Vlaue (Cr)'!$C:$FB,8)</f>
        <v>2249.5</v>
      </c>
      <c r="C75" s="50">
        <f>VLOOKUP($A75,'Data Vlaue (Cr)'!$C:$FB,11)*100</f>
        <v>0</v>
      </c>
      <c r="D75" s="50">
        <f>VLOOKUP($A75,'Data Vlaue (Cr)'!$C:$FB,143)</f>
        <v>1525.34</v>
      </c>
      <c r="E75" s="50">
        <f>VLOOKUP($A75,'Data Vlaue (Cr)'!$C:$FB,144)</f>
        <v>1116.75</v>
      </c>
      <c r="F75" s="50">
        <f>VLOOKUP($A75,'Data Vlaue (Cr)'!$C:$FB,146)*100</f>
        <v>36.590000000000003</v>
      </c>
      <c r="G75" s="49">
        <f>VLOOKUP($A75,'Data Vlaue (Cr)'!$C:$FB,43)</f>
        <v>175</v>
      </c>
      <c r="H75" s="49">
        <f>VLOOKUP($A75,'Data Vlaue (Cr)'!$C:$FB,44)</f>
        <v>199</v>
      </c>
      <c r="I75" s="49">
        <f>VLOOKUP($A75,'Data Vlaue (Cr)'!$C:$FB,46)*100</f>
        <v>-12.23</v>
      </c>
      <c r="J75" s="51">
        <f>VLOOKUP($A75,'Data Vlaue (Cr)'!$C:$FB,59)</f>
        <v>990</v>
      </c>
      <c r="K75" s="51">
        <f>VLOOKUP($A75,'Data Vlaue (Cr)'!$C:$FB,60)</f>
        <v>563</v>
      </c>
      <c r="L75" s="51">
        <f>VLOOKUP($A75,'Data Vlaue (Cr)'!$C:$FB,62)*100</f>
        <v>75.739999999999995</v>
      </c>
      <c r="M75" s="51">
        <f>VLOOKUP($A75,'Data Vlaue (Cr)'!$C:$FB,63)</f>
        <v>317</v>
      </c>
      <c r="N75" s="51">
        <f>VLOOKUP($A75,'Data Vlaue (Cr)'!$C:$FB,64)</f>
        <v>348</v>
      </c>
      <c r="O75" s="51">
        <f>VLOOKUP($A75,'Data Vlaue (Cr)'!$C:$FB,66)*100</f>
        <v>-8.9499999999999993</v>
      </c>
    </row>
    <row r="76" spans="1:15" x14ac:dyDescent="0.25">
      <c r="A76" s="101" t="str">
        <f>'Data Vlaue (Cr)'!C71</f>
        <v>GMRAIRPORT</v>
      </c>
      <c r="B76" s="50">
        <f>VLOOKUP($A76,'Data Vlaue (Cr)'!$C:$FB,8)</f>
        <v>96.85</v>
      </c>
      <c r="C76" s="50">
        <f>VLOOKUP($A76,'Data Vlaue (Cr)'!$C:$FB,11)*100</f>
        <v>0.1</v>
      </c>
      <c r="D76" s="50">
        <f>VLOOKUP($A76,'Data Vlaue (Cr)'!$C:$FB,143)</f>
        <v>611.55999999999995</v>
      </c>
      <c r="E76" s="50">
        <f>VLOOKUP($A76,'Data Vlaue (Cr)'!$C:$FB,144)</f>
        <v>851.99</v>
      </c>
      <c r="F76" s="50">
        <f>VLOOKUP($A76,'Data Vlaue (Cr)'!$C:$FB,146)*100</f>
        <v>-28.22</v>
      </c>
      <c r="G76" s="49">
        <f>VLOOKUP($A76,'Data Vlaue (Cr)'!$C:$FB,43)</f>
        <v>221</v>
      </c>
      <c r="H76" s="49">
        <f>VLOOKUP($A76,'Data Vlaue (Cr)'!$C:$FB,44)</f>
        <v>166</v>
      </c>
      <c r="I76" s="49">
        <f>VLOOKUP($A76,'Data Vlaue (Cr)'!$C:$FB,46)*100</f>
        <v>33.31</v>
      </c>
      <c r="J76" s="51">
        <f>VLOOKUP($A76,'Data Vlaue (Cr)'!$C:$FB,59)</f>
        <v>251</v>
      </c>
      <c r="K76" s="51">
        <f>VLOOKUP($A76,'Data Vlaue (Cr)'!$C:$FB,60)</f>
        <v>389</v>
      </c>
      <c r="L76" s="51">
        <f>VLOOKUP($A76,'Data Vlaue (Cr)'!$C:$FB,62)*100</f>
        <v>-35.46</v>
      </c>
      <c r="M76" s="51">
        <f>VLOOKUP($A76,'Data Vlaue (Cr)'!$C:$FB,63)</f>
        <v>126</v>
      </c>
      <c r="N76" s="51">
        <f>VLOOKUP($A76,'Data Vlaue (Cr)'!$C:$FB,64)</f>
        <v>277</v>
      </c>
      <c r="O76" s="51">
        <f>VLOOKUP($A76,'Data Vlaue (Cr)'!$C:$FB,66)*100</f>
        <v>-54.339999999999996</v>
      </c>
    </row>
    <row r="77" spans="1:15" x14ac:dyDescent="0.25">
      <c r="A77" s="101" t="str">
        <f>'Data Vlaue (Cr)'!C72</f>
        <v>GODFRYPHLP</v>
      </c>
      <c r="B77" s="50">
        <f>VLOOKUP($A77,'Data Vlaue (Cr)'!$C:$FB,8)</f>
        <v>2207.6999999999998</v>
      </c>
      <c r="C77" s="50">
        <f>VLOOKUP($A77,'Data Vlaue (Cr)'!$C:$FB,11)*100</f>
        <v>3.9</v>
      </c>
      <c r="D77" s="50">
        <f>VLOOKUP($A77,'Data Vlaue (Cr)'!$C:$FB,143)</f>
        <v>2122.79</v>
      </c>
      <c r="E77" s="50">
        <f>VLOOKUP($A77,'Data Vlaue (Cr)'!$C:$FB,144)</f>
        <v>345.15</v>
      </c>
      <c r="F77" s="50">
        <f>VLOOKUP($A77,'Data Vlaue (Cr)'!$C:$FB,146)*100</f>
        <v>515.04000000000008</v>
      </c>
      <c r="G77" s="49">
        <f>VLOOKUP($A77,'Data Vlaue (Cr)'!$C:$FB,43)</f>
        <v>358</v>
      </c>
      <c r="H77" s="49">
        <f>VLOOKUP($A77,'Data Vlaue (Cr)'!$C:$FB,44)</f>
        <v>146</v>
      </c>
      <c r="I77" s="49">
        <f>VLOOKUP($A77,'Data Vlaue (Cr)'!$C:$FB,46)*100</f>
        <v>145.14000000000001</v>
      </c>
      <c r="J77" s="51">
        <f>VLOOKUP($A77,'Data Vlaue (Cr)'!$C:$FB,59)</f>
        <v>1344</v>
      </c>
      <c r="K77" s="51">
        <f>VLOOKUP($A77,'Data Vlaue (Cr)'!$C:$FB,60)</f>
        <v>151</v>
      </c>
      <c r="L77" s="51">
        <f>VLOOKUP($A77,'Data Vlaue (Cr)'!$C:$FB,62)*100</f>
        <v>789.15</v>
      </c>
      <c r="M77" s="51">
        <f>VLOOKUP($A77,'Data Vlaue (Cr)'!$C:$FB,63)</f>
        <v>326</v>
      </c>
      <c r="N77" s="51">
        <f>VLOOKUP($A77,'Data Vlaue (Cr)'!$C:$FB,64)</f>
        <v>54</v>
      </c>
      <c r="O77" s="51">
        <f>VLOOKUP($A77,'Data Vlaue (Cr)'!$C:$FB,66)*100</f>
        <v>497.68</v>
      </c>
    </row>
    <row r="78" spans="1:15" x14ac:dyDescent="0.25">
      <c r="A78" s="101" t="str">
        <f>'Data Vlaue (Cr)'!C73</f>
        <v>GODREJCP</v>
      </c>
      <c r="B78" s="50">
        <f>VLOOKUP($A78,'Data Vlaue (Cr)'!$C:$FB,8)</f>
        <v>1109.4000000000001</v>
      </c>
      <c r="C78" s="50">
        <f>VLOOKUP($A78,'Data Vlaue (Cr)'!$C:$FB,11)*100</f>
        <v>2.6100000000000003</v>
      </c>
      <c r="D78" s="50">
        <f>VLOOKUP($A78,'Data Vlaue (Cr)'!$C:$FB,143)</f>
        <v>1112.27</v>
      </c>
      <c r="E78" s="50">
        <f>VLOOKUP($A78,'Data Vlaue (Cr)'!$C:$FB,144)</f>
        <v>211.17</v>
      </c>
      <c r="F78" s="50">
        <f>VLOOKUP($A78,'Data Vlaue (Cr)'!$C:$FB,146)*100</f>
        <v>426.71999999999997</v>
      </c>
      <c r="G78" s="49">
        <f>VLOOKUP($A78,'Data Vlaue (Cr)'!$C:$FB,43)</f>
        <v>429</v>
      </c>
      <c r="H78" s="49">
        <f>VLOOKUP($A78,'Data Vlaue (Cr)'!$C:$FB,44)</f>
        <v>79</v>
      </c>
      <c r="I78" s="49">
        <f>VLOOKUP($A78,'Data Vlaue (Cr)'!$C:$FB,46)*100</f>
        <v>443.06</v>
      </c>
      <c r="J78" s="51">
        <f>VLOOKUP($A78,'Data Vlaue (Cr)'!$C:$FB,59)</f>
        <v>498</v>
      </c>
      <c r="K78" s="51">
        <f>VLOOKUP($A78,'Data Vlaue (Cr)'!$C:$FB,60)</f>
        <v>87</v>
      </c>
      <c r="L78" s="51">
        <f>VLOOKUP($A78,'Data Vlaue (Cr)'!$C:$FB,62)*100</f>
        <v>475.42999999999995</v>
      </c>
      <c r="M78" s="51">
        <f>VLOOKUP($A78,'Data Vlaue (Cr)'!$C:$FB,63)</f>
        <v>180</v>
      </c>
      <c r="N78" s="51">
        <f>VLOOKUP($A78,'Data Vlaue (Cr)'!$C:$FB,64)</f>
        <v>48</v>
      </c>
      <c r="O78" s="51">
        <f>VLOOKUP($A78,'Data Vlaue (Cr)'!$C:$FB,66)*100</f>
        <v>274.25</v>
      </c>
    </row>
    <row r="79" spans="1:15" x14ac:dyDescent="0.25">
      <c r="A79" s="101" t="str">
        <f>'Data Vlaue (Cr)'!C74</f>
        <v>GODREJPROP</v>
      </c>
      <c r="B79" s="50">
        <f>VLOOKUP($A79,'Data Vlaue (Cr)'!$C:$FB,8)</f>
        <v>1758.8</v>
      </c>
      <c r="C79" s="50">
        <f>VLOOKUP($A79,'Data Vlaue (Cr)'!$C:$FB,11)*100</f>
        <v>0.65</v>
      </c>
      <c r="D79" s="50">
        <f>VLOOKUP($A79,'Data Vlaue (Cr)'!$C:$FB,143)</f>
        <v>923.41</v>
      </c>
      <c r="E79" s="50">
        <f>VLOOKUP($A79,'Data Vlaue (Cr)'!$C:$FB,144)</f>
        <v>917.15</v>
      </c>
      <c r="F79" s="50">
        <f>VLOOKUP($A79,'Data Vlaue (Cr)'!$C:$FB,146)*100</f>
        <v>0.67999999999999994</v>
      </c>
      <c r="G79" s="49">
        <f>VLOOKUP($A79,'Data Vlaue (Cr)'!$C:$FB,43)</f>
        <v>155</v>
      </c>
      <c r="H79" s="49">
        <f>VLOOKUP($A79,'Data Vlaue (Cr)'!$C:$FB,44)</f>
        <v>178</v>
      </c>
      <c r="I79" s="49">
        <f>VLOOKUP($A79,'Data Vlaue (Cr)'!$C:$FB,46)*100</f>
        <v>-13.43</v>
      </c>
      <c r="J79" s="51">
        <f>VLOOKUP($A79,'Data Vlaue (Cr)'!$C:$FB,59)</f>
        <v>425</v>
      </c>
      <c r="K79" s="51">
        <f>VLOOKUP($A79,'Data Vlaue (Cr)'!$C:$FB,60)</f>
        <v>425</v>
      </c>
      <c r="L79" s="51">
        <f>VLOOKUP($A79,'Data Vlaue (Cr)'!$C:$FB,62)*100</f>
        <v>-0.15</v>
      </c>
      <c r="M79" s="51">
        <f>VLOOKUP($A79,'Data Vlaue (Cr)'!$C:$FB,63)</f>
        <v>349</v>
      </c>
      <c r="N79" s="51">
        <f>VLOOKUP($A79,'Data Vlaue (Cr)'!$C:$FB,64)</f>
        <v>317</v>
      </c>
      <c r="O79" s="51">
        <f>VLOOKUP($A79,'Data Vlaue (Cr)'!$C:$FB,66)*100</f>
        <v>10.02</v>
      </c>
    </row>
    <row r="80" spans="1:15" x14ac:dyDescent="0.25">
      <c r="A80" s="101" t="str">
        <f>'Data Vlaue (Cr)'!C75</f>
        <v>GRASIM</v>
      </c>
      <c r="B80" s="50">
        <f>VLOOKUP($A80,'Data Vlaue (Cr)'!$C:$FB,8)</f>
        <v>2720.5</v>
      </c>
      <c r="C80" s="50">
        <f>VLOOKUP($A80,'Data Vlaue (Cr)'!$C:$FB,11)*100</f>
        <v>0.12</v>
      </c>
      <c r="D80" s="50">
        <f>VLOOKUP($A80,'Data Vlaue (Cr)'!$C:$FB,143)</f>
        <v>627.54</v>
      </c>
      <c r="E80" s="50">
        <f>VLOOKUP($A80,'Data Vlaue (Cr)'!$C:$FB,144)</f>
        <v>2347.87</v>
      </c>
      <c r="F80" s="50">
        <f>VLOOKUP($A80,'Data Vlaue (Cr)'!$C:$FB,146)*100</f>
        <v>-73.27</v>
      </c>
      <c r="G80" s="49">
        <f>VLOOKUP($A80,'Data Vlaue (Cr)'!$C:$FB,43)</f>
        <v>136</v>
      </c>
      <c r="H80" s="49">
        <f>VLOOKUP($A80,'Data Vlaue (Cr)'!$C:$FB,44)</f>
        <v>1016</v>
      </c>
      <c r="I80" s="49">
        <f>VLOOKUP($A80,'Data Vlaue (Cr)'!$C:$FB,46)*100</f>
        <v>-86.65</v>
      </c>
      <c r="J80" s="51">
        <f>VLOOKUP($A80,'Data Vlaue (Cr)'!$C:$FB,59)</f>
        <v>341</v>
      </c>
      <c r="K80" s="51">
        <f>VLOOKUP($A80,'Data Vlaue (Cr)'!$C:$FB,60)</f>
        <v>829</v>
      </c>
      <c r="L80" s="51">
        <f>VLOOKUP($A80,'Data Vlaue (Cr)'!$C:$FB,62)*100</f>
        <v>-58.91</v>
      </c>
      <c r="M80" s="51">
        <f>VLOOKUP($A80,'Data Vlaue (Cr)'!$C:$FB,63)</f>
        <v>142</v>
      </c>
      <c r="N80" s="51">
        <f>VLOOKUP($A80,'Data Vlaue (Cr)'!$C:$FB,64)</f>
        <v>464</v>
      </c>
      <c r="O80" s="51">
        <f>VLOOKUP($A80,'Data Vlaue (Cr)'!$C:$FB,66)*100</f>
        <v>-69.459999999999994</v>
      </c>
    </row>
    <row r="81" spans="1:15" x14ac:dyDescent="0.25">
      <c r="A81" s="101" t="str">
        <f>'Data Vlaue (Cr)'!C76</f>
        <v>HAL</v>
      </c>
      <c r="B81" s="50">
        <f>VLOOKUP($A81,'Data Vlaue (Cr)'!$C:$FB,8)</f>
        <v>4388.1000000000004</v>
      </c>
      <c r="C81" s="50">
        <f>VLOOKUP($A81,'Data Vlaue (Cr)'!$C:$FB,11)*100</f>
        <v>0.57000000000000006</v>
      </c>
      <c r="D81" s="50">
        <f>VLOOKUP($A81,'Data Vlaue (Cr)'!$C:$FB,143)</f>
        <v>3859.23</v>
      </c>
      <c r="E81" s="50">
        <f>VLOOKUP($A81,'Data Vlaue (Cr)'!$C:$FB,144)</f>
        <v>10756.5</v>
      </c>
      <c r="F81" s="50">
        <f>VLOOKUP($A81,'Data Vlaue (Cr)'!$C:$FB,146)*100</f>
        <v>-64.12</v>
      </c>
      <c r="G81" s="49">
        <f>VLOOKUP($A81,'Data Vlaue (Cr)'!$C:$FB,43)</f>
        <v>411</v>
      </c>
      <c r="H81" s="49">
        <f>VLOOKUP($A81,'Data Vlaue (Cr)'!$C:$FB,44)</f>
        <v>1129</v>
      </c>
      <c r="I81" s="49">
        <f>VLOOKUP($A81,'Data Vlaue (Cr)'!$C:$FB,46)*100</f>
        <v>-63.6</v>
      </c>
      <c r="J81" s="51">
        <f>VLOOKUP($A81,'Data Vlaue (Cr)'!$C:$FB,59)</f>
        <v>2083</v>
      </c>
      <c r="K81" s="51">
        <f>VLOOKUP($A81,'Data Vlaue (Cr)'!$C:$FB,60)</f>
        <v>6646</v>
      </c>
      <c r="L81" s="51">
        <f>VLOOKUP($A81,'Data Vlaue (Cr)'!$C:$FB,62)*100</f>
        <v>-68.66</v>
      </c>
      <c r="M81" s="51">
        <f>VLOOKUP($A81,'Data Vlaue (Cr)'!$C:$FB,63)</f>
        <v>1351</v>
      </c>
      <c r="N81" s="51">
        <f>VLOOKUP($A81,'Data Vlaue (Cr)'!$C:$FB,64)</f>
        <v>2908</v>
      </c>
      <c r="O81" s="51">
        <f>VLOOKUP($A81,'Data Vlaue (Cr)'!$C:$FB,66)*100</f>
        <v>-53.55</v>
      </c>
    </row>
    <row r="82" spans="1:15" x14ac:dyDescent="0.25">
      <c r="A82" s="101" t="str">
        <f>'Data Vlaue (Cr)'!C77</f>
        <v>HAVELLS</v>
      </c>
      <c r="B82" s="50">
        <f>VLOOKUP($A82,'Data Vlaue (Cr)'!$C:$FB,8)</f>
        <v>1306.4000000000001</v>
      </c>
      <c r="C82" s="50">
        <f>VLOOKUP($A82,'Data Vlaue (Cr)'!$C:$FB,11)*100</f>
        <v>1.1900000000000002</v>
      </c>
      <c r="D82" s="50">
        <f>VLOOKUP($A82,'Data Vlaue (Cr)'!$C:$FB,143)</f>
        <v>1014.27</v>
      </c>
      <c r="E82" s="50">
        <f>VLOOKUP($A82,'Data Vlaue (Cr)'!$C:$FB,144)</f>
        <v>964.15</v>
      </c>
      <c r="F82" s="50">
        <f>VLOOKUP($A82,'Data Vlaue (Cr)'!$C:$FB,146)*100</f>
        <v>5.2</v>
      </c>
      <c r="G82" s="49">
        <f>VLOOKUP($A82,'Data Vlaue (Cr)'!$C:$FB,43)</f>
        <v>209</v>
      </c>
      <c r="H82" s="49">
        <f>VLOOKUP($A82,'Data Vlaue (Cr)'!$C:$FB,44)</f>
        <v>340</v>
      </c>
      <c r="I82" s="49">
        <f>VLOOKUP($A82,'Data Vlaue (Cr)'!$C:$FB,46)*100</f>
        <v>-38.43</v>
      </c>
      <c r="J82" s="51">
        <f>VLOOKUP($A82,'Data Vlaue (Cr)'!$C:$FB,59)</f>
        <v>588</v>
      </c>
      <c r="K82" s="51">
        <f>VLOOKUP($A82,'Data Vlaue (Cr)'!$C:$FB,60)</f>
        <v>432</v>
      </c>
      <c r="L82" s="51">
        <f>VLOOKUP($A82,'Data Vlaue (Cr)'!$C:$FB,62)*100</f>
        <v>36.020000000000003</v>
      </c>
      <c r="M82" s="51">
        <f>VLOOKUP($A82,'Data Vlaue (Cr)'!$C:$FB,63)</f>
        <v>196</v>
      </c>
      <c r="N82" s="51">
        <f>VLOOKUP($A82,'Data Vlaue (Cr)'!$C:$FB,64)</f>
        <v>191</v>
      </c>
      <c r="O82" s="51">
        <f>VLOOKUP($A82,'Data Vlaue (Cr)'!$C:$FB,66)*100</f>
        <v>2.6</v>
      </c>
    </row>
    <row r="83" spans="1:15" x14ac:dyDescent="0.25">
      <c r="A83" s="101" t="str">
        <f>'Data Vlaue (Cr)'!C78</f>
        <v>HCLTECH</v>
      </c>
      <c r="B83" s="50">
        <f>VLOOKUP($A83,'Data Vlaue (Cr)'!$C:$FB,8)</f>
        <v>1442.3</v>
      </c>
      <c r="C83" s="50">
        <f>VLOOKUP($A83,'Data Vlaue (Cr)'!$C:$FB,11)*100</f>
        <v>-0.54</v>
      </c>
      <c r="D83" s="50">
        <f>VLOOKUP($A83,'Data Vlaue (Cr)'!$C:$FB,143)</f>
        <v>3336.23</v>
      </c>
      <c r="E83" s="50">
        <f>VLOOKUP($A83,'Data Vlaue (Cr)'!$C:$FB,144)</f>
        <v>4962.9399999999996</v>
      </c>
      <c r="F83" s="50">
        <f>VLOOKUP($A83,'Data Vlaue (Cr)'!$C:$FB,146)*100</f>
        <v>-32.78</v>
      </c>
      <c r="G83" s="49">
        <f>VLOOKUP($A83,'Data Vlaue (Cr)'!$C:$FB,43)</f>
        <v>999</v>
      </c>
      <c r="H83" s="49">
        <f>VLOOKUP($A83,'Data Vlaue (Cr)'!$C:$FB,44)</f>
        <v>1543</v>
      </c>
      <c r="I83" s="49">
        <f>VLOOKUP($A83,'Data Vlaue (Cr)'!$C:$FB,46)*100</f>
        <v>-35.25</v>
      </c>
      <c r="J83" s="51">
        <f>VLOOKUP($A83,'Data Vlaue (Cr)'!$C:$FB,59)</f>
        <v>1454</v>
      </c>
      <c r="K83" s="51">
        <f>VLOOKUP($A83,'Data Vlaue (Cr)'!$C:$FB,60)</f>
        <v>2123</v>
      </c>
      <c r="L83" s="51">
        <f>VLOOKUP($A83,'Data Vlaue (Cr)'!$C:$FB,62)*100</f>
        <v>-31.5</v>
      </c>
      <c r="M83" s="51">
        <f>VLOOKUP($A83,'Data Vlaue (Cr)'!$C:$FB,63)</f>
        <v>815</v>
      </c>
      <c r="N83" s="51">
        <f>VLOOKUP($A83,'Data Vlaue (Cr)'!$C:$FB,64)</f>
        <v>1187</v>
      </c>
      <c r="O83" s="51">
        <f>VLOOKUP($A83,'Data Vlaue (Cr)'!$C:$FB,66)*100</f>
        <v>-31.330000000000002</v>
      </c>
    </row>
    <row r="84" spans="1:15" x14ac:dyDescent="0.25">
      <c r="A84" s="101" t="str">
        <f>'Data Vlaue (Cr)'!C79</f>
        <v>HDFCAMC</v>
      </c>
      <c r="B84" s="50">
        <f>VLOOKUP($A84,'Data Vlaue (Cr)'!$C:$FB,8)</f>
        <v>2792.4</v>
      </c>
      <c r="C84" s="50">
        <f>VLOOKUP($A84,'Data Vlaue (Cr)'!$C:$FB,11)*100</f>
        <v>4.8899999999999997</v>
      </c>
      <c r="D84" s="50">
        <f>VLOOKUP($A84,'Data Vlaue (Cr)'!$C:$FB,143)</f>
        <v>8998.1299999999992</v>
      </c>
      <c r="E84" s="50">
        <f>VLOOKUP($A84,'Data Vlaue (Cr)'!$C:$FB,144)</f>
        <v>8107.94</v>
      </c>
      <c r="F84" s="50">
        <f>VLOOKUP($A84,'Data Vlaue (Cr)'!$C:$FB,146)*100</f>
        <v>10.979999999999999</v>
      </c>
      <c r="G84" s="49">
        <f>VLOOKUP($A84,'Data Vlaue (Cr)'!$C:$FB,43)</f>
        <v>674</v>
      </c>
      <c r="H84" s="49">
        <f>VLOOKUP($A84,'Data Vlaue (Cr)'!$C:$FB,44)</f>
        <v>1035</v>
      </c>
      <c r="I84" s="49">
        <f>VLOOKUP($A84,'Data Vlaue (Cr)'!$C:$FB,46)*100</f>
        <v>-34.89</v>
      </c>
      <c r="J84" s="51">
        <f>VLOOKUP($A84,'Data Vlaue (Cr)'!$C:$FB,59)</f>
        <v>5751</v>
      </c>
      <c r="K84" s="51">
        <f>VLOOKUP($A84,'Data Vlaue (Cr)'!$C:$FB,60)</f>
        <v>4342</v>
      </c>
      <c r="L84" s="51">
        <f>VLOOKUP($A84,'Data Vlaue (Cr)'!$C:$FB,62)*100</f>
        <v>32.46</v>
      </c>
      <c r="M84" s="51">
        <f>VLOOKUP($A84,'Data Vlaue (Cr)'!$C:$FB,63)</f>
        <v>2544</v>
      </c>
      <c r="N84" s="51">
        <f>VLOOKUP($A84,'Data Vlaue (Cr)'!$C:$FB,64)</f>
        <v>2924</v>
      </c>
      <c r="O84" s="51">
        <f>VLOOKUP($A84,'Data Vlaue (Cr)'!$C:$FB,66)*100</f>
        <v>-13</v>
      </c>
    </row>
    <row r="85" spans="1:15" x14ac:dyDescent="0.25">
      <c r="A85" s="101" t="str">
        <f>'Data Vlaue (Cr)'!C80</f>
        <v>HDFCBANK</v>
      </c>
      <c r="B85" s="50">
        <f>VLOOKUP($A85,'Data Vlaue (Cr)'!$C:$FB,8)</f>
        <v>799.9</v>
      </c>
      <c r="C85" s="50">
        <f>VLOOKUP($A85,'Data Vlaue (Cr)'!$C:$FB,11)*100</f>
        <v>0.55999999999999994</v>
      </c>
      <c r="D85" s="50">
        <f>VLOOKUP($A85,'Data Vlaue (Cr)'!$C:$FB,143)</f>
        <v>16108.84</v>
      </c>
      <c r="E85" s="50">
        <f>VLOOKUP($A85,'Data Vlaue (Cr)'!$C:$FB,144)</f>
        <v>14104.81</v>
      </c>
      <c r="F85" s="50">
        <f>VLOOKUP($A85,'Data Vlaue (Cr)'!$C:$FB,146)*100</f>
        <v>14.21</v>
      </c>
      <c r="G85" s="49">
        <f>VLOOKUP($A85,'Data Vlaue (Cr)'!$C:$FB,43)</f>
        <v>2654</v>
      </c>
      <c r="H85" s="49">
        <f>VLOOKUP($A85,'Data Vlaue (Cr)'!$C:$FB,44)</f>
        <v>3877</v>
      </c>
      <c r="I85" s="49">
        <f>VLOOKUP($A85,'Data Vlaue (Cr)'!$C:$FB,46)*100</f>
        <v>-31.55</v>
      </c>
      <c r="J85" s="51">
        <f>VLOOKUP($A85,'Data Vlaue (Cr)'!$C:$FB,59)</f>
        <v>8482</v>
      </c>
      <c r="K85" s="51">
        <f>VLOOKUP($A85,'Data Vlaue (Cr)'!$C:$FB,60)</f>
        <v>6015</v>
      </c>
      <c r="L85" s="51">
        <f>VLOOKUP($A85,'Data Vlaue (Cr)'!$C:$FB,62)*100</f>
        <v>41</v>
      </c>
      <c r="M85" s="51">
        <f>VLOOKUP($A85,'Data Vlaue (Cr)'!$C:$FB,63)</f>
        <v>4645</v>
      </c>
      <c r="N85" s="51">
        <f>VLOOKUP($A85,'Data Vlaue (Cr)'!$C:$FB,64)</f>
        <v>3961</v>
      </c>
      <c r="O85" s="51">
        <f>VLOOKUP($A85,'Data Vlaue (Cr)'!$C:$FB,66)*100</f>
        <v>17.25</v>
      </c>
    </row>
    <row r="86" spans="1:15" x14ac:dyDescent="0.25">
      <c r="A86" s="101" t="str">
        <f>'Data Vlaue (Cr)'!C81</f>
        <v>HDFCLIFE</v>
      </c>
      <c r="B86" s="50">
        <f>VLOOKUP($A86,'Data Vlaue (Cr)'!$C:$FB,8)</f>
        <v>616.45000000000005</v>
      </c>
      <c r="C86" s="50">
        <f>VLOOKUP($A86,'Data Vlaue (Cr)'!$C:$FB,11)*100</f>
        <v>-2.3800000000000003</v>
      </c>
      <c r="D86" s="50">
        <f>VLOOKUP($A86,'Data Vlaue (Cr)'!$C:$FB,143)</f>
        <v>7109.7</v>
      </c>
      <c r="E86" s="50">
        <f>VLOOKUP($A86,'Data Vlaue (Cr)'!$C:$FB,144)</f>
        <v>3728.67</v>
      </c>
      <c r="F86" s="50">
        <f>VLOOKUP($A86,'Data Vlaue (Cr)'!$C:$FB,146)*100</f>
        <v>90.68</v>
      </c>
      <c r="G86" s="49">
        <f>VLOOKUP($A86,'Data Vlaue (Cr)'!$C:$FB,43)</f>
        <v>733</v>
      </c>
      <c r="H86" s="49">
        <f>VLOOKUP($A86,'Data Vlaue (Cr)'!$C:$FB,44)</f>
        <v>393</v>
      </c>
      <c r="I86" s="49">
        <f>VLOOKUP($A86,'Data Vlaue (Cr)'!$C:$FB,46)*100</f>
        <v>86.44</v>
      </c>
      <c r="J86" s="51">
        <f>VLOOKUP($A86,'Data Vlaue (Cr)'!$C:$FB,59)</f>
        <v>3677</v>
      </c>
      <c r="K86" s="51">
        <f>VLOOKUP($A86,'Data Vlaue (Cr)'!$C:$FB,60)</f>
        <v>1853</v>
      </c>
      <c r="L86" s="51">
        <f>VLOOKUP($A86,'Data Vlaue (Cr)'!$C:$FB,62)*100</f>
        <v>98.440000000000012</v>
      </c>
      <c r="M86" s="51">
        <f>VLOOKUP($A86,'Data Vlaue (Cr)'!$C:$FB,63)</f>
        <v>2547</v>
      </c>
      <c r="N86" s="51">
        <f>VLOOKUP($A86,'Data Vlaue (Cr)'!$C:$FB,64)</f>
        <v>1284</v>
      </c>
      <c r="O86" s="51">
        <f>VLOOKUP($A86,'Data Vlaue (Cr)'!$C:$FB,66)*100</f>
        <v>98.39</v>
      </c>
    </row>
    <row r="87" spans="1:15" x14ac:dyDescent="0.25">
      <c r="A87" s="101" t="str">
        <f>'Data Vlaue (Cr)'!C82</f>
        <v>HEROMOTOCO</v>
      </c>
      <c r="B87" s="50">
        <f>VLOOKUP($A87,'Data Vlaue (Cr)'!$C:$FB,8)</f>
        <v>5230.5</v>
      </c>
      <c r="C87" s="50">
        <f>VLOOKUP($A87,'Data Vlaue (Cr)'!$C:$FB,11)*100</f>
        <v>1.38</v>
      </c>
      <c r="D87" s="50">
        <f>VLOOKUP($A87,'Data Vlaue (Cr)'!$C:$FB,143)</f>
        <v>4017.39</v>
      </c>
      <c r="E87" s="50">
        <f>VLOOKUP($A87,'Data Vlaue (Cr)'!$C:$FB,144)</f>
        <v>5011.6400000000003</v>
      </c>
      <c r="F87" s="50">
        <f>VLOOKUP($A87,'Data Vlaue (Cr)'!$C:$FB,146)*100</f>
        <v>-19.84</v>
      </c>
      <c r="G87" s="49">
        <f>VLOOKUP($A87,'Data Vlaue (Cr)'!$C:$FB,43)</f>
        <v>521</v>
      </c>
      <c r="H87" s="49">
        <f>VLOOKUP($A87,'Data Vlaue (Cr)'!$C:$FB,44)</f>
        <v>472</v>
      </c>
      <c r="I87" s="49">
        <f>VLOOKUP($A87,'Data Vlaue (Cr)'!$C:$FB,46)*100</f>
        <v>10.35</v>
      </c>
      <c r="J87" s="51">
        <f>VLOOKUP($A87,'Data Vlaue (Cr)'!$C:$FB,59)</f>
        <v>2456</v>
      </c>
      <c r="K87" s="51">
        <f>VLOOKUP($A87,'Data Vlaue (Cr)'!$C:$FB,60)</f>
        <v>2542</v>
      </c>
      <c r="L87" s="51">
        <f>VLOOKUP($A87,'Data Vlaue (Cr)'!$C:$FB,62)*100</f>
        <v>-3.4000000000000004</v>
      </c>
      <c r="M87" s="51">
        <f>VLOOKUP($A87,'Data Vlaue (Cr)'!$C:$FB,63)</f>
        <v>949</v>
      </c>
      <c r="N87" s="51">
        <f>VLOOKUP($A87,'Data Vlaue (Cr)'!$C:$FB,64)</f>
        <v>1905</v>
      </c>
      <c r="O87" s="51">
        <f>VLOOKUP($A87,'Data Vlaue (Cr)'!$C:$FB,66)*100</f>
        <v>-50.19</v>
      </c>
    </row>
    <row r="88" spans="1:15" x14ac:dyDescent="0.25">
      <c r="A88" s="101" t="str">
        <f>'Data Vlaue (Cr)'!C83</f>
        <v>HINDALCO</v>
      </c>
      <c r="B88" s="50">
        <f>VLOOKUP($A88,'Data Vlaue (Cr)'!$C:$FB,8)</f>
        <v>1039</v>
      </c>
      <c r="C88" s="50">
        <f>VLOOKUP($A88,'Data Vlaue (Cr)'!$C:$FB,11)*100</f>
        <v>-0.09</v>
      </c>
      <c r="D88" s="50">
        <f>VLOOKUP($A88,'Data Vlaue (Cr)'!$C:$FB,143)</f>
        <v>4340.28</v>
      </c>
      <c r="E88" s="50">
        <f>VLOOKUP($A88,'Data Vlaue (Cr)'!$C:$FB,144)</f>
        <v>9887.7999999999993</v>
      </c>
      <c r="F88" s="50">
        <f>VLOOKUP($A88,'Data Vlaue (Cr)'!$C:$FB,146)*100</f>
        <v>-56.100000000000009</v>
      </c>
      <c r="G88" s="49">
        <f>VLOOKUP($A88,'Data Vlaue (Cr)'!$C:$FB,43)</f>
        <v>468</v>
      </c>
      <c r="H88" s="49">
        <f>VLOOKUP($A88,'Data Vlaue (Cr)'!$C:$FB,44)</f>
        <v>1126</v>
      </c>
      <c r="I88" s="49">
        <f>VLOOKUP($A88,'Data Vlaue (Cr)'!$C:$FB,46)*100</f>
        <v>-58.47</v>
      </c>
      <c r="J88" s="51">
        <f>VLOOKUP($A88,'Data Vlaue (Cr)'!$C:$FB,59)</f>
        <v>2151</v>
      </c>
      <c r="K88" s="51">
        <f>VLOOKUP($A88,'Data Vlaue (Cr)'!$C:$FB,60)</f>
        <v>5687</v>
      </c>
      <c r="L88" s="51">
        <f>VLOOKUP($A88,'Data Vlaue (Cr)'!$C:$FB,62)*100</f>
        <v>-62.17</v>
      </c>
      <c r="M88" s="51">
        <f>VLOOKUP($A88,'Data Vlaue (Cr)'!$C:$FB,63)</f>
        <v>1688</v>
      </c>
      <c r="N88" s="51">
        <f>VLOOKUP($A88,'Data Vlaue (Cr)'!$C:$FB,64)</f>
        <v>2919</v>
      </c>
      <c r="O88" s="51">
        <f>VLOOKUP($A88,'Data Vlaue (Cr)'!$C:$FB,66)*100</f>
        <v>-42.18</v>
      </c>
    </row>
    <row r="89" spans="1:15" x14ac:dyDescent="0.25">
      <c r="A89" s="101" t="str">
        <f>'Data Vlaue (Cr)'!C84</f>
        <v>HINDPETRO</v>
      </c>
      <c r="B89" s="50">
        <f>VLOOKUP($A89,'Data Vlaue (Cr)'!$C:$FB,8)</f>
        <v>370.85</v>
      </c>
      <c r="C89" s="50">
        <f>VLOOKUP($A89,'Data Vlaue (Cr)'!$C:$FB,11)*100</f>
        <v>0.16</v>
      </c>
      <c r="D89" s="50">
        <f>VLOOKUP($A89,'Data Vlaue (Cr)'!$C:$FB,143)</f>
        <v>1416.99</v>
      </c>
      <c r="E89" s="50">
        <f>VLOOKUP($A89,'Data Vlaue (Cr)'!$C:$FB,144)</f>
        <v>1207.19</v>
      </c>
      <c r="F89" s="50">
        <f>VLOOKUP($A89,'Data Vlaue (Cr)'!$C:$FB,146)*100</f>
        <v>17.380000000000003</v>
      </c>
      <c r="G89" s="49">
        <f>VLOOKUP($A89,'Data Vlaue (Cr)'!$C:$FB,43)</f>
        <v>278</v>
      </c>
      <c r="H89" s="49">
        <f>VLOOKUP($A89,'Data Vlaue (Cr)'!$C:$FB,44)</f>
        <v>228</v>
      </c>
      <c r="I89" s="49">
        <f>VLOOKUP($A89,'Data Vlaue (Cr)'!$C:$FB,46)*100</f>
        <v>22</v>
      </c>
      <c r="J89" s="51">
        <f>VLOOKUP($A89,'Data Vlaue (Cr)'!$C:$FB,59)</f>
        <v>632</v>
      </c>
      <c r="K89" s="51">
        <f>VLOOKUP($A89,'Data Vlaue (Cr)'!$C:$FB,60)</f>
        <v>581</v>
      </c>
      <c r="L89" s="51">
        <f>VLOOKUP($A89,'Data Vlaue (Cr)'!$C:$FB,62)*100</f>
        <v>8.7200000000000006</v>
      </c>
      <c r="M89" s="51">
        <f>VLOOKUP($A89,'Data Vlaue (Cr)'!$C:$FB,63)</f>
        <v>498</v>
      </c>
      <c r="N89" s="51">
        <f>VLOOKUP($A89,'Data Vlaue (Cr)'!$C:$FB,64)</f>
        <v>376</v>
      </c>
      <c r="O89" s="51">
        <f>VLOOKUP($A89,'Data Vlaue (Cr)'!$C:$FB,66)*100</f>
        <v>32.56</v>
      </c>
    </row>
    <row r="90" spans="1:15" x14ac:dyDescent="0.25">
      <c r="A90" s="101" t="str">
        <f>'Data Vlaue (Cr)'!C85</f>
        <v>HINDUNILVR</v>
      </c>
      <c r="B90" s="50">
        <f>VLOOKUP($A90,'Data Vlaue (Cr)'!$C:$FB,8)</f>
        <v>2240.8000000000002</v>
      </c>
      <c r="C90" s="50">
        <f>VLOOKUP($A90,'Data Vlaue (Cr)'!$C:$FB,11)*100</f>
        <v>4.75</v>
      </c>
      <c r="D90" s="50">
        <f>VLOOKUP($A90,'Data Vlaue (Cr)'!$C:$FB,143)</f>
        <v>13535.87</v>
      </c>
      <c r="E90" s="50">
        <f>VLOOKUP($A90,'Data Vlaue (Cr)'!$C:$FB,144)</f>
        <v>1978.2</v>
      </c>
      <c r="F90" s="50">
        <f>VLOOKUP($A90,'Data Vlaue (Cr)'!$C:$FB,146)*100</f>
        <v>584.25</v>
      </c>
      <c r="G90" s="49">
        <f>VLOOKUP($A90,'Data Vlaue (Cr)'!$C:$FB,43)</f>
        <v>1095</v>
      </c>
      <c r="H90" s="49">
        <f>VLOOKUP($A90,'Data Vlaue (Cr)'!$C:$FB,44)</f>
        <v>344</v>
      </c>
      <c r="I90" s="49">
        <f>VLOOKUP($A90,'Data Vlaue (Cr)'!$C:$FB,46)*100</f>
        <v>218.44</v>
      </c>
      <c r="J90" s="51">
        <f>VLOOKUP($A90,'Data Vlaue (Cr)'!$C:$FB,59)</f>
        <v>8667</v>
      </c>
      <c r="K90" s="51">
        <f>VLOOKUP($A90,'Data Vlaue (Cr)'!$C:$FB,60)</f>
        <v>1109</v>
      </c>
      <c r="L90" s="51">
        <f>VLOOKUP($A90,'Data Vlaue (Cr)'!$C:$FB,62)*100</f>
        <v>681.33999999999992</v>
      </c>
      <c r="M90" s="51">
        <f>VLOOKUP($A90,'Data Vlaue (Cr)'!$C:$FB,63)</f>
        <v>3659</v>
      </c>
      <c r="N90" s="51">
        <f>VLOOKUP($A90,'Data Vlaue (Cr)'!$C:$FB,64)</f>
        <v>577</v>
      </c>
      <c r="O90" s="51">
        <f>VLOOKUP($A90,'Data Vlaue (Cr)'!$C:$FB,66)*100</f>
        <v>534.51</v>
      </c>
    </row>
    <row r="91" spans="1:15" x14ac:dyDescent="0.25">
      <c r="A91" s="101" t="str">
        <f>'Data Vlaue (Cr)'!C86</f>
        <v>HINDZINC</v>
      </c>
      <c r="B91" s="50">
        <f>VLOOKUP($A91,'Data Vlaue (Cr)'!$C:$FB,8)</f>
        <v>592.29999999999995</v>
      </c>
      <c r="C91" s="50">
        <f>VLOOKUP($A91,'Data Vlaue (Cr)'!$C:$FB,11)*100</f>
        <v>-0.03</v>
      </c>
      <c r="D91" s="50">
        <f>VLOOKUP($A91,'Data Vlaue (Cr)'!$C:$FB,143)</f>
        <v>1888.95</v>
      </c>
      <c r="E91" s="50">
        <f>VLOOKUP($A91,'Data Vlaue (Cr)'!$C:$FB,144)</f>
        <v>4971.43</v>
      </c>
      <c r="F91" s="50">
        <f>VLOOKUP($A91,'Data Vlaue (Cr)'!$C:$FB,146)*100</f>
        <v>-62</v>
      </c>
      <c r="G91" s="49">
        <f>VLOOKUP($A91,'Data Vlaue (Cr)'!$C:$FB,43)</f>
        <v>329</v>
      </c>
      <c r="H91" s="49">
        <f>VLOOKUP($A91,'Data Vlaue (Cr)'!$C:$FB,44)</f>
        <v>448</v>
      </c>
      <c r="I91" s="49">
        <f>VLOOKUP($A91,'Data Vlaue (Cr)'!$C:$FB,46)*100</f>
        <v>-26.619999999999997</v>
      </c>
      <c r="J91" s="51">
        <f>VLOOKUP($A91,'Data Vlaue (Cr)'!$C:$FB,59)</f>
        <v>959</v>
      </c>
      <c r="K91" s="51">
        <f>VLOOKUP($A91,'Data Vlaue (Cr)'!$C:$FB,60)</f>
        <v>3047</v>
      </c>
      <c r="L91" s="51">
        <f>VLOOKUP($A91,'Data Vlaue (Cr)'!$C:$FB,62)*100</f>
        <v>-68.55</v>
      </c>
      <c r="M91" s="51">
        <f>VLOOKUP($A91,'Data Vlaue (Cr)'!$C:$FB,63)</f>
        <v>572</v>
      </c>
      <c r="N91" s="51">
        <f>VLOOKUP($A91,'Data Vlaue (Cr)'!$C:$FB,64)</f>
        <v>1348</v>
      </c>
      <c r="O91" s="51">
        <f>VLOOKUP($A91,'Data Vlaue (Cr)'!$C:$FB,66)*100</f>
        <v>-57.57</v>
      </c>
    </row>
    <row r="92" spans="1:15" x14ac:dyDescent="0.25">
      <c r="A92" s="101" t="str">
        <f>'Data Vlaue (Cr)'!C87</f>
        <v>HUDCO</v>
      </c>
      <c r="B92" s="50">
        <f>VLOOKUP($A92,'Data Vlaue (Cr)'!$C:$FB,8)</f>
        <v>196.91</v>
      </c>
      <c r="C92" s="50">
        <f>VLOOKUP($A92,'Data Vlaue (Cr)'!$C:$FB,11)*100</f>
        <v>1.67</v>
      </c>
      <c r="D92" s="50">
        <f>VLOOKUP($A92,'Data Vlaue (Cr)'!$C:$FB,143)</f>
        <v>904.18</v>
      </c>
      <c r="E92" s="50">
        <f>VLOOKUP($A92,'Data Vlaue (Cr)'!$C:$FB,144)</f>
        <v>865.46</v>
      </c>
      <c r="F92" s="50">
        <f>VLOOKUP($A92,'Data Vlaue (Cr)'!$C:$FB,146)*100</f>
        <v>4.47</v>
      </c>
      <c r="G92" s="49">
        <f>VLOOKUP($A92,'Data Vlaue (Cr)'!$C:$FB,43)</f>
        <v>153</v>
      </c>
      <c r="H92" s="49">
        <f>VLOOKUP($A92,'Data Vlaue (Cr)'!$C:$FB,44)</f>
        <v>131</v>
      </c>
      <c r="I92" s="49">
        <f>VLOOKUP($A92,'Data Vlaue (Cr)'!$C:$FB,46)*100</f>
        <v>16.189999999999998</v>
      </c>
      <c r="J92" s="51">
        <f>VLOOKUP($A92,'Data Vlaue (Cr)'!$C:$FB,59)</f>
        <v>477</v>
      </c>
      <c r="K92" s="51">
        <f>VLOOKUP($A92,'Data Vlaue (Cr)'!$C:$FB,60)</f>
        <v>522</v>
      </c>
      <c r="L92" s="51">
        <f>VLOOKUP($A92,'Data Vlaue (Cr)'!$C:$FB,62)*100</f>
        <v>-8.73</v>
      </c>
      <c r="M92" s="51">
        <f>VLOOKUP($A92,'Data Vlaue (Cr)'!$C:$FB,63)</f>
        <v>271</v>
      </c>
      <c r="N92" s="51">
        <f>VLOOKUP($A92,'Data Vlaue (Cr)'!$C:$FB,64)</f>
        <v>210</v>
      </c>
      <c r="O92" s="51">
        <f>VLOOKUP($A92,'Data Vlaue (Cr)'!$C:$FB,66)*100</f>
        <v>29.34</v>
      </c>
    </row>
    <row r="93" spans="1:15" x14ac:dyDescent="0.25">
      <c r="A93" s="101" t="str">
        <f>'Data Vlaue (Cr)'!C88</f>
        <v>HYUNDAI</v>
      </c>
      <c r="B93" s="50">
        <f>VLOOKUP($A93,'Data Vlaue (Cr)'!$C:$FB,8)</f>
        <v>1902.8</v>
      </c>
      <c r="C93" s="50">
        <f>VLOOKUP($A93,'Data Vlaue (Cr)'!$C:$FB,11)*100</f>
        <v>2.7199999999999998</v>
      </c>
      <c r="D93" s="50">
        <f>VLOOKUP($A93,'Data Vlaue (Cr)'!$C:$FB,143)</f>
        <v>1371.86</v>
      </c>
      <c r="E93" s="50">
        <f>VLOOKUP($A93,'Data Vlaue (Cr)'!$C:$FB,144)</f>
        <v>1721.96</v>
      </c>
      <c r="F93" s="50">
        <f>VLOOKUP($A93,'Data Vlaue (Cr)'!$C:$FB,146)*100</f>
        <v>-20.330000000000002</v>
      </c>
      <c r="G93" s="49">
        <f>VLOOKUP($A93,'Data Vlaue (Cr)'!$C:$FB,43)</f>
        <v>430</v>
      </c>
      <c r="H93" s="49">
        <f>VLOOKUP($A93,'Data Vlaue (Cr)'!$C:$FB,44)</f>
        <v>392</v>
      </c>
      <c r="I93" s="49">
        <f>VLOOKUP($A93,'Data Vlaue (Cr)'!$C:$FB,46)*100</f>
        <v>9.83</v>
      </c>
      <c r="J93" s="51">
        <f>VLOOKUP($A93,'Data Vlaue (Cr)'!$C:$FB,59)</f>
        <v>729</v>
      </c>
      <c r="K93" s="51">
        <f>VLOOKUP($A93,'Data Vlaue (Cr)'!$C:$FB,60)</f>
        <v>1079</v>
      </c>
      <c r="L93" s="51">
        <f>VLOOKUP($A93,'Data Vlaue (Cr)'!$C:$FB,62)*100</f>
        <v>-32.409999999999997</v>
      </c>
      <c r="M93" s="51">
        <f>VLOOKUP($A93,'Data Vlaue (Cr)'!$C:$FB,63)</f>
        <v>179</v>
      </c>
      <c r="N93" s="51">
        <f>VLOOKUP($A93,'Data Vlaue (Cr)'!$C:$FB,64)</f>
        <v>236</v>
      </c>
      <c r="O93" s="51">
        <f>VLOOKUP($A93,'Data Vlaue (Cr)'!$C:$FB,66)*100</f>
        <v>-24.240000000000002</v>
      </c>
    </row>
    <row r="94" spans="1:15" x14ac:dyDescent="0.25">
      <c r="A94" s="101" t="str">
        <f>'Data Vlaue (Cr)'!C89</f>
        <v>ICICIBANK</v>
      </c>
      <c r="B94" s="50">
        <f>VLOOKUP($A94,'Data Vlaue (Cr)'!$C:$FB,8)</f>
        <v>1346.8</v>
      </c>
      <c r="C94" s="50">
        <f>VLOOKUP($A94,'Data Vlaue (Cr)'!$C:$FB,11)*100</f>
        <v>0.1</v>
      </c>
      <c r="D94" s="50">
        <f>VLOOKUP($A94,'Data Vlaue (Cr)'!$C:$FB,143)</f>
        <v>15940.04</v>
      </c>
      <c r="E94" s="50">
        <f>VLOOKUP($A94,'Data Vlaue (Cr)'!$C:$FB,144)</f>
        <v>12500.29</v>
      </c>
      <c r="F94" s="50">
        <f>VLOOKUP($A94,'Data Vlaue (Cr)'!$C:$FB,146)*100</f>
        <v>27.52</v>
      </c>
      <c r="G94" s="49">
        <f>VLOOKUP($A94,'Data Vlaue (Cr)'!$C:$FB,43)</f>
        <v>2457</v>
      </c>
      <c r="H94" s="49">
        <f>VLOOKUP($A94,'Data Vlaue (Cr)'!$C:$FB,44)</f>
        <v>2435</v>
      </c>
      <c r="I94" s="49">
        <f>VLOOKUP($A94,'Data Vlaue (Cr)'!$C:$FB,46)*100</f>
        <v>0.89</v>
      </c>
      <c r="J94" s="51">
        <f>VLOOKUP($A94,'Data Vlaue (Cr)'!$C:$FB,59)</f>
        <v>7936</v>
      </c>
      <c r="K94" s="51">
        <f>VLOOKUP($A94,'Data Vlaue (Cr)'!$C:$FB,60)</f>
        <v>6130</v>
      </c>
      <c r="L94" s="51">
        <f>VLOOKUP($A94,'Data Vlaue (Cr)'!$C:$FB,62)*100</f>
        <v>29.470000000000002</v>
      </c>
      <c r="M94" s="51">
        <f>VLOOKUP($A94,'Data Vlaue (Cr)'!$C:$FB,63)</f>
        <v>5383</v>
      </c>
      <c r="N94" s="51">
        <f>VLOOKUP($A94,'Data Vlaue (Cr)'!$C:$FB,64)</f>
        <v>3709</v>
      </c>
      <c r="O94" s="51">
        <f>VLOOKUP($A94,'Data Vlaue (Cr)'!$C:$FB,66)*100</f>
        <v>45.129999999999995</v>
      </c>
    </row>
    <row r="95" spans="1:15" x14ac:dyDescent="0.25">
      <c r="A95" s="101" t="str">
        <f>'Data Vlaue (Cr)'!C90</f>
        <v>ICICIGI</v>
      </c>
      <c r="B95" s="50">
        <f>VLOOKUP($A95,'Data Vlaue (Cr)'!$C:$FB,8)</f>
        <v>1891.6</v>
      </c>
      <c r="C95" s="50">
        <f>VLOOKUP($A95,'Data Vlaue (Cr)'!$C:$FB,11)*100</f>
        <v>0.26</v>
      </c>
      <c r="D95" s="50">
        <f>VLOOKUP($A95,'Data Vlaue (Cr)'!$C:$FB,143)</f>
        <v>931.15</v>
      </c>
      <c r="E95" s="50">
        <f>VLOOKUP($A95,'Data Vlaue (Cr)'!$C:$FB,144)</f>
        <v>4488.05</v>
      </c>
      <c r="F95" s="50">
        <f>VLOOKUP($A95,'Data Vlaue (Cr)'!$C:$FB,146)*100</f>
        <v>-79.25</v>
      </c>
      <c r="G95" s="49">
        <f>VLOOKUP($A95,'Data Vlaue (Cr)'!$C:$FB,43)</f>
        <v>141</v>
      </c>
      <c r="H95" s="49">
        <f>VLOOKUP($A95,'Data Vlaue (Cr)'!$C:$FB,44)</f>
        <v>305</v>
      </c>
      <c r="I95" s="49">
        <f>VLOOKUP($A95,'Data Vlaue (Cr)'!$C:$FB,46)*100</f>
        <v>-53.72</v>
      </c>
      <c r="J95" s="51">
        <f>VLOOKUP($A95,'Data Vlaue (Cr)'!$C:$FB,59)</f>
        <v>473</v>
      </c>
      <c r="K95" s="51">
        <f>VLOOKUP($A95,'Data Vlaue (Cr)'!$C:$FB,60)</f>
        <v>2702</v>
      </c>
      <c r="L95" s="51">
        <f>VLOOKUP($A95,'Data Vlaue (Cr)'!$C:$FB,62)*100</f>
        <v>-82.49</v>
      </c>
      <c r="M95" s="51">
        <f>VLOOKUP($A95,'Data Vlaue (Cr)'!$C:$FB,63)</f>
        <v>310</v>
      </c>
      <c r="N95" s="51">
        <f>VLOOKUP($A95,'Data Vlaue (Cr)'!$C:$FB,64)</f>
        <v>1454</v>
      </c>
      <c r="O95" s="51">
        <f>VLOOKUP($A95,'Data Vlaue (Cr)'!$C:$FB,66)*100</f>
        <v>-78.7</v>
      </c>
    </row>
    <row r="96" spans="1:15" x14ac:dyDescent="0.25">
      <c r="A96" s="101" t="str">
        <f>'Data Vlaue (Cr)'!C91</f>
        <v>ICICIPRULI</v>
      </c>
      <c r="B96" s="50">
        <f>VLOOKUP($A96,'Data Vlaue (Cr)'!$C:$FB,8)</f>
        <v>562</v>
      </c>
      <c r="C96" s="50">
        <f>VLOOKUP($A96,'Data Vlaue (Cr)'!$C:$FB,11)*100</f>
        <v>0.73</v>
      </c>
      <c r="D96" s="50">
        <f>VLOOKUP($A96,'Data Vlaue (Cr)'!$C:$FB,143)</f>
        <v>1039.1600000000001</v>
      </c>
      <c r="E96" s="50">
        <f>VLOOKUP($A96,'Data Vlaue (Cr)'!$C:$FB,144)</f>
        <v>1008.2</v>
      </c>
      <c r="F96" s="50">
        <f>VLOOKUP($A96,'Data Vlaue (Cr)'!$C:$FB,146)*100</f>
        <v>3.0700000000000003</v>
      </c>
      <c r="G96" s="49">
        <f>VLOOKUP($A96,'Data Vlaue (Cr)'!$C:$FB,43)</f>
        <v>181</v>
      </c>
      <c r="H96" s="49">
        <f>VLOOKUP($A96,'Data Vlaue (Cr)'!$C:$FB,44)</f>
        <v>157</v>
      </c>
      <c r="I96" s="49">
        <f>VLOOKUP($A96,'Data Vlaue (Cr)'!$C:$FB,46)*100</f>
        <v>15.25</v>
      </c>
      <c r="J96" s="51">
        <f>VLOOKUP($A96,'Data Vlaue (Cr)'!$C:$FB,59)</f>
        <v>543</v>
      </c>
      <c r="K96" s="51">
        <f>VLOOKUP($A96,'Data Vlaue (Cr)'!$C:$FB,60)</f>
        <v>597</v>
      </c>
      <c r="L96" s="51">
        <f>VLOOKUP($A96,'Data Vlaue (Cr)'!$C:$FB,62)*100</f>
        <v>-9.01</v>
      </c>
      <c r="M96" s="51">
        <f>VLOOKUP($A96,'Data Vlaue (Cr)'!$C:$FB,63)</f>
        <v>301</v>
      </c>
      <c r="N96" s="51">
        <f>VLOOKUP($A96,'Data Vlaue (Cr)'!$C:$FB,64)</f>
        <v>229</v>
      </c>
      <c r="O96" s="51">
        <f>VLOOKUP($A96,'Data Vlaue (Cr)'!$C:$FB,66)*100</f>
        <v>31.59</v>
      </c>
    </row>
    <row r="97" spans="1:15" x14ac:dyDescent="0.25">
      <c r="A97" s="101" t="str">
        <f>'Data Vlaue (Cr)'!C92</f>
        <v>IDEA</v>
      </c>
      <c r="B97" s="50">
        <f>VLOOKUP($A97,'Data Vlaue (Cr)'!$C:$FB,8)</f>
        <v>9.61</v>
      </c>
      <c r="C97" s="50">
        <f>VLOOKUP($A97,'Data Vlaue (Cr)'!$C:$FB,11)*100</f>
        <v>0.84</v>
      </c>
      <c r="D97" s="50">
        <f>VLOOKUP($A97,'Data Vlaue (Cr)'!$C:$FB,143)</f>
        <v>1980.99</v>
      </c>
      <c r="E97" s="50">
        <f>VLOOKUP($A97,'Data Vlaue (Cr)'!$C:$FB,144)</f>
        <v>1781.97</v>
      </c>
      <c r="F97" s="50">
        <f>VLOOKUP($A97,'Data Vlaue (Cr)'!$C:$FB,146)*100</f>
        <v>11.17</v>
      </c>
      <c r="G97" s="49">
        <f>VLOOKUP($A97,'Data Vlaue (Cr)'!$C:$FB,43)</f>
        <v>756</v>
      </c>
      <c r="H97" s="49">
        <f>VLOOKUP($A97,'Data Vlaue (Cr)'!$C:$FB,44)</f>
        <v>445</v>
      </c>
      <c r="I97" s="49">
        <f>VLOOKUP($A97,'Data Vlaue (Cr)'!$C:$FB,46)*100</f>
        <v>69.64</v>
      </c>
      <c r="J97" s="51">
        <f>VLOOKUP($A97,'Data Vlaue (Cr)'!$C:$FB,59)</f>
        <v>825</v>
      </c>
      <c r="K97" s="51">
        <f>VLOOKUP($A97,'Data Vlaue (Cr)'!$C:$FB,60)</f>
        <v>921</v>
      </c>
      <c r="L97" s="51">
        <f>VLOOKUP($A97,'Data Vlaue (Cr)'!$C:$FB,62)*100</f>
        <v>-10.48</v>
      </c>
      <c r="M97" s="51">
        <f>VLOOKUP($A97,'Data Vlaue (Cr)'!$C:$FB,63)</f>
        <v>316</v>
      </c>
      <c r="N97" s="51">
        <f>VLOOKUP($A97,'Data Vlaue (Cr)'!$C:$FB,64)</f>
        <v>335</v>
      </c>
      <c r="O97" s="51">
        <f>VLOOKUP($A97,'Data Vlaue (Cr)'!$C:$FB,66)*100</f>
        <v>-5.62</v>
      </c>
    </row>
    <row r="98" spans="1:15" x14ac:dyDescent="0.25">
      <c r="A98" s="101" t="str">
        <f>'Data Vlaue (Cr)'!C93</f>
        <v>IDFCFIRSTB</v>
      </c>
      <c r="B98" s="50">
        <f>VLOOKUP($A98,'Data Vlaue (Cr)'!$C:$FB,8)</f>
        <v>68.53</v>
      </c>
      <c r="C98" s="50">
        <f>VLOOKUP($A98,'Data Vlaue (Cr)'!$C:$FB,11)*100</f>
        <v>1.05</v>
      </c>
      <c r="D98" s="50">
        <f>VLOOKUP($A98,'Data Vlaue (Cr)'!$C:$FB,143)</f>
        <v>1483.91</v>
      </c>
      <c r="E98" s="50">
        <f>VLOOKUP($A98,'Data Vlaue (Cr)'!$C:$FB,144)</f>
        <v>2014.07</v>
      </c>
      <c r="F98" s="50">
        <f>VLOOKUP($A98,'Data Vlaue (Cr)'!$C:$FB,146)*100</f>
        <v>-26.32</v>
      </c>
      <c r="G98" s="49">
        <f>VLOOKUP($A98,'Data Vlaue (Cr)'!$C:$FB,43)</f>
        <v>481</v>
      </c>
      <c r="H98" s="49">
        <f>VLOOKUP($A98,'Data Vlaue (Cr)'!$C:$FB,44)</f>
        <v>538</v>
      </c>
      <c r="I98" s="49">
        <f>VLOOKUP($A98,'Data Vlaue (Cr)'!$C:$FB,46)*100</f>
        <v>-10.530000000000001</v>
      </c>
      <c r="J98" s="51">
        <f>VLOOKUP($A98,'Data Vlaue (Cr)'!$C:$FB,59)</f>
        <v>530</v>
      </c>
      <c r="K98" s="51">
        <f>VLOOKUP($A98,'Data Vlaue (Cr)'!$C:$FB,60)</f>
        <v>822</v>
      </c>
      <c r="L98" s="51">
        <f>VLOOKUP($A98,'Data Vlaue (Cr)'!$C:$FB,62)*100</f>
        <v>-35.5</v>
      </c>
      <c r="M98" s="51">
        <f>VLOOKUP($A98,'Data Vlaue (Cr)'!$C:$FB,63)</f>
        <v>466</v>
      </c>
      <c r="N98" s="51">
        <f>VLOOKUP($A98,'Data Vlaue (Cr)'!$C:$FB,64)</f>
        <v>666</v>
      </c>
      <c r="O98" s="51">
        <f>VLOOKUP($A98,'Data Vlaue (Cr)'!$C:$FB,66)*100</f>
        <v>-29.959999999999997</v>
      </c>
    </row>
    <row r="99" spans="1:15" x14ac:dyDescent="0.25">
      <c r="A99" s="101" t="str">
        <f>'Data Vlaue (Cr)'!C94</f>
        <v>IEX</v>
      </c>
      <c r="B99" s="50">
        <f>VLOOKUP($A99,'Data Vlaue (Cr)'!$C:$FB,8)</f>
        <v>135.81</v>
      </c>
      <c r="C99" s="50">
        <f>VLOOKUP($A99,'Data Vlaue (Cr)'!$C:$FB,11)*100</f>
        <v>1.04</v>
      </c>
      <c r="D99" s="50">
        <f>VLOOKUP($A99,'Data Vlaue (Cr)'!$C:$FB,143)</f>
        <v>907.45</v>
      </c>
      <c r="E99" s="50">
        <f>VLOOKUP($A99,'Data Vlaue (Cr)'!$C:$FB,144)</f>
        <v>662.71</v>
      </c>
      <c r="F99" s="50">
        <f>VLOOKUP($A99,'Data Vlaue (Cr)'!$C:$FB,146)*100</f>
        <v>36.93</v>
      </c>
      <c r="G99" s="49">
        <f>VLOOKUP($A99,'Data Vlaue (Cr)'!$C:$FB,43)</f>
        <v>117</v>
      </c>
      <c r="H99" s="49">
        <f>VLOOKUP($A99,'Data Vlaue (Cr)'!$C:$FB,44)</f>
        <v>108</v>
      </c>
      <c r="I99" s="49">
        <f>VLOOKUP($A99,'Data Vlaue (Cr)'!$C:$FB,46)*100</f>
        <v>8.61</v>
      </c>
      <c r="J99" s="51">
        <f>VLOOKUP($A99,'Data Vlaue (Cr)'!$C:$FB,59)</f>
        <v>539</v>
      </c>
      <c r="K99" s="51">
        <f>VLOOKUP($A99,'Data Vlaue (Cr)'!$C:$FB,60)</f>
        <v>350</v>
      </c>
      <c r="L99" s="51">
        <f>VLOOKUP($A99,'Data Vlaue (Cr)'!$C:$FB,62)*100</f>
        <v>53.800000000000004</v>
      </c>
      <c r="M99" s="51">
        <f>VLOOKUP($A99,'Data Vlaue (Cr)'!$C:$FB,63)</f>
        <v>237</v>
      </c>
      <c r="N99" s="51">
        <f>VLOOKUP($A99,'Data Vlaue (Cr)'!$C:$FB,64)</f>
        <v>203</v>
      </c>
      <c r="O99" s="51">
        <f>VLOOKUP($A99,'Data Vlaue (Cr)'!$C:$FB,66)*100</f>
        <v>16.45</v>
      </c>
    </row>
    <row r="100" spans="1:15" x14ac:dyDescent="0.25">
      <c r="A100" s="101" t="str">
        <f>'Data Vlaue (Cr)'!C95</f>
        <v>INDHOTEL</v>
      </c>
      <c r="B100" s="50">
        <f>VLOOKUP($A100,'Data Vlaue (Cr)'!$C:$FB,8)</f>
        <v>659.3</v>
      </c>
      <c r="C100" s="50">
        <f>VLOOKUP($A100,'Data Vlaue (Cr)'!$C:$FB,11)*100</f>
        <v>1</v>
      </c>
      <c r="D100" s="50">
        <f>VLOOKUP($A100,'Data Vlaue (Cr)'!$C:$FB,143)</f>
        <v>1002.68</v>
      </c>
      <c r="E100" s="50">
        <f>VLOOKUP($A100,'Data Vlaue (Cr)'!$C:$FB,144)</f>
        <v>1148.3499999999999</v>
      </c>
      <c r="F100" s="50">
        <f>VLOOKUP($A100,'Data Vlaue (Cr)'!$C:$FB,146)*100</f>
        <v>-12.690000000000001</v>
      </c>
      <c r="G100" s="49">
        <f>VLOOKUP($A100,'Data Vlaue (Cr)'!$C:$FB,43)</f>
        <v>410</v>
      </c>
      <c r="H100" s="49">
        <f>VLOOKUP($A100,'Data Vlaue (Cr)'!$C:$FB,44)</f>
        <v>263</v>
      </c>
      <c r="I100" s="49">
        <f>VLOOKUP($A100,'Data Vlaue (Cr)'!$C:$FB,46)*100</f>
        <v>56.16</v>
      </c>
      <c r="J100" s="51">
        <f>VLOOKUP($A100,'Data Vlaue (Cr)'!$C:$FB,59)</f>
        <v>350</v>
      </c>
      <c r="K100" s="51">
        <f>VLOOKUP($A100,'Data Vlaue (Cr)'!$C:$FB,60)</f>
        <v>611</v>
      </c>
      <c r="L100" s="51">
        <f>VLOOKUP($A100,'Data Vlaue (Cr)'!$C:$FB,62)*100</f>
        <v>-42.8</v>
      </c>
      <c r="M100" s="51">
        <f>VLOOKUP($A100,'Data Vlaue (Cr)'!$C:$FB,63)</f>
        <v>238</v>
      </c>
      <c r="N100" s="51">
        <f>VLOOKUP($A100,'Data Vlaue (Cr)'!$C:$FB,64)</f>
        <v>269</v>
      </c>
      <c r="O100" s="51">
        <f>VLOOKUP($A100,'Data Vlaue (Cr)'!$C:$FB,66)*100</f>
        <v>-11.52</v>
      </c>
    </row>
    <row r="101" spans="1:15" x14ac:dyDescent="0.25">
      <c r="A101" s="101" t="str">
        <f>'Data Vlaue (Cr)'!C96</f>
        <v>INDIANB</v>
      </c>
      <c r="B101" s="50">
        <f>VLOOKUP($A101,'Data Vlaue (Cr)'!$C:$FB,8)</f>
        <v>939.45</v>
      </c>
      <c r="C101" s="50">
        <f>VLOOKUP($A101,'Data Vlaue (Cr)'!$C:$FB,11)*100</f>
        <v>-0.06</v>
      </c>
      <c r="D101" s="50">
        <f>VLOOKUP($A101,'Data Vlaue (Cr)'!$C:$FB,143)</f>
        <v>960.26</v>
      </c>
      <c r="E101" s="50">
        <f>VLOOKUP($A101,'Data Vlaue (Cr)'!$C:$FB,144)</f>
        <v>1547.41</v>
      </c>
      <c r="F101" s="50">
        <f>VLOOKUP($A101,'Data Vlaue (Cr)'!$C:$FB,146)*100</f>
        <v>-37.940000000000005</v>
      </c>
      <c r="G101" s="49">
        <f>VLOOKUP($A101,'Data Vlaue (Cr)'!$C:$FB,43)</f>
        <v>210</v>
      </c>
      <c r="H101" s="49">
        <f>VLOOKUP($A101,'Data Vlaue (Cr)'!$C:$FB,44)</f>
        <v>341</v>
      </c>
      <c r="I101" s="49">
        <f>VLOOKUP($A101,'Data Vlaue (Cr)'!$C:$FB,46)*100</f>
        <v>-38.47</v>
      </c>
      <c r="J101" s="51">
        <f>VLOOKUP($A101,'Data Vlaue (Cr)'!$C:$FB,59)</f>
        <v>532</v>
      </c>
      <c r="K101" s="51">
        <f>VLOOKUP($A101,'Data Vlaue (Cr)'!$C:$FB,60)</f>
        <v>829</v>
      </c>
      <c r="L101" s="51">
        <f>VLOOKUP($A101,'Data Vlaue (Cr)'!$C:$FB,62)*100</f>
        <v>-35.78</v>
      </c>
      <c r="M101" s="51">
        <f>VLOOKUP($A101,'Data Vlaue (Cr)'!$C:$FB,63)</f>
        <v>187</v>
      </c>
      <c r="N101" s="51">
        <f>VLOOKUP($A101,'Data Vlaue (Cr)'!$C:$FB,64)</f>
        <v>328</v>
      </c>
      <c r="O101" s="51">
        <f>VLOOKUP($A101,'Data Vlaue (Cr)'!$C:$FB,66)*100</f>
        <v>-43.01</v>
      </c>
    </row>
    <row r="102" spans="1:15" x14ac:dyDescent="0.25">
      <c r="A102" s="101" t="str">
        <f>'Data Vlaue (Cr)'!C97</f>
        <v>INDIAVIX</v>
      </c>
      <c r="B102" s="50">
        <f>VLOOKUP($A102,'Data Vlaue (Cr)'!$C:$FB,8)</f>
        <v>17.2</v>
      </c>
      <c r="C102" s="50">
        <f>VLOOKUP($A102,'Data Vlaue (Cr)'!$C:$FB,11)*100</f>
        <v>-4.8899999999999997</v>
      </c>
      <c r="D102" s="50">
        <f>VLOOKUP($A102,'Data Vlaue (Cr)'!$C:$FB,143)</f>
        <v>0</v>
      </c>
      <c r="E102" s="50">
        <f>VLOOKUP($A102,'Data Vlaue (Cr)'!$C:$FB,144)</f>
        <v>0</v>
      </c>
      <c r="F102" s="50">
        <f>VLOOKUP($A102,'Data Vlaue (Cr)'!$C:$FB,146)*100</f>
        <v>0</v>
      </c>
      <c r="G102" s="49">
        <f>VLOOKUP($A102,'Data Vlaue (Cr)'!$C:$FB,43)</f>
        <v>0</v>
      </c>
      <c r="H102" s="49">
        <f>VLOOKUP($A102,'Data Vlaue (Cr)'!$C:$FB,44)</f>
        <v>0</v>
      </c>
      <c r="I102" s="49">
        <f>VLOOKUP($A102,'Data Vlaue (Cr)'!$C:$FB,46)*100</f>
        <v>0</v>
      </c>
      <c r="J102" s="51">
        <f>VLOOKUP($A102,'Data Vlaue (Cr)'!$C:$FB,59)</f>
        <v>0</v>
      </c>
      <c r="K102" s="51">
        <f>VLOOKUP($A102,'Data Vlaue (Cr)'!$C:$FB,60)</f>
        <v>0</v>
      </c>
      <c r="L102" s="51">
        <f>VLOOKUP($A102,'Data Vlaue (Cr)'!$C:$FB,62)*100</f>
        <v>0</v>
      </c>
      <c r="M102" s="51">
        <f>VLOOKUP($A102,'Data Vlaue (Cr)'!$C:$FB,63)</f>
        <v>0</v>
      </c>
      <c r="N102" s="51">
        <f>VLOOKUP($A102,'Data Vlaue (Cr)'!$C:$FB,64)</f>
        <v>0</v>
      </c>
      <c r="O102" s="51">
        <f>VLOOKUP($A102,'Data Vlaue (Cr)'!$C:$FB,66)*100</f>
        <v>0</v>
      </c>
    </row>
    <row r="103" spans="1:15" x14ac:dyDescent="0.25">
      <c r="A103" s="101" t="str">
        <f>'Data Vlaue (Cr)'!C98</f>
        <v>INDIGO</v>
      </c>
      <c r="B103" s="50">
        <f>VLOOKUP($A103,'Data Vlaue (Cr)'!$C:$FB,8)</f>
        <v>4638.3999999999996</v>
      </c>
      <c r="C103" s="50">
        <f>VLOOKUP($A103,'Data Vlaue (Cr)'!$C:$FB,11)*100</f>
        <v>0.64</v>
      </c>
      <c r="D103" s="50">
        <f>VLOOKUP($A103,'Data Vlaue (Cr)'!$C:$FB,143)</f>
        <v>4155.1899999999996</v>
      </c>
      <c r="E103" s="50">
        <f>VLOOKUP($A103,'Data Vlaue (Cr)'!$C:$FB,144)</f>
        <v>4869.95</v>
      </c>
      <c r="F103" s="50">
        <f>VLOOKUP($A103,'Data Vlaue (Cr)'!$C:$FB,146)*100</f>
        <v>-14.680000000000001</v>
      </c>
      <c r="G103" s="49">
        <f>VLOOKUP($A103,'Data Vlaue (Cr)'!$C:$FB,43)</f>
        <v>411</v>
      </c>
      <c r="H103" s="49">
        <f>VLOOKUP($A103,'Data Vlaue (Cr)'!$C:$FB,44)</f>
        <v>519</v>
      </c>
      <c r="I103" s="49">
        <f>VLOOKUP($A103,'Data Vlaue (Cr)'!$C:$FB,46)*100</f>
        <v>-20.86</v>
      </c>
      <c r="J103" s="51">
        <f>VLOOKUP($A103,'Data Vlaue (Cr)'!$C:$FB,59)</f>
        <v>1982</v>
      </c>
      <c r="K103" s="51">
        <f>VLOOKUP($A103,'Data Vlaue (Cr)'!$C:$FB,60)</f>
        <v>2379</v>
      </c>
      <c r="L103" s="51">
        <f>VLOOKUP($A103,'Data Vlaue (Cr)'!$C:$FB,62)*100</f>
        <v>-16.689999999999998</v>
      </c>
      <c r="M103" s="51">
        <f>VLOOKUP($A103,'Data Vlaue (Cr)'!$C:$FB,63)</f>
        <v>1764</v>
      </c>
      <c r="N103" s="51">
        <f>VLOOKUP($A103,'Data Vlaue (Cr)'!$C:$FB,64)</f>
        <v>1935</v>
      </c>
      <c r="O103" s="51">
        <f>VLOOKUP($A103,'Data Vlaue (Cr)'!$C:$FB,66)*100</f>
        <v>-8.85</v>
      </c>
    </row>
    <row r="104" spans="1:15" x14ac:dyDescent="0.25">
      <c r="A104" s="101" t="str">
        <f>'Data Vlaue (Cr)'!C99</f>
        <v>INDUSINDBK</v>
      </c>
      <c r="B104" s="50">
        <f>VLOOKUP($A104,'Data Vlaue (Cr)'!$C:$FB,8)</f>
        <v>853.9</v>
      </c>
      <c r="C104" s="50">
        <f>VLOOKUP($A104,'Data Vlaue (Cr)'!$C:$FB,11)*100</f>
        <v>0.71000000000000008</v>
      </c>
      <c r="D104" s="50">
        <f>VLOOKUP($A104,'Data Vlaue (Cr)'!$C:$FB,143)</f>
        <v>1460.26</v>
      </c>
      <c r="E104" s="50">
        <f>VLOOKUP($A104,'Data Vlaue (Cr)'!$C:$FB,144)</f>
        <v>1991.73</v>
      </c>
      <c r="F104" s="50">
        <f>VLOOKUP($A104,'Data Vlaue (Cr)'!$C:$FB,146)*100</f>
        <v>-26.68</v>
      </c>
      <c r="G104" s="49">
        <f>VLOOKUP($A104,'Data Vlaue (Cr)'!$C:$FB,43)</f>
        <v>314</v>
      </c>
      <c r="H104" s="49">
        <f>VLOOKUP($A104,'Data Vlaue (Cr)'!$C:$FB,44)</f>
        <v>482</v>
      </c>
      <c r="I104" s="49">
        <f>VLOOKUP($A104,'Data Vlaue (Cr)'!$C:$FB,46)*100</f>
        <v>-34.83</v>
      </c>
      <c r="J104" s="51">
        <f>VLOOKUP($A104,'Data Vlaue (Cr)'!$C:$FB,59)</f>
        <v>714</v>
      </c>
      <c r="K104" s="51">
        <f>VLOOKUP($A104,'Data Vlaue (Cr)'!$C:$FB,60)</f>
        <v>856</v>
      </c>
      <c r="L104" s="51">
        <f>VLOOKUP($A104,'Data Vlaue (Cr)'!$C:$FB,62)*100</f>
        <v>-16.650000000000002</v>
      </c>
      <c r="M104" s="51">
        <f>VLOOKUP($A104,'Data Vlaue (Cr)'!$C:$FB,63)</f>
        <v>414</v>
      </c>
      <c r="N104" s="51">
        <f>VLOOKUP($A104,'Data Vlaue (Cr)'!$C:$FB,64)</f>
        <v>630</v>
      </c>
      <c r="O104" s="51">
        <f>VLOOKUP($A104,'Data Vlaue (Cr)'!$C:$FB,66)*100</f>
        <v>-34.39</v>
      </c>
    </row>
    <row r="105" spans="1:15" x14ac:dyDescent="0.25">
      <c r="A105" s="101" t="str">
        <f>'Data Vlaue (Cr)'!C100</f>
        <v>INDUSTOWER</v>
      </c>
      <c r="B105" s="50">
        <f>VLOOKUP($A105,'Data Vlaue (Cr)'!$C:$FB,8)</f>
        <v>412.25</v>
      </c>
      <c r="C105" s="50">
        <f>VLOOKUP($A105,'Data Vlaue (Cr)'!$C:$FB,11)*100</f>
        <v>-0.22</v>
      </c>
      <c r="D105" s="50">
        <f>VLOOKUP($A105,'Data Vlaue (Cr)'!$C:$FB,143)</f>
        <v>3110.94</v>
      </c>
      <c r="E105" s="50">
        <f>VLOOKUP($A105,'Data Vlaue (Cr)'!$C:$FB,144)</f>
        <v>2457.79</v>
      </c>
      <c r="F105" s="50">
        <f>VLOOKUP($A105,'Data Vlaue (Cr)'!$C:$FB,146)*100</f>
        <v>26.57</v>
      </c>
      <c r="G105" s="49">
        <f>VLOOKUP($A105,'Data Vlaue (Cr)'!$C:$FB,43)</f>
        <v>818</v>
      </c>
      <c r="H105" s="49">
        <f>VLOOKUP($A105,'Data Vlaue (Cr)'!$C:$FB,44)</f>
        <v>472</v>
      </c>
      <c r="I105" s="49">
        <f>VLOOKUP($A105,'Data Vlaue (Cr)'!$C:$FB,46)*100</f>
        <v>73.36</v>
      </c>
      <c r="J105" s="51">
        <f>VLOOKUP($A105,'Data Vlaue (Cr)'!$C:$FB,59)</f>
        <v>1459</v>
      </c>
      <c r="K105" s="51">
        <f>VLOOKUP($A105,'Data Vlaue (Cr)'!$C:$FB,60)</f>
        <v>1294</v>
      </c>
      <c r="L105" s="51">
        <f>VLOOKUP($A105,'Data Vlaue (Cr)'!$C:$FB,62)*100</f>
        <v>12.7</v>
      </c>
      <c r="M105" s="51">
        <f>VLOOKUP($A105,'Data Vlaue (Cr)'!$C:$FB,63)</f>
        <v>762</v>
      </c>
      <c r="N105" s="51">
        <f>VLOOKUP($A105,'Data Vlaue (Cr)'!$C:$FB,64)</f>
        <v>587</v>
      </c>
      <c r="O105" s="51">
        <f>VLOOKUP($A105,'Data Vlaue (Cr)'!$C:$FB,66)*100</f>
        <v>29.720000000000002</v>
      </c>
    </row>
    <row r="106" spans="1:15" x14ac:dyDescent="0.25">
      <c r="A106" s="101" t="str">
        <f>'Data Vlaue (Cr)'!C101</f>
        <v>INFY</v>
      </c>
      <c r="B106" s="50">
        <f>VLOOKUP($A106,'Data Vlaue (Cr)'!$C:$FB,8)</f>
        <v>1318.7</v>
      </c>
      <c r="C106" s="50">
        <f>VLOOKUP($A106,'Data Vlaue (Cr)'!$C:$FB,11)*100</f>
        <v>-0.04</v>
      </c>
      <c r="D106" s="50">
        <f>VLOOKUP($A106,'Data Vlaue (Cr)'!$C:$FB,143)</f>
        <v>5672.11</v>
      </c>
      <c r="E106" s="50">
        <f>VLOOKUP($A106,'Data Vlaue (Cr)'!$C:$FB,144)</f>
        <v>9235.2900000000009</v>
      </c>
      <c r="F106" s="50">
        <f>VLOOKUP($A106,'Data Vlaue (Cr)'!$C:$FB,146)*100</f>
        <v>-38.58</v>
      </c>
      <c r="G106" s="49">
        <f>VLOOKUP($A106,'Data Vlaue (Cr)'!$C:$FB,43)</f>
        <v>1462</v>
      </c>
      <c r="H106" s="49">
        <f>VLOOKUP($A106,'Data Vlaue (Cr)'!$C:$FB,44)</f>
        <v>2186</v>
      </c>
      <c r="I106" s="49">
        <f>VLOOKUP($A106,'Data Vlaue (Cr)'!$C:$FB,46)*100</f>
        <v>-33.129999999999995</v>
      </c>
      <c r="J106" s="51">
        <f>VLOOKUP($A106,'Data Vlaue (Cr)'!$C:$FB,59)</f>
        <v>2395</v>
      </c>
      <c r="K106" s="51">
        <f>VLOOKUP($A106,'Data Vlaue (Cr)'!$C:$FB,60)</f>
        <v>4505</v>
      </c>
      <c r="L106" s="51">
        <f>VLOOKUP($A106,'Data Vlaue (Cr)'!$C:$FB,62)*100</f>
        <v>-46.85</v>
      </c>
      <c r="M106" s="51">
        <f>VLOOKUP($A106,'Data Vlaue (Cr)'!$C:$FB,63)</f>
        <v>1756</v>
      </c>
      <c r="N106" s="51">
        <f>VLOOKUP($A106,'Data Vlaue (Cr)'!$C:$FB,64)</f>
        <v>2404</v>
      </c>
      <c r="O106" s="51">
        <f>VLOOKUP($A106,'Data Vlaue (Cr)'!$C:$FB,66)*100</f>
        <v>-26.96</v>
      </c>
    </row>
    <row r="107" spans="1:15" x14ac:dyDescent="0.25">
      <c r="A107" s="101" t="str">
        <f>'Data Vlaue (Cr)'!C102</f>
        <v>INOXWIND</v>
      </c>
      <c r="B107" s="50">
        <f>VLOOKUP($A107,'Data Vlaue (Cr)'!$C:$FB,8)</f>
        <v>97.9</v>
      </c>
      <c r="C107" s="50">
        <f>VLOOKUP($A107,'Data Vlaue (Cr)'!$C:$FB,11)*100</f>
        <v>2.62</v>
      </c>
      <c r="D107" s="50">
        <f>VLOOKUP($A107,'Data Vlaue (Cr)'!$C:$FB,143)</f>
        <v>1125.5999999999999</v>
      </c>
      <c r="E107" s="50">
        <f>VLOOKUP($A107,'Data Vlaue (Cr)'!$C:$FB,144)</f>
        <v>716.49</v>
      </c>
      <c r="F107" s="50">
        <f>VLOOKUP($A107,'Data Vlaue (Cr)'!$C:$FB,146)*100</f>
        <v>57.099999999999994</v>
      </c>
      <c r="G107" s="49">
        <f>VLOOKUP($A107,'Data Vlaue (Cr)'!$C:$FB,43)</f>
        <v>335</v>
      </c>
      <c r="H107" s="49">
        <f>VLOOKUP($A107,'Data Vlaue (Cr)'!$C:$FB,44)</f>
        <v>214</v>
      </c>
      <c r="I107" s="49">
        <f>VLOOKUP($A107,'Data Vlaue (Cr)'!$C:$FB,46)*100</f>
        <v>56.769999999999996</v>
      </c>
      <c r="J107" s="51">
        <f>VLOOKUP($A107,'Data Vlaue (Cr)'!$C:$FB,59)</f>
        <v>561</v>
      </c>
      <c r="K107" s="51">
        <f>VLOOKUP($A107,'Data Vlaue (Cr)'!$C:$FB,60)</f>
        <v>340</v>
      </c>
      <c r="L107" s="51">
        <f>VLOOKUP($A107,'Data Vlaue (Cr)'!$C:$FB,62)*100</f>
        <v>64.69</v>
      </c>
      <c r="M107" s="51">
        <f>VLOOKUP($A107,'Data Vlaue (Cr)'!$C:$FB,63)</f>
        <v>197</v>
      </c>
      <c r="N107" s="51">
        <f>VLOOKUP($A107,'Data Vlaue (Cr)'!$C:$FB,64)</f>
        <v>172</v>
      </c>
      <c r="O107" s="51">
        <f>VLOOKUP($A107,'Data Vlaue (Cr)'!$C:$FB,66)*100</f>
        <v>14.63</v>
      </c>
    </row>
    <row r="108" spans="1:15" x14ac:dyDescent="0.25">
      <c r="A108" s="101" t="str">
        <f>'Data Vlaue (Cr)'!C103</f>
        <v>IOC</v>
      </c>
      <c r="B108" s="50">
        <f>VLOOKUP($A108,'Data Vlaue (Cr)'!$C:$FB,8)</f>
        <v>145.88</v>
      </c>
      <c r="C108" s="50">
        <f>VLOOKUP($A108,'Data Vlaue (Cr)'!$C:$FB,11)*100</f>
        <v>1.17</v>
      </c>
      <c r="D108" s="50">
        <f>VLOOKUP($A108,'Data Vlaue (Cr)'!$C:$FB,143)</f>
        <v>1035.24</v>
      </c>
      <c r="E108" s="50">
        <f>VLOOKUP($A108,'Data Vlaue (Cr)'!$C:$FB,144)</f>
        <v>1073.9000000000001</v>
      </c>
      <c r="F108" s="50">
        <f>VLOOKUP($A108,'Data Vlaue (Cr)'!$C:$FB,146)*100</f>
        <v>-3.5999999999999996</v>
      </c>
      <c r="G108" s="49">
        <f>VLOOKUP($A108,'Data Vlaue (Cr)'!$C:$FB,43)</f>
        <v>196</v>
      </c>
      <c r="H108" s="49">
        <f>VLOOKUP($A108,'Data Vlaue (Cr)'!$C:$FB,44)</f>
        <v>310</v>
      </c>
      <c r="I108" s="49">
        <f>VLOOKUP($A108,'Data Vlaue (Cr)'!$C:$FB,46)*100</f>
        <v>-36.61</v>
      </c>
      <c r="J108" s="51">
        <f>VLOOKUP($A108,'Data Vlaue (Cr)'!$C:$FB,59)</f>
        <v>516</v>
      </c>
      <c r="K108" s="51">
        <f>VLOOKUP($A108,'Data Vlaue (Cr)'!$C:$FB,60)</f>
        <v>434</v>
      </c>
      <c r="L108" s="51">
        <f>VLOOKUP($A108,'Data Vlaue (Cr)'!$C:$FB,62)*100</f>
        <v>18.77</v>
      </c>
      <c r="M108" s="51">
        <f>VLOOKUP($A108,'Data Vlaue (Cr)'!$C:$FB,63)</f>
        <v>307</v>
      </c>
      <c r="N108" s="51">
        <f>VLOOKUP($A108,'Data Vlaue (Cr)'!$C:$FB,64)</f>
        <v>328</v>
      </c>
      <c r="O108" s="51">
        <f>VLOOKUP($A108,'Data Vlaue (Cr)'!$C:$FB,66)*100</f>
        <v>-6.36</v>
      </c>
    </row>
    <row r="109" spans="1:15" x14ac:dyDescent="0.25">
      <c r="A109" s="101" t="str">
        <f>'Data Vlaue (Cr)'!C104</f>
        <v>IREDA</v>
      </c>
      <c r="B109" s="50">
        <f>VLOOKUP($A109,'Data Vlaue (Cr)'!$C:$FB,8)</f>
        <v>133.01</v>
      </c>
      <c r="C109" s="50">
        <f>VLOOKUP($A109,'Data Vlaue (Cr)'!$C:$FB,11)*100</f>
        <v>2.77</v>
      </c>
      <c r="D109" s="50">
        <f>VLOOKUP($A109,'Data Vlaue (Cr)'!$C:$FB,143)</f>
        <v>1257.17</v>
      </c>
      <c r="E109" s="50">
        <f>VLOOKUP($A109,'Data Vlaue (Cr)'!$C:$FB,144)</f>
        <v>1016.73</v>
      </c>
      <c r="F109" s="50">
        <f>VLOOKUP($A109,'Data Vlaue (Cr)'!$C:$FB,146)*100</f>
        <v>23.65</v>
      </c>
      <c r="G109" s="49">
        <f>VLOOKUP($A109,'Data Vlaue (Cr)'!$C:$FB,43)</f>
        <v>330</v>
      </c>
      <c r="H109" s="49">
        <f>VLOOKUP($A109,'Data Vlaue (Cr)'!$C:$FB,44)</f>
        <v>275</v>
      </c>
      <c r="I109" s="49">
        <f>VLOOKUP($A109,'Data Vlaue (Cr)'!$C:$FB,46)*100</f>
        <v>20.07</v>
      </c>
      <c r="J109" s="51">
        <f>VLOOKUP($A109,'Data Vlaue (Cr)'!$C:$FB,59)</f>
        <v>687</v>
      </c>
      <c r="K109" s="51">
        <f>VLOOKUP($A109,'Data Vlaue (Cr)'!$C:$FB,60)</f>
        <v>547</v>
      </c>
      <c r="L109" s="51">
        <f>VLOOKUP($A109,'Data Vlaue (Cr)'!$C:$FB,62)*100</f>
        <v>25.590000000000003</v>
      </c>
      <c r="M109" s="51">
        <f>VLOOKUP($A109,'Data Vlaue (Cr)'!$C:$FB,63)</f>
        <v>222</v>
      </c>
      <c r="N109" s="51">
        <f>VLOOKUP($A109,'Data Vlaue (Cr)'!$C:$FB,64)</f>
        <v>210</v>
      </c>
      <c r="O109" s="51">
        <f>VLOOKUP($A109,'Data Vlaue (Cr)'!$C:$FB,66)*100</f>
        <v>6.01</v>
      </c>
    </row>
    <row r="110" spans="1:15" x14ac:dyDescent="0.25">
      <c r="A110" s="101" t="str">
        <f>'Data Vlaue (Cr)'!C105</f>
        <v>IRFC</v>
      </c>
      <c r="B110" s="50">
        <f>VLOOKUP($A110,'Data Vlaue (Cr)'!$C:$FB,8)</f>
        <v>104.84</v>
      </c>
      <c r="C110" s="50">
        <f>VLOOKUP($A110,'Data Vlaue (Cr)'!$C:$FB,11)*100</f>
        <v>1.55</v>
      </c>
      <c r="D110" s="50">
        <f>VLOOKUP($A110,'Data Vlaue (Cr)'!$C:$FB,143)</f>
        <v>1297.42</v>
      </c>
      <c r="E110" s="50">
        <f>VLOOKUP($A110,'Data Vlaue (Cr)'!$C:$FB,144)</f>
        <v>1095.22</v>
      </c>
      <c r="F110" s="50">
        <f>VLOOKUP($A110,'Data Vlaue (Cr)'!$C:$FB,146)*100</f>
        <v>18.459999999999997</v>
      </c>
      <c r="G110" s="49">
        <f>VLOOKUP($A110,'Data Vlaue (Cr)'!$C:$FB,43)</f>
        <v>191</v>
      </c>
      <c r="H110" s="49">
        <f>VLOOKUP($A110,'Data Vlaue (Cr)'!$C:$FB,44)</f>
        <v>145</v>
      </c>
      <c r="I110" s="49">
        <f>VLOOKUP($A110,'Data Vlaue (Cr)'!$C:$FB,46)*100</f>
        <v>32.17</v>
      </c>
      <c r="J110" s="51">
        <f>VLOOKUP($A110,'Data Vlaue (Cr)'!$C:$FB,59)</f>
        <v>773</v>
      </c>
      <c r="K110" s="51">
        <f>VLOOKUP($A110,'Data Vlaue (Cr)'!$C:$FB,60)</f>
        <v>690</v>
      </c>
      <c r="L110" s="51">
        <f>VLOOKUP($A110,'Data Vlaue (Cr)'!$C:$FB,62)*100</f>
        <v>11.97</v>
      </c>
      <c r="M110" s="51">
        <f>VLOOKUP($A110,'Data Vlaue (Cr)'!$C:$FB,63)</f>
        <v>302</v>
      </c>
      <c r="N110" s="51">
        <f>VLOOKUP($A110,'Data Vlaue (Cr)'!$C:$FB,64)</f>
        <v>248</v>
      </c>
      <c r="O110" s="51">
        <f>VLOOKUP($A110,'Data Vlaue (Cr)'!$C:$FB,66)*100</f>
        <v>22.13</v>
      </c>
    </row>
    <row r="111" spans="1:15" x14ac:dyDescent="0.25">
      <c r="A111" s="101" t="str">
        <f>'Data Vlaue (Cr)'!C106</f>
        <v>ITC</v>
      </c>
      <c r="B111" s="50">
        <f>VLOOKUP($A111,'Data Vlaue (Cr)'!$C:$FB,8)</f>
        <v>306.8</v>
      </c>
      <c r="C111" s="50">
        <f>VLOOKUP($A111,'Data Vlaue (Cr)'!$C:$FB,11)*100</f>
        <v>1.1199999999999999</v>
      </c>
      <c r="D111" s="50">
        <f>VLOOKUP($A111,'Data Vlaue (Cr)'!$C:$FB,143)</f>
        <v>13755.53</v>
      </c>
      <c r="E111" s="50">
        <f>VLOOKUP($A111,'Data Vlaue (Cr)'!$C:$FB,144)</f>
        <v>3952.65</v>
      </c>
      <c r="F111" s="50">
        <f>VLOOKUP($A111,'Data Vlaue (Cr)'!$C:$FB,146)*100</f>
        <v>248.01000000000002</v>
      </c>
      <c r="G111" s="49">
        <f>VLOOKUP($A111,'Data Vlaue (Cr)'!$C:$FB,43)</f>
        <v>1037</v>
      </c>
      <c r="H111" s="49">
        <f>VLOOKUP($A111,'Data Vlaue (Cr)'!$C:$FB,44)</f>
        <v>371</v>
      </c>
      <c r="I111" s="49">
        <f>VLOOKUP($A111,'Data Vlaue (Cr)'!$C:$FB,46)*100</f>
        <v>179.51</v>
      </c>
      <c r="J111" s="51">
        <f>VLOOKUP($A111,'Data Vlaue (Cr)'!$C:$FB,59)</f>
        <v>8768</v>
      </c>
      <c r="K111" s="51">
        <f>VLOOKUP($A111,'Data Vlaue (Cr)'!$C:$FB,60)</f>
        <v>2427</v>
      </c>
      <c r="L111" s="51">
        <f>VLOOKUP($A111,'Data Vlaue (Cr)'!$C:$FB,62)*100</f>
        <v>261.2</v>
      </c>
      <c r="M111" s="51">
        <f>VLOOKUP($A111,'Data Vlaue (Cr)'!$C:$FB,63)</f>
        <v>3755</v>
      </c>
      <c r="N111" s="51">
        <f>VLOOKUP($A111,'Data Vlaue (Cr)'!$C:$FB,64)</f>
        <v>1146</v>
      </c>
      <c r="O111" s="51">
        <f>VLOOKUP($A111,'Data Vlaue (Cr)'!$C:$FB,66)*100</f>
        <v>227.61999999999998</v>
      </c>
    </row>
    <row r="112" spans="1:15" x14ac:dyDescent="0.25">
      <c r="A112" s="101" t="str">
        <f>'Data Vlaue (Cr)'!C107</f>
        <v>JINDALSTEL</v>
      </c>
      <c r="B112" s="50">
        <f>VLOOKUP($A112,'Data Vlaue (Cr)'!$C:$FB,8)</f>
        <v>1270</v>
      </c>
      <c r="C112" s="50">
        <f>VLOOKUP($A112,'Data Vlaue (Cr)'!$C:$FB,11)*100</f>
        <v>3.39</v>
      </c>
      <c r="D112" s="50">
        <f>VLOOKUP($A112,'Data Vlaue (Cr)'!$C:$FB,143)</f>
        <v>3163.72</v>
      </c>
      <c r="E112" s="50">
        <f>VLOOKUP($A112,'Data Vlaue (Cr)'!$C:$FB,144)</f>
        <v>988.57</v>
      </c>
      <c r="F112" s="50">
        <f>VLOOKUP($A112,'Data Vlaue (Cr)'!$C:$FB,146)*100</f>
        <v>220.03</v>
      </c>
      <c r="G112" s="49">
        <f>VLOOKUP($A112,'Data Vlaue (Cr)'!$C:$FB,43)</f>
        <v>475</v>
      </c>
      <c r="H112" s="49">
        <f>VLOOKUP($A112,'Data Vlaue (Cr)'!$C:$FB,44)</f>
        <v>240</v>
      </c>
      <c r="I112" s="49">
        <f>VLOOKUP($A112,'Data Vlaue (Cr)'!$C:$FB,46)*100</f>
        <v>98.009999999999991</v>
      </c>
      <c r="J112" s="51">
        <f>VLOOKUP($A112,'Data Vlaue (Cr)'!$C:$FB,59)</f>
        <v>1677</v>
      </c>
      <c r="K112" s="51">
        <f>VLOOKUP($A112,'Data Vlaue (Cr)'!$C:$FB,60)</f>
        <v>499</v>
      </c>
      <c r="L112" s="51">
        <f>VLOOKUP($A112,'Data Vlaue (Cr)'!$C:$FB,62)*100</f>
        <v>236.04</v>
      </c>
      <c r="M112" s="51">
        <f>VLOOKUP($A112,'Data Vlaue (Cr)'!$C:$FB,63)</f>
        <v>1015</v>
      </c>
      <c r="N112" s="51">
        <f>VLOOKUP($A112,'Data Vlaue (Cr)'!$C:$FB,64)</f>
        <v>268</v>
      </c>
      <c r="O112" s="51">
        <f>VLOOKUP($A112,'Data Vlaue (Cr)'!$C:$FB,66)*100</f>
        <v>278.74</v>
      </c>
    </row>
    <row r="113" spans="1:15" x14ac:dyDescent="0.25">
      <c r="A113" s="101" t="str">
        <f>'Data Vlaue (Cr)'!C108</f>
        <v>JIOFIN</v>
      </c>
      <c r="B113" s="50">
        <f>VLOOKUP($A113,'Data Vlaue (Cr)'!$C:$FB,8)</f>
        <v>243.86</v>
      </c>
      <c r="C113" s="50">
        <f>VLOOKUP($A113,'Data Vlaue (Cr)'!$C:$FB,11)*100</f>
        <v>1.0699999999999998</v>
      </c>
      <c r="D113" s="50">
        <f>VLOOKUP($A113,'Data Vlaue (Cr)'!$C:$FB,143)</f>
        <v>5351.69</v>
      </c>
      <c r="E113" s="50">
        <f>VLOOKUP($A113,'Data Vlaue (Cr)'!$C:$FB,144)</f>
        <v>2380.12</v>
      </c>
      <c r="F113" s="50">
        <f>VLOOKUP($A113,'Data Vlaue (Cr)'!$C:$FB,146)*100</f>
        <v>124.85</v>
      </c>
      <c r="G113" s="49">
        <f>VLOOKUP($A113,'Data Vlaue (Cr)'!$C:$FB,43)</f>
        <v>1071</v>
      </c>
      <c r="H113" s="49">
        <f>VLOOKUP($A113,'Data Vlaue (Cr)'!$C:$FB,44)</f>
        <v>631</v>
      </c>
      <c r="I113" s="49">
        <f>VLOOKUP($A113,'Data Vlaue (Cr)'!$C:$FB,46)*100</f>
        <v>69.72</v>
      </c>
      <c r="J113" s="51">
        <f>VLOOKUP($A113,'Data Vlaue (Cr)'!$C:$FB,59)</f>
        <v>3094</v>
      </c>
      <c r="K113" s="51">
        <f>VLOOKUP($A113,'Data Vlaue (Cr)'!$C:$FB,60)</f>
        <v>1171</v>
      </c>
      <c r="L113" s="51">
        <f>VLOOKUP($A113,'Data Vlaue (Cr)'!$C:$FB,62)*100</f>
        <v>164.11</v>
      </c>
      <c r="M113" s="51">
        <f>VLOOKUP($A113,'Data Vlaue (Cr)'!$C:$FB,63)</f>
        <v>1038</v>
      </c>
      <c r="N113" s="51">
        <f>VLOOKUP($A113,'Data Vlaue (Cr)'!$C:$FB,64)</f>
        <v>542</v>
      </c>
      <c r="O113" s="51">
        <f>VLOOKUP($A113,'Data Vlaue (Cr)'!$C:$FB,66)*100</f>
        <v>91.43</v>
      </c>
    </row>
    <row r="114" spans="1:15" x14ac:dyDescent="0.25">
      <c r="A114" s="101" t="str">
        <f>'Data Vlaue (Cr)'!C109</f>
        <v>JSWENERGY</v>
      </c>
      <c r="B114" s="50">
        <f>VLOOKUP($A114,'Data Vlaue (Cr)'!$C:$FB,8)</f>
        <v>538.04999999999995</v>
      </c>
      <c r="C114" s="50">
        <f>VLOOKUP($A114,'Data Vlaue (Cr)'!$C:$FB,11)*100</f>
        <v>0.38999999999999996</v>
      </c>
      <c r="D114" s="50">
        <f>VLOOKUP($A114,'Data Vlaue (Cr)'!$C:$FB,143)</f>
        <v>871.35</v>
      </c>
      <c r="E114" s="50">
        <f>VLOOKUP($A114,'Data Vlaue (Cr)'!$C:$FB,144)</f>
        <v>1324.11</v>
      </c>
      <c r="F114" s="50">
        <f>VLOOKUP($A114,'Data Vlaue (Cr)'!$C:$FB,146)*100</f>
        <v>-34.19</v>
      </c>
      <c r="G114" s="49">
        <f>VLOOKUP($A114,'Data Vlaue (Cr)'!$C:$FB,43)</f>
        <v>196</v>
      </c>
      <c r="H114" s="49">
        <f>VLOOKUP($A114,'Data Vlaue (Cr)'!$C:$FB,44)</f>
        <v>279</v>
      </c>
      <c r="I114" s="49">
        <f>VLOOKUP($A114,'Data Vlaue (Cr)'!$C:$FB,46)*100</f>
        <v>-29.74</v>
      </c>
      <c r="J114" s="51">
        <f>VLOOKUP($A114,'Data Vlaue (Cr)'!$C:$FB,59)</f>
        <v>436</v>
      </c>
      <c r="K114" s="51">
        <f>VLOOKUP($A114,'Data Vlaue (Cr)'!$C:$FB,60)</f>
        <v>664</v>
      </c>
      <c r="L114" s="51">
        <f>VLOOKUP($A114,'Data Vlaue (Cr)'!$C:$FB,62)*100</f>
        <v>-34.36</v>
      </c>
      <c r="M114" s="51">
        <f>VLOOKUP($A114,'Data Vlaue (Cr)'!$C:$FB,63)</f>
        <v>232</v>
      </c>
      <c r="N114" s="51">
        <f>VLOOKUP($A114,'Data Vlaue (Cr)'!$C:$FB,64)</f>
        <v>383</v>
      </c>
      <c r="O114" s="51">
        <f>VLOOKUP($A114,'Data Vlaue (Cr)'!$C:$FB,66)*100</f>
        <v>-39.33</v>
      </c>
    </row>
    <row r="115" spans="1:15" x14ac:dyDescent="0.25">
      <c r="A115" s="101" t="str">
        <f>'Data Vlaue (Cr)'!C110</f>
        <v>JSWSTEEL</v>
      </c>
      <c r="B115" s="50">
        <f>VLOOKUP($A115,'Data Vlaue (Cr)'!$C:$FB,8)</f>
        <v>1240.3</v>
      </c>
      <c r="C115" s="50">
        <f>VLOOKUP($A115,'Data Vlaue (Cr)'!$C:$FB,11)*100</f>
        <v>2.09</v>
      </c>
      <c r="D115" s="50">
        <f>VLOOKUP($A115,'Data Vlaue (Cr)'!$C:$FB,143)</f>
        <v>2668.09</v>
      </c>
      <c r="E115" s="50">
        <f>VLOOKUP($A115,'Data Vlaue (Cr)'!$C:$FB,144)</f>
        <v>2031.12</v>
      </c>
      <c r="F115" s="50">
        <f>VLOOKUP($A115,'Data Vlaue (Cr)'!$C:$FB,146)*100</f>
        <v>31.36</v>
      </c>
      <c r="G115" s="49">
        <f>VLOOKUP($A115,'Data Vlaue (Cr)'!$C:$FB,43)</f>
        <v>669</v>
      </c>
      <c r="H115" s="49">
        <f>VLOOKUP($A115,'Data Vlaue (Cr)'!$C:$FB,44)</f>
        <v>502</v>
      </c>
      <c r="I115" s="49">
        <f>VLOOKUP($A115,'Data Vlaue (Cr)'!$C:$FB,46)*100</f>
        <v>33.29</v>
      </c>
      <c r="J115" s="51">
        <f>VLOOKUP($A115,'Data Vlaue (Cr)'!$C:$FB,59)</f>
        <v>1333</v>
      </c>
      <c r="K115" s="51">
        <f>VLOOKUP($A115,'Data Vlaue (Cr)'!$C:$FB,60)</f>
        <v>1038</v>
      </c>
      <c r="L115" s="51">
        <f>VLOOKUP($A115,'Data Vlaue (Cr)'!$C:$FB,62)*100</f>
        <v>28.42</v>
      </c>
      <c r="M115" s="51">
        <f>VLOOKUP($A115,'Data Vlaue (Cr)'!$C:$FB,63)</f>
        <v>662</v>
      </c>
      <c r="N115" s="51">
        <f>VLOOKUP($A115,'Data Vlaue (Cr)'!$C:$FB,64)</f>
        <v>493</v>
      </c>
      <c r="O115" s="51">
        <f>VLOOKUP($A115,'Data Vlaue (Cr)'!$C:$FB,66)*100</f>
        <v>34.410000000000004</v>
      </c>
    </row>
    <row r="116" spans="1:15" x14ac:dyDescent="0.25">
      <c r="A116" s="101" t="str">
        <f>'Data Vlaue (Cr)'!C111</f>
        <v>JUBLFOOD</v>
      </c>
      <c r="B116" s="50">
        <f>VLOOKUP($A116,'Data Vlaue (Cr)'!$C:$FB,8)</f>
        <v>458.95</v>
      </c>
      <c r="C116" s="50">
        <f>VLOOKUP($A116,'Data Vlaue (Cr)'!$C:$FB,11)*100</f>
        <v>-0.15</v>
      </c>
      <c r="D116" s="50">
        <f>VLOOKUP($A116,'Data Vlaue (Cr)'!$C:$FB,143)</f>
        <v>1854.43</v>
      </c>
      <c r="E116" s="50">
        <f>VLOOKUP($A116,'Data Vlaue (Cr)'!$C:$FB,144)</f>
        <v>1414.4</v>
      </c>
      <c r="F116" s="50">
        <f>VLOOKUP($A116,'Data Vlaue (Cr)'!$C:$FB,146)*100</f>
        <v>31.11</v>
      </c>
      <c r="G116" s="49">
        <f>VLOOKUP($A116,'Data Vlaue (Cr)'!$C:$FB,43)</f>
        <v>419</v>
      </c>
      <c r="H116" s="49">
        <f>VLOOKUP($A116,'Data Vlaue (Cr)'!$C:$FB,44)</f>
        <v>487</v>
      </c>
      <c r="I116" s="49">
        <f>VLOOKUP($A116,'Data Vlaue (Cr)'!$C:$FB,46)*100</f>
        <v>-13.919999999999998</v>
      </c>
      <c r="J116" s="51">
        <f>VLOOKUP($A116,'Data Vlaue (Cr)'!$C:$FB,59)</f>
        <v>1004</v>
      </c>
      <c r="K116" s="51">
        <f>VLOOKUP($A116,'Data Vlaue (Cr)'!$C:$FB,60)</f>
        <v>653</v>
      </c>
      <c r="L116" s="51">
        <f>VLOOKUP($A116,'Data Vlaue (Cr)'!$C:$FB,62)*100</f>
        <v>53.849999999999994</v>
      </c>
      <c r="M116" s="51">
        <f>VLOOKUP($A116,'Data Vlaue (Cr)'!$C:$FB,63)</f>
        <v>394</v>
      </c>
      <c r="N116" s="51">
        <f>VLOOKUP($A116,'Data Vlaue (Cr)'!$C:$FB,64)</f>
        <v>256</v>
      </c>
      <c r="O116" s="51">
        <f>VLOOKUP($A116,'Data Vlaue (Cr)'!$C:$FB,66)*100</f>
        <v>53.82</v>
      </c>
    </row>
    <row r="117" spans="1:15" x14ac:dyDescent="0.25">
      <c r="A117" s="101" t="str">
        <f>'Data Vlaue (Cr)'!C112</f>
        <v>KALYANKJIL</v>
      </c>
      <c r="B117" s="50">
        <f>VLOOKUP($A117,'Data Vlaue (Cr)'!$C:$FB,8)</f>
        <v>426.85</v>
      </c>
      <c r="C117" s="50">
        <f>VLOOKUP($A117,'Data Vlaue (Cr)'!$C:$FB,11)*100</f>
        <v>-3.05</v>
      </c>
      <c r="D117" s="50">
        <f>VLOOKUP($A117,'Data Vlaue (Cr)'!$C:$FB,143)</f>
        <v>6462.37</v>
      </c>
      <c r="E117" s="50">
        <f>VLOOKUP($A117,'Data Vlaue (Cr)'!$C:$FB,144)</f>
        <v>926.33</v>
      </c>
      <c r="F117" s="50">
        <f>VLOOKUP($A117,'Data Vlaue (Cr)'!$C:$FB,146)*100</f>
        <v>597.63</v>
      </c>
      <c r="G117" s="49">
        <f>VLOOKUP($A117,'Data Vlaue (Cr)'!$C:$FB,43)</f>
        <v>752</v>
      </c>
      <c r="H117" s="49">
        <f>VLOOKUP($A117,'Data Vlaue (Cr)'!$C:$FB,44)</f>
        <v>154</v>
      </c>
      <c r="I117" s="49">
        <f>VLOOKUP($A117,'Data Vlaue (Cr)'!$C:$FB,46)*100</f>
        <v>387.27</v>
      </c>
      <c r="J117" s="51">
        <f>VLOOKUP($A117,'Data Vlaue (Cr)'!$C:$FB,59)</f>
        <v>3219</v>
      </c>
      <c r="K117" s="51">
        <f>VLOOKUP($A117,'Data Vlaue (Cr)'!$C:$FB,60)</f>
        <v>412</v>
      </c>
      <c r="L117" s="51">
        <f>VLOOKUP($A117,'Data Vlaue (Cr)'!$C:$FB,62)*100</f>
        <v>680.61</v>
      </c>
      <c r="M117" s="51">
        <f>VLOOKUP($A117,'Data Vlaue (Cr)'!$C:$FB,63)</f>
        <v>2363</v>
      </c>
      <c r="N117" s="51">
        <f>VLOOKUP($A117,'Data Vlaue (Cr)'!$C:$FB,64)</f>
        <v>313</v>
      </c>
      <c r="O117" s="51">
        <f>VLOOKUP($A117,'Data Vlaue (Cr)'!$C:$FB,66)*100</f>
        <v>655.72</v>
      </c>
    </row>
    <row r="118" spans="1:15" x14ac:dyDescent="0.25">
      <c r="A118" s="101" t="str">
        <f>'Data Vlaue (Cr)'!C113</f>
        <v>KAYNES</v>
      </c>
      <c r="B118" s="50">
        <f>VLOOKUP($A118,'Data Vlaue (Cr)'!$C:$FB,8)</f>
        <v>4214.3999999999996</v>
      </c>
      <c r="C118" s="50">
        <f>VLOOKUP($A118,'Data Vlaue (Cr)'!$C:$FB,11)*100</f>
        <v>0.28999999999999998</v>
      </c>
      <c r="D118" s="50">
        <f>VLOOKUP($A118,'Data Vlaue (Cr)'!$C:$FB,143)</f>
        <v>2009.34</v>
      </c>
      <c r="E118" s="50">
        <f>VLOOKUP($A118,'Data Vlaue (Cr)'!$C:$FB,144)</f>
        <v>5247.1</v>
      </c>
      <c r="F118" s="50">
        <f>VLOOKUP($A118,'Data Vlaue (Cr)'!$C:$FB,146)*100</f>
        <v>-61.71</v>
      </c>
      <c r="G118" s="49">
        <f>VLOOKUP($A118,'Data Vlaue (Cr)'!$C:$FB,43)</f>
        <v>299</v>
      </c>
      <c r="H118" s="49">
        <f>VLOOKUP($A118,'Data Vlaue (Cr)'!$C:$FB,44)</f>
        <v>636</v>
      </c>
      <c r="I118" s="49">
        <f>VLOOKUP($A118,'Data Vlaue (Cr)'!$C:$FB,46)*100</f>
        <v>-52.959999999999994</v>
      </c>
      <c r="J118" s="51">
        <f>VLOOKUP($A118,'Data Vlaue (Cr)'!$C:$FB,59)</f>
        <v>1040</v>
      </c>
      <c r="K118" s="51">
        <f>VLOOKUP($A118,'Data Vlaue (Cr)'!$C:$FB,60)</f>
        <v>3158</v>
      </c>
      <c r="L118" s="51">
        <f>VLOOKUP($A118,'Data Vlaue (Cr)'!$C:$FB,62)*100</f>
        <v>-67.08</v>
      </c>
      <c r="M118" s="51">
        <f>VLOOKUP($A118,'Data Vlaue (Cr)'!$C:$FB,63)</f>
        <v>672</v>
      </c>
      <c r="N118" s="51">
        <f>VLOOKUP($A118,'Data Vlaue (Cr)'!$C:$FB,64)</f>
        <v>1417</v>
      </c>
      <c r="O118" s="51">
        <f>VLOOKUP($A118,'Data Vlaue (Cr)'!$C:$FB,66)*100</f>
        <v>-52.59</v>
      </c>
    </row>
    <row r="119" spans="1:15" x14ac:dyDescent="0.25">
      <c r="A119" s="101" t="str">
        <f>'Data Vlaue (Cr)'!C114</f>
        <v>KEI</v>
      </c>
      <c r="B119" s="50">
        <f>VLOOKUP($A119,'Data Vlaue (Cr)'!$C:$FB,8)</f>
        <v>4839.3</v>
      </c>
      <c r="C119" s="50">
        <f>VLOOKUP($A119,'Data Vlaue (Cr)'!$C:$FB,11)*100</f>
        <v>4.1300000000000008</v>
      </c>
      <c r="D119" s="50">
        <f>VLOOKUP($A119,'Data Vlaue (Cr)'!$C:$FB,143)</f>
        <v>2696.57</v>
      </c>
      <c r="E119" s="50">
        <f>VLOOKUP($A119,'Data Vlaue (Cr)'!$C:$FB,144)</f>
        <v>1158.56</v>
      </c>
      <c r="F119" s="50">
        <f>VLOOKUP($A119,'Data Vlaue (Cr)'!$C:$FB,146)*100</f>
        <v>132.75</v>
      </c>
      <c r="G119" s="49">
        <f>VLOOKUP($A119,'Data Vlaue (Cr)'!$C:$FB,43)</f>
        <v>373</v>
      </c>
      <c r="H119" s="49">
        <f>VLOOKUP($A119,'Data Vlaue (Cr)'!$C:$FB,44)</f>
        <v>360</v>
      </c>
      <c r="I119" s="49">
        <f>VLOOKUP($A119,'Data Vlaue (Cr)'!$C:$FB,46)*100</f>
        <v>3.52</v>
      </c>
      <c r="J119" s="51">
        <f>VLOOKUP($A119,'Data Vlaue (Cr)'!$C:$FB,59)</f>
        <v>1782</v>
      </c>
      <c r="K119" s="51">
        <f>VLOOKUP($A119,'Data Vlaue (Cr)'!$C:$FB,60)</f>
        <v>678</v>
      </c>
      <c r="L119" s="51">
        <f>VLOOKUP($A119,'Data Vlaue (Cr)'!$C:$FB,62)*100</f>
        <v>162.87</v>
      </c>
      <c r="M119" s="51">
        <f>VLOOKUP($A119,'Data Vlaue (Cr)'!$C:$FB,63)</f>
        <v>504</v>
      </c>
      <c r="N119" s="51">
        <f>VLOOKUP($A119,'Data Vlaue (Cr)'!$C:$FB,64)</f>
        <v>143</v>
      </c>
      <c r="O119" s="51">
        <f>VLOOKUP($A119,'Data Vlaue (Cr)'!$C:$FB,66)*100</f>
        <v>251.68</v>
      </c>
    </row>
    <row r="120" spans="1:15" x14ac:dyDescent="0.25">
      <c r="A120" s="101" t="str">
        <f>'Data Vlaue (Cr)'!C115</f>
        <v>KFINTECH</v>
      </c>
      <c r="B120" s="50">
        <f>VLOOKUP($A120,'Data Vlaue (Cr)'!$C:$FB,8)</f>
        <v>976</v>
      </c>
      <c r="C120" s="50">
        <f>VLOOKUP($A120,'Data Vlaue (Cr)'!$C:$FB,11)*100</f>
        <v>2.1</v>
      </c>
      <c r="D120" s="50">
        <f>VLOOKUP($A120,'Data Vlaue (Cr)'!$C:$FB,143)</f>
        <v>963.98</v>
      </c>
      <c r="E120" s="50">
        <f>VLOOKUP($A120,'Data Vlaue (Cr)'!$C:$FB,144)</f>
        <v>1034.46</v>
      </c>
      <c r="F120" s="50">
        <f>VLOOKUP($A120,'Data Vlaue (Cr)'!$C:$FB,146)*100</f>
        <v>-6.81</v>
      </c>
      <c r="G120" s="49">
        <f>VLOOKUP($A120,'Data Vlaue (Cr)'!$C:$FB,43)</f>
        <v>176</v>
      </c>
      <c r="H120" s="49">
        <f>VLOOKUP($A120,'Data Vlaue (Cr)'!$C:$FB,44)</f>
        <v>244</v>
      </c>
      <c r="I120" s="49">
        <f>VLOOKUP($A120,'Data Vlaue (Cr)'!$C:$FB,46)*100</f>
        <v>-27.82</v>
      </c>
      <c r="J120" s="51">
        <f>VLOOKUP($A120,'Data Vlaue (Cr)'!$C:$FB,59)</f>
        <v>617</v>
      </c>
      <c r="K120" s="51">
        <f>VLOOKUP($A120,'Data Vlaue (Cr)'!$C:$FB,60)</f>
        <v>659</v>
      </c>
      <c r="L120" s="51">
        <f>VLOOKUP($A120,'Data Vlaue (Cr)'!$C:$FB,62)*100</f>
        <v>-6.370000000000001</v>
      </c>
      <c r="M120" s="51">
        <f>VLOOKUP($A120,'Data Vlaue (Cr)'!$C:$FB,63)</f>
        <v>158</v>
      </c>
      <c r="N120" s="51">
        <f>VLOOKUP($A120,'Data Vlaue (Cr)'!$C:$FB,64)</f>
        <v>131</v>
      </c>
      <c r="O120" s="51">
        <f>VLOOKUP($A120,'Data Vlaue (Cr)'!$C:$FB,66)*100</f>
        <v>20.349999999999998</v>
      </c>
    </row>
    <row r="121" spans="1:15" x14ac:dyDescent="0.25">
      <c r="A121" s="101" t="str">
        <f>'Data Vlaue (Cr)'!C116</f>
        <v>KOTAKBANK</v>
      </c>
      <c r="B121" s="50">
        <f>VLOOKUP($A121,'Data Vlaue (Cr)'!$C:$FB,8)</f>
        <v>383.6</v>
      </c>
      <c r="C121" s="50">
        <f>VLOOKUP($A121,'Data Vlaue (Cr)'!$C:$FB,11)*100</f>
        <v>1.17</v>
      </c>
      <c r="D121" s="50">
        <f>VLOOKUP($A121,'Data Vlaue (Cr)'!$C:$FB,143)</f>
        <v>2674.18</v>
      </c>
      <c r="E121" s="50">
        <f>VLOOKUP($A121,'Data Vlaue (Cr)'!$C:$FB,144)</f>
        <v>3102.39</v>
      </c>
      <c r="F121" s="50">
        <f>VLOOKUP($A121,'Data Vlaue (Cr)'!$C:$FB,146)*100</f>
        <v>-13.8</v>
      </c>
      <c r="G121" s="49">
        <f>VLOOKUP($A121,'Data Vlaue (Cr)'!$C:$FB,43)</f>
        <v>917</v>
      </c>
      <c r="H121" s="49">
        <f>VLOOKUP($A121,'Data Vlaue (Cr)'!$C:$FB,44)</f>
        <v>903</v>
      </c>
      <c r="I121" s="49">
        <f>VLOOKUP($A121,'Data Vlaue (Cr)'!$C:$FB,46)*100</f>
        <v>1.53</v>
      </c>
      <c r="J121" s="51">
        <f>VLOOKUP($A121,'Data Vlaue (Cr)'!$C:$FB,59)</f>
        <v>1076</v>
      </c>
      <c r="K121" s="51">
        <f>VLOOKUP($A121,'Data Vlaue (Cr)'!$C:$FB,60)</f>
        <v>1406</v>
      </c>
      <c r="L121" s="51">
        <f>VLOOKUP($A121,'Data Vlaue (Cr)'!$C:$FB,62)*100</f>
        <v>-23.51</v>
      </c>
      <c r="M121" s="51">
        <f>VLOOKUP($A121,'Data Vlaue (Cr)'!$C:$FB,63)</f>
        <v>654</v>
      </c>
      <c r="N121" s="51">
        <f>VLOOKUP($A121,'Data Vlaue (Cr)'!$C:$FB,64)</f>
        <v>747</v>
      </c>
      <c r="O121" s="51">
        <f>VLOOKUP($A121,'Data Vlaue (Cr)'!$C:$FB,66)*100</f>
        <v>-12.509999999999998</v>
      </c>
    </row>
    <row r="122" spans="1:15" x14ac:dyDescent="0.25">
      <c r="A122" s="101" t="str">
        <f>'Data Vlaue (Cr)'!C117</f>
        <v>KPITTECH</v>
      </c>
      <c r="B122" s="50">
        <f>VLOOKUP($A122,'Data Vlaue (Cr)'!$C:$FB,8)</f>
        <v>747.8</v>
      </c>
      <c r="C122" s="50">
        <f>VLOOKUP($A122,'Data Vlaue (Cr)'!$C:$FB,11)*100</f>
        <v>0.21</v>
      </c>
      <c r="D122" s="50">
        <f>VLOOKUP($A122,'Data Vlaue (Cr)'!$C:$FB,143)</f>
        <v>594.9</v>
      </c>
      <c r="E122" s="50">
        <f>VLOOKUP($A122,'Data Vlaue (Cr)'!$C:$FB,144)</f>
        <v>1084.69</v>
      </c>
      <c r="F122" s="50">
        <f>VLOOKUP($A122,'Data Vlaue (Cr)'!$C:$FB,146)*100</f>
        <v>-45.15</v>
      </c>
      <c r="G122" s="49">
        <f>VLOOKUP($A122,'Data Vlaue (Cr)'!$C:$FB,43)</f>
        <v>102</v>
      </c>
      <c r="H122" s="49">
        <f>VLOOKUP($A122,'Data Vlaue (Cr)'!$C:$FB,44)</f>
        <v>172</v>
      </c>
      <c r="I122" s="49">
        <f>VLOOKUP($A122,'Data Vlaue (Cr)'!$C:$FB,46)*100</f>
        <v>-40.58</v>
      </c>
      <c r="J122" s="51">
        <f>VLOOKUP($A122,'Data Vlaue (Cr)'!$C:$FB,59)</f>
        <v>337</v>
      </c>
      <c r="K122" s="51">
        <f>VLOOKUP($A122,'Data Vlaue (Cr)'!$C:$FB,60)</f>
        <v>666</v>
      </c>
      <c r="L122" s="51">
        <f>VLOOKUP($A122,'Data Vlaue (Cr)'!$C:$FB,62)*100</f>
        <v>-49.32</v>
      </c>
      <c r="M122" s="51">
        <f>VLOOKUP($A122,'Data Vlaue (Cr)'!$C:$FB,63)</f>
        <v>140</v>
      </c>
      <c r="N122" s="51">
        <f>VLOOKUP($A122,'Data Vlaue (Cr)'!$C:$FB,64)</f>
        <v>225</v>
      </c>
      <c r="O122" s="51">
        <f>VLOOKUP($A122,'Data Vlaue (Cr)'!$C:$FB,66)*100</f>
        <v>-37.69</v>
      </c>
    </row>
    <row r="123" spans="1:15" x14ac:dyDescent="0.25">
      <c r="A123" s="101" t="str">
        <f>'Data Vlaue (Cr)'!C118</f>
        <v>LAURUSLABS</v>
      </c>
      <c r="B123" s="50">
        <f>VLOOKUP($A123,'Data Vlaue (Cr)'!$C:$FB,8)</f>
        <v>1135.75</v>
      </c>
      <c r="C123" s="50">
        <f>VLOOKUP($A123,'Data Vlaue (Cr)'!$C:$FB,11)*100</f>
        <v>0.66</v>
      </c>
      <c r="D123" s="50">
        <f>VLOOKUP($A123,'Data Vlaue (Cr)'!$C:$FB,143)</f>
        <v>1400.5</v>
      </c>
      <c r="E123" s="50">
        <f>VLOOKUP($A123,'Data Vlaue (Cr)'!$C:$FB,144)</f>
        <v>1207</v>
      </c>
      <c r="F123" s="50">
        <f>VLOOKUP($A123,'Data Vlaue (Cr)'!$C:$FB,146)*100</f>
        <v>16.03</v>
      </c>
      <c r="G123" s="49">
        <f>VLOOKUP($A123,'Data Vlaue (Cr)'!$C:$FB,43)</f>
        <v>245</v>
      </c>
      <c r="H123" s="49">
        <f>VLOOKUP($A123,'Data Vlaue (Cr)'!$C:$FB,44)</f>
        <v>258</v>
      </c>
      <c r="I123" s="49">
        <f>VLOOKUP($A123,'Data Vlaue (Cr)'!$C:$FB,46)*100</f>
        <v>-4.92</v>
      </c>
      <c r="J123" s="51">
        <f>VLOOKUP($A123,'Data Vlaue (Cr)'!$C:$FB,59)</f>
        <v>736</v>
      </c>
      <c r="K123" s="51">
        <f>VLOOKUP($A123,'Data Vlaue (Cr)'!$C:$FB,60)</f>
        <v>594</v>
      </c>
      <c r="L123" s="51">
        <f>VLOOKUP($A123,'Data Vlaue (Cr)'!$C:$FB,62)*100</f>
        <v>24.01</v>
      </c>
      <c r="M123" s="51">
        <f>VLOOKUP($A123,'Data Vlaue (Cr)'!$C:$FB,63)</f>
        <v>406</v>
      </c>
      <c r="N123" s="51">
        <f>VLOOKUP($A123,'Data Vlaue (Cr)'!$C:$FB,64)</f>
        <v>351</v>
      </c>
      <c r="O123" s="51">
        <f>VLOOKUP($A123,'Data Vlaue (Cr)'!$C:$FB,66)*100</f>
        <v>15.790000000000001</v>
      </c>
    </row>
    <row r="124" spans="1:15" x14ac:dyDescent="0.25">
      <c r="A124" s="101" t="str">
        <f>'Data Vlaue (Cr)'!C119</f>
        <v>LICHSGFIN</v>
      </c>
      <c r="B124" s="50">
        <f>VLOOKUP($A124,'Data Vlaue (Cr)'!$C:$FB,8)</f>
        <v>540</v>
      </c>
      <c r="C124" s="50">
        <f>VLOOKUP($A124,'Data Vlaue (Cr)'!$C:$FB,11)*100</f>
        <v>0.96</v>
      </c>
      <c r="D124" s="50">
        <f>VLOOKUP($A124,'Data Vlaue (Cr)'!$C:$FB,143)</f>
        <v>522.59</v>
      </c>
      <c r="E124" s="50">
        <f>VLOOKUP($A124,'Data Vlaue (Cr)'!$C:$FB,144)</f>
        <v>717.62</v>
      </c>
      <c r="F124" s="50">
        <f>VLOOKUP($A124,'Data Vlaue (Cr)'!$C:$FB,146)*100</f>
        <v>-27.18</v>
      </c>
      <c r="G124" s="49">
        <f>VLOOKUP($A124,'Data Vlaue (Cr)'!$C:$FB,43)</f>
        <v>121</v>
      </c>
      <c r="H124" s="49">
        <f>VLOOKUP($A124,'Data Vlaue (Cr)'!$C:$FB,44)</f>
        <v>141</v>
      </c>
      <c r="I124" s="49">
        <f>VLOOKUP($A124,'Data Vlaue (Cr)'!$C:$FB,46)*100</f>
        <v>-14.29</v>
      </c>
      <c r="J124" s="51">
        <f>VLOOKUP($A124,'Data Vlaue (Cr)'!$C:$FB,59)</f>
        <v>296</v>
      </c>
      <c r="K124" s="51">
        <f>VLOOKUP($A124,'Data Vlaue (Cr)'!$C:$FB,60)</f>
        <v>416</v>
      </c>
      <c r="L124" s="51">
        <f>VLOOKUP($A124,'Data Vlaue (Cr)'!$C:$FB,62)*100</f>
        <v>-28.910000000000004</v>
      </c>
      <c r="M124" s="51">
        <f>VLOOKUP($A124,'Data Vlaue (Cr)'!$C:$FB,63)</f>
        <v>99</v>
      </c>
      <c r="N124" s="51">
        <f>VLOOKUP($A124,'Data Vlaue (Cr)'!$C:$FB,64)</f>
        <v>148</v>
      </c>
      <c r="O124" s="51">
        <f>VLOOKUP($A124,'Data Vlaue (Cr)'!$C:$FB,66)*100</f>
        <v>-33.18</v>
      </c>
    </row>
    <row r="125" spans="1:15" x14ac:dyDescent="0.25">
      <c r="A125" s="101" t="str">
        <f>'Data Vlaue (Cr)'!C120</f>
        <v>LICI</v>
      </c>
      <c r="B125" s="50">
        <f>VLOOKUP($A125,'Data Vlaue (Cr)'!$C:$FB,8)</f>
        <v>842.2</v>
      </c>
      <c r="C125" s="50">
        <f>VLOOKUP($A125,'Data Vlaue (Cr)'!$C:$FB,11)*100</f>
        <v>6.9999999999999993E-2</v>
      </c>
      <c r="D125" s="50">
        <f>VLOOKUP($A125,'Data Vlaue (Cr)'!$C:$FB,143)</f>
        <v>811.89</v>
      </c>
      <c r="E125" s="50">
        <f>VLOOKUP($A125,'Data Vlaue (Cr)'!$C:$FB,144)</f>
        <v>1038.44</v>
      </c>
      <c r="F125" s="50">
        <f>VLOOKUP($A125,'Data Vlaue (Cr)'!$C:$FB,146)*100</f>
        <v>-21.82</v>
      </c>
      <c r="G125" s="49">
        <f>VLOOKUP($A125,'Data Vlaue (Cr)'!$C:$FB,43)</f>
        <v>165</v>
      </c>
      <c r="H125" s="49">
        <f>VLOOKUP($A125,'Data Vlaue (Cr)'!$C:$FB,44)</f>
        <v>205</v>
      </c>
      <c r="I125" s="49">
        <f>VLOOKUP($A125,'Data Vlaue (Cr)'!$C:$FB,46)*100</f>
        <v>-19.220000000000002</v>
      </c>
      <c r="J125" s="51">
        <f>VLOOKUP($A125,'Data Vlaue (Cr)'!$C:$FB,59)</f>
        <v>436</v>
      </c>
      <c r="K125" s="51">
        <f>VLOOKUP($A125,'Data Vlaue (Cr)'!$C:$FB,60)</f>
        <v>591</v>
      </c>
      <c r="L125" s="51">
        <f>VLOOKUP($A125,'Data Vlaue (Cr)'!$C:$FB,62)*100</f>
        <v>-26.3</v>
      </c>
      <c r="M125" s="51">
        <f>VLOOKUP($A125,'Data Vlaue (Cr)'!$C:$FB,63)</f>
        <v>203</v>
      </c>
      <c r="N125" s="51">
        <f>VLOOKUP($A125,'Data Vlaue (Cr)'!$C:$FB,64)</f>
        <v>217</v>
      </c>
      <c r="O125" s="51">
        <f>VLOOKUP($A125,'Data Vlaue (Cr)'!$C:$FB,66)*100</f>
        <v>-6.34</v>
      </c>
    </row>
    <row r="126" spans="1:15" x14ac:dyDescent="0.25">
      <c r="A126" s="101" t="str">
        <f>'Data Vlaue (Cr)'!C121</f>
        <v>LODHA</v>
      </c>
      <c r="B126" s="50">
        <f>VLOOKUP($A126,'Data Vlaue (Cr)'!$C:$FB,8)</f>
        <v>872.55</v>
      </c>
      <c r="C126" s="50">
        <f>VLOOKUP($A126,'Data Vlaue (Cr)'!$C:$FB,11)*100</f>
        <v>-0.11</v>
      </c>
      <c r="D126" s="50">
        <f>VLOOKUP($A126,'Data Vlaue (Cr)'!$C:$FB,143)</f>
        <v>1318.16</v>
      </c>
      <c r="E126" s="50">
        <f>VLOOKUP($A126,'Data Vlaue (Cr)'!$C:$FB,144)</f>
        <v>1538.69</v>
      </c>
      <c r="F126" s="50">
        <f>VLOOKUP($A126,'Data Vlaue (Cr)'!$C:$FB,146)*100</f>
        <v>-14.330000000000002</v>
      </c>
      <c r="G126" s="49">
        <f>VLOOKUP($A126,'Data Vlaue (Cr)'!$C:$FB,43)</f>
        <v>270</v>
      </c>
      <c r="H126" s="49">
        <f>VLOOKUP($A126,'Data Vlaue (Cr)'!$C:$FB,44)</f>
        <v>484</v>
      </c>
      <c r="I126" s="49">
        <f>VLOOKUP($A126,'Data Vlaue (Cr)'!$C:$FB,46)*100</f>
        <v>-44.28</v>
      </c>
      <c r="J126" s="51">
        <f>VLOOKUP($A126,'Data Vlaue (Cr)'!$C:$FB,59)</f>
        <v>573</v>
      </c>
      <c r="K126" s="51">
        <f>VLOOKUP($A126,'Data Vlaue (Cr)'!$C:$FB,60)</f>
        <v>591</v>
      </c>
      <c r="L126" s="51">
        <f>VLOOKUP($A126,'Data Vlaue (Cr)'!$C:$FB,62)*100</f>
        <v>-3.0300000000000002</v>
      </c>
      <c r="M126" s="51">
        <f>VLOOKUP($A126,'Data Vlaue (Cr)'!$C:$FB,63)</f>
        <v>471</v>
      </c>
      <c r="N126" s="51">
        <f>VLOOKUP($A126,'Data Vlaue (Cr)'!$C:$FB,64)</f>
        <v>463</v>
      </c>
      <c r="O126" s="51">
        <f>VLOOKUP($A126,'Data Vlaue (Cr)'!$C:$FB,66)*100</f>
        <v>1.71</v>
      </c>
    </row>
    <row r="127" spans="1:15" x14ac:dyDescent="0.25">
      <c r="A127" s="101" t="str">
        <f>'Data Vlaue (Cr)'!C122</f>
        <v>LT</v>
      </c>
      <c r="B127" s="50">
        <f>VLOOKUP($A127,'Data Vlaue (Cr)'!$C:$FB,8)</f>
        <v>4096.1000000000004</v>
      </c>
      <c r="C127" s="50">
        <f>VLOOKUP($A127,'Data Vlaue (Cr)'!$C:$FB,11)*100</f>
        <v>-0.57999999999999996</v>
      </c>
      <c r="D127" s="50">
        <f>VLOOKUP($A127,'Data Vlaue (Cr)'!$C:$FB,143)</f>
        <v>5638.49</v>
      </c>
      <c r="E127" s="50">
        <f>VLOOKUP($A127,'Data Vlaue (Cr)'!$C:$FB,144)</f>
        <v>8321.08</v>
      </c>
      <c r="F127" s="50">
        <f>VLOOKUP($A127,'Data Vlaue (Cr)'!$C:$FB,146)*100</f>
        <v>-32.24</v>
      </c>
      <c r="G127" s="49">
        <f>VLOOKUP($A127,'Data Vlaue (Cr)'!$C:$FB,43)</f>
        <v>803</v>
      </c>
      <c r="H127" s="49">
        <f>VLOOKUP($A127,'Data Vlaue (Cr)'!$C:$FB,44)</f>
        <v>1159</v>
      </c>
      <c r="I127" s="49">
        <f>VLOOKUP($A127,'Data Vlaue (Cr)'!$C:$FB,46)*100</f>
        <v>-30.769999999999996</v>
      </c>
      <c r="J127" s="51">
        <f>VLOOKUP($A127,'Data Vlaue (Cr)'!$C:$FB,59)</f>
        <v>2537</v>
      </c>
      <c r="K127" s="51">
        <f>VLOOKUP($A127,'Data Vlaue (Cr)'!$C:$FB,60)</f>
        <v>4453</v>
      </c>
      <c r="L127" s="51">
        <f>VLOOKUP($A127,'Data Vlaue (Cr)'!$C:$FB,62)*100</f>
        <v>-43.04</v>
      </c>
      <c r="M127" s="51">
        <f>VLOOKUP($A127,'Data Vlaue (Cr)'!$C:$FB,63)</f>
        <v>2281</v>
      </c>
      <c r="N127" s="51">
        <f>VLOOKUP($A127,'Data Vlaue (Cr)'!$C:$FB,64)</f>
        <v>2606</v>
      </c>
      <c r="O127" s="51">
        <f>VLOOKUP($A127,'Data Vlaue (Cr)'!$C:$FB,66)*100</f>
        <v>-12.5</v>
      </c>
    </row>
    <row r="128" spans="1:15" x14ac:dyDescent="0.25">
      <c r="A128" s="101" t="str">
        <f>'Data Vlaue (Cr)'!C123</f>
        <v>LTF</v>
      </c>
      <c r="B128" s="50">
        <f>VLOOKUP($A128,'Data Vlaue (Cr)'!$C:$FB,8)</f>
        <v>287.14</v>
      </c>
      <c r="C128" s="50">
        <f>VLOOKUP($A128,'Data Vlaue (Cr)'!$C:$FB,11)*100</f>
        <v>2.4</v>
      </c>
      <c r="D128" s="50">
        <f>VLOOKUP($A128,'Data Vlaue (Cr)'!$C:$FB,143)</f>
        <v>1305.03</v>
      </c>
      <c r="E128" s="50">
        <f>VLOOKUP($A128,'Data Vlaue (Cr)'!$C:$FB,144)</f>
        <v>988.95</v>
      </c>
      <c r="F128" s="50">
        <f>VLOOKUP($A128,'Data Vlaue (Cr)'!$C:$FB,146)*100</f>
        <v>31.96</v>
      </c>
      <c r="G128" s="49">
        <f>VLOOKUP($A128,'Data Vlaue (Cr)'!$C:$FB,43)</f>
        <v>311</v>
      </c>
      <c r="H128" s="49">
        <f>VLOOKUP($A128,'Data Vlaue (Cr)'!$C:$FB,44)</f>
        <v>267</v>
      </c>
      <c r="I128" s="49">
        <f>VLOOKUP($A128,'Data Vlaue (Cr)'!$C:$FB,46)*100</f>
        <v>16.54</v>
      </c>
      <c r="J128" s="51">
        <f>VLOOKUP($A128,'Data Vlaue (Cr)'!$C:$FB,59)</f>
        <v>613</v>
      </c>
      <c r="K128" s="51">
        <f>VLOOKUP($A128,'Data Vlaue (Cr)'!$C:$FB,60)</f>
        <v>532</v>
      </c>
      <c r="L128" s="51">
        <f>VLOOKUP($A128,'Data Vlaue (Cr)'!$C:$FB,62)*100</f>
        <v>15.21</v>
      </c>
      <c r="M128" s="51">
        <f>VLOOKUP($A128,'Data Vlaue (Cr)'!$C:$FB,63)</f>
        <v>373</v>
      </c>
      <c r="N128" s="51">
        <f>VLOOKUP($A128,'Data Vlaue (Cr)'!$C:$FB,64)</f>
        <v>183</v>
      </c>
      <c r="O128" s="51">
        <f>VLOOKUP($A128,'Data Vlaue (Cr)'!$C:$FB,66)*100</f>
        <v>103.53000000000002</v>
      </c>
    </row>
    <row r="129" spans="1:15" x14ac:dyDescent="0.25">
      <c r="A129" s="101" t="str">
        <f>'Data Vlaue (Cr)'!C124</f>
        <v>LTM</v>
      </c>
      <c r="B129" s="50">
        <f>VLOOKUP($A129,'Data Vlaue (Cr)'!$C:$FB,8)</f>
        <v>4753.6000000000004</v>
      </c>
      <c r="C129" s="50">
        <f>VLOOKUP($A129,'Data Vlaue (Cr)'!$C:$FB,11)*100</f>
        <v>0.5</v>
      </c>
      <c r="D129" s="50">
        <f>VLOOKUP($A129,'Data Vlaue (Cr)'!$C:$FB,143)</f>
        <v>1272.7</v>
      </c>
      <c r="E129" s="50">
        <f>VLOOKUP($A129,'Data Vlaue (Cr)'!$C:$FB,144)</f>
        <v>2128.33</v>
      </c>
      <c r="F129" s="50">
        <f>VLOOKUP($A129,'Data Vlaue (Cr)'!$C:$FB,146)*100</f>
        <v>-40.200000000000003</v>
      </c>
      <c r="G129" s="49">
        <f>VLOOKUP($A129,'Data Vlaue (Cr)'!$C:$FB,43)</f>
        <v>292</v>
      </c>
      <c r="H129" s="49">
        <f>VLOOKUP($A129,'Data Vlaue (Cr)'!$C:$FB,44)</f>
        <v>519</v>
      </c>
      <c r="I129" s="49">
        <f>VLOOKUP($A129,'Data Vlaue (Cr)'!$C:$FB,46)*100</f>
        <v>-43.769999999999996</v>
      </c>
      <c r="J129" s="51">
        <f>VLOOKUP($A129,'Data Vlaue (Cr)'!$C:$FB,59)</f>
        <v>649</v>
      </c>
      <c r="K129" s="51">
        <f>VLOOKUP($A129,'Data Vlaue (Cr)'!$C:$FB,60)</f>
        <v>1239</v>
      </c>
      <c r="L129" s="51">
        <f>VLOOKUP($A129,'Data Vlaue (Cr)'!$C:$FB,62)*100</f>
        <v>-47.67</v>
      </c>
      <c r="M129" s="51">
        <f>VLOOKUP($A129,'Data Vlaue (Cr)'!$C:$FB,63)</f>
        <v>324</v>
      </c>
      <c r="N129" s="51">
        <f>VLOOKUP($A129,'Data Vlaue (Cr)'!$C:$FB,64)</f>
        <v>350</v>
      </c>
      <c r="O129" s="51">
        <f>VLOOKUP($A129,'Data Vlaue (Cr)'!$C:$FB,66)*100</f>
        <v>-7.5200000000000005</v>
      </c>
    </row>
    <row r="130" spans="1:15" x14ac:dyDescent="0.25">
      <c r="A130" s="101" t="str">
        <f>'Data Vlaue (Cr)'!C125</f>
        <v>LUPIN</v>
      </c>
      <c r="B130" s="50">
        <f>VLOOKUP($A130,'Data Vlaue (Cr)'!$C:$FB,8)</f>
        <v>2326.1</v>
      </c>
      <c r="C130" s="50">
        <f>VLOOKUP($A130,'Data Vlaue (Cr)'!$C:$FB,11)*100</f>
        <v>-0.04</v>
      </c>
      <c r="D130" s="50">
        <f>VLOOKUP($A130,'Data Vlaue (Cr)'!$C:$FB,143)</f>
        <v>1594.48</v>
      </c>
      <c r="E130" s="50">
        <f>VLOOKUP($A130,'Data Vlaue (Cr)'!$C:$FB,144)</f>
        <v>1641.77</v>
      </c>
      <c r="F130" s="50">
        <f>VLOOKUP($A130,'Data Vlaue (Cr)'!$C:$FB,146)*100</f>
        <v>-2.88</v>
      </c>
      <c r="G130" s="49">
        <f>VLOOKUP($A130,'Data Vlaue (Cr)'!$C:$FB,43)</f>
        <v>246</v>
      </c>
      <c r="H130" s="49">
        <f>VLOOKUP($A130,'Data Vlaue (Cr)'!$C:$FB,44)</f>
        <v>247</v>
      </c>
      <c r="I130" s="49">
        <f>VLOOKUP($A130,'Data Vlaue (Cr)'!$C:$FB,46)*100</f>
        <v>-0.44</v>
      </c>
      <c r="J130" s="51">
        <f>VLOOKUP($A130,'Data Vlaue (Cr)'!$C:$FB,59)</f>
        <v>900</v>
      </c>
      <c r="K130" s="51">
        <f>VLOOKUP($A130,'Data Vlaue (Cr)'!$C:$FB,60)</f>
        <v>945</v>
      </c>
      <c r="L130" s="51">
        <f>VLOOKUP($A130,'Data Vlaue (Cr)'!$C:$FB,62)*100</f>
        <v>-4.7300000000000004</v>
      </c>
      <c r="M130" s="51">
        <f>VLOOKUP($A130,'Data Vlaue (Cr)'!$C:$FB,63)</f>
        <v>427</v>
      </c>
      <c r="N130" s="51">
        <f>VLOOKUP($A130,'Data Vlaue (Cr)'!$C:$FB,64)</f>
        <v>431</v>
      </c>
      <c r="O130" s="51">
        <f>VLOOKUP($A130,'Data Vlaue (Cr)'!$C:$FB,66)*100</f>
        <v>-0.94000000000000006</v>
      </c>
    </row>
    <row r="131" spans="1:15" x14ac:dyDescent="0.25">
      <c r="A131" s="101" t="str">
        <f>'Data Vlaue (Cr)'!C126</f>
        <v>M&amp;M</v>
      </c>
      <c r="B131" s="50">
        <f>VLOOKUP($A131,'Data Vlaue (Cr)'!$C:$FB,8)</f>
        <v>3200.2</v>
      </c>
      <c r="C131" s="50">
        <f>VLOOKUP($A131,'Data Vlaue (Cr)'!$C:$FB,11)*100</f>
        <v>-0.69</v>
      </c>
      <c r="D131" s="50">
        <f>VLOOKUP($A131,'Data Vlaue (Cr)'!$C:$FB,143)</f>
        <v>3879.57</v>
      </c>
      <c r="E131" s="50">
        <f>VLOOKUP($A131,'Data Vlaue (Cr)'!$C:$FB,144)</f>
        <v>4004.57</v>
      </c>
      <c r="F131" s="50">
        <f>VLOOKUP($A131,'Data Vlaue (Cr)'!$C:$FB,146)*100</f>
        <v>-3.1199999999999997</v>
      </c>
      <c r="G131" s="49">
        <f>VLOOKUP($A131,'Data Vlaue (Cr)'!$C:$FB,43)</f>
        <v>751</v>
      </c>
      <c r="H131" s="49">
        <f>VLOOKUP($A131,'Data Vlaue (Cr)'!$C:$FB,44)</f>
        <v>969</v>
      </c>
      <c r="I131" s="49">
        <f>VLOOKUP($A131,'Data Vlaue (Cr)'!$C:$FB,46)*100</f>
        <v>-22.470000000000002</v>
      </c>
      <c r="J131" s="51">
        <f>VLOOKUP($A131,'Data Vlaue (Cr)'!$C:$FB,59)</f>
        <v>1965</v>
      </c>
      <c r="K131" s="51">
        <f>VLOOKUP($A131,'Data Vlaue (Cr)'!$C:$FB,60)</f>
        <v>1830</v>
      </c>
      <c r="L131" s="51">
        <f>VLOOKUP($A131,'Data Vlaue (Cr)'!$C:$FB,62)*100</f>
        <v>7.3599999999999994</v>
      </c>
      <c r="M131" s="51">
        <f>VLOOKUP($A131,'Data Vlaue (Cr)'!$C:$FB,63)</f>
        <v>1086</v>
      </c>
      <c r="N131" s="51">
        <f>VLOOKUP($A131,'Data Vlaue (Cr)'!$C:$FB,64)</f>
        <v>1100</v>
      </c>
      <c r="O131" s="51">
        <f>VLOOKUP($A131,'Data Vlaue (Cr)'!$C:$FB,66)*100</f>
        <v>-1.22</v>
      </c>
    </row>
    <row r="132" spans="1:15" x14ac:dyDescent="0.25">
      <c r="A132" s="101" t="str">
        <f>'Data Vlaue (Cr)'!C127</f>
        <v>MANAPPURAM</v>
      </c>
      <c r="B132" s="50">
        <f>VLOOKUP($A132,'Data Vlaue (Cr)'!$C:$FB,8)</f>
        <v>268.89999999999998</v>
      </c>
      <c r="C132" s="50">
        <f>VLOOKUP($A132,'Data Vlaue (Cr)'!$C:$FB,11)*100</f>
        <v>0.27999999999999997</v>
      </c>
      <c r="D132" s="50">
        <f>VLOOKUP($A132,'Data Vlaue (Cr)'!$C:$FB,143)</f>
        <v>738.54</v>
      </c>
      <c r="E132" s="50">
        <f>VLOOKUP($A132,'Data Vlaue (Cr)'!$C:$FB,144)</f>
        <v>639.42999999999995</v>
      </c>
      <c r="F132" s="50">
        <f>VLOOKUP($A132,'Data Vlaue (Cr)'!$C:$FB,146)*100</f>
        <v>15.5</v>
      </c>
      <c r="G132" s="49">
        <f>VLOOKUP($A132,'Data Vlaue (Cr)'!$C:$FB,43)</f>
        <v>136</v>
      </c>
      <c r="H132" s="49">
        <f>VLOOKUP($A132,'Data Vlaue (Cr)'!$C:$FB,44)</f>
        <v>136</v>
      </c>
      <c r="I132" s="49">
        <f>VLOOKUP($A132,'Data Vlaue (Cr)'!$C:$FB,46)*100</f>
        <v>0.12</v>
      </c>
      <c r="J132" s="51">
        <f>VLOOKUP($A132,'Data Vlaue (Cr)'!$C:$FB,59)</f>
        <v>356</v>
      </c>
      <c r="K132" s="51">
        <f>VLOOKUP($A132,'Data Vlaue (Cr)'!$C:$FB,60)</f>
        <v>309</v>
      </c>
      <c r="L132" s="51">
        <f>VLOOKUP($A132,'Data Vlaue (Cr)'!$C:$FB,62)*100</f>
        <v>15.049999999999999</v>
      </c>
      <c r="M132" s="51">
        <f>VLOOKUP($A132,'Data Vlaue (Cr)'!$C:$FB,63)</f>
        <v>241</v>
      </c>
      <c r="N132" s="51">
        <f>VLOOKUP($A132,'Data Vlaue (Cr)'!$C:$FB,64)</f>
        <v>184</v>
      </c>
      <c r="O132" s="51">
        <f>VLOOKUP($A132,'Data Vlaue (Cr)'!$C:$FB,66)*100</f>
        <v>30.580000000000002</v>
      </c>
    </row>
    <row r="133" spans="1:15" x14ac:dyDescent="0.25">
      <c r="A133" s="101" t="str">
        <f>'Data Vlaue (Cr)'!C128</f>
        <v>MANKIND</v>
      </c>
      <c r="B133" s="50">
        <f>VLOOKUP($A133,'Data Vlaue (Cr)'!$C:$FB,8)</f>
        <v>2125</v>
      </c>
      <c r="C133" s="50">
        <f>VLOOKUP($A133,'Data Vlaue (Cr)'!$C:$FB,11)*100</f>
        <v>0.98</v>
      </c>
      <c r="D133" s="50">
        <f>VLOOKUP($A133,'Data Vlaue (Cr)'!$C:$FB,143)</f>
        <v>230.27</v>
      </c>
      <c r="E133" s="50">
        <f>VLOOKUP($A133,'Data Vlaue (Cr)'!$C:$FB,144)</f>
        <v>310.08999999999997</v>
      </c>
      <c r="F133" s="50">
        <f>VLOOKUP($A133,'Data Vlaue (Cr)'!$C:$FB,146)*100</f>
        <v>-25.740000000000002</v>
      </c>
      <c r="G133" s="49">
        <f>VLOOKUP($A133,'Data Vlaue (Cr)'!$C:$FB,43)</f>
        <v>57</v>
      </c>
      <c r="H133" s="49">
        <f>VLOOKUP($A133,'Data Vlaue (Cr)'!$C:$FB,44)</f>
        <v>104</v>
      </c>
      <c r="I133" s="49">
        <f>VLOOKUP($A133,'Data Vlaue (Cr)'!$C:$FB,46)*100</f>
        <v>-45.16</v>
      </c>
      <c r="J133" s="51">
        <f>VLOOKUP($A133,'Data Vlaue (Cr)'!$C:$FB,59)</f>
        <v>147</v>
      </c>
      <c r="K133" s="51">
        <f>VLOOKUP($A133,'Data Vlaue (Cr)'!$C:$FB,60)</f>
        <v>151</v>
      </c>
      <c r="L133" s="51">
        <f>VLOOKUP($A133,'Data Vlaue (Cr)'!$C:$FB,62)*100</f>
        <v>-2.9499999999999997</v>
      </c>
      <c r="M133" s="51">
        <f>VLOOKUP($A133,'Data Vlaue (Cr)'!$C:$FB,63)</f>
        <v>22</v>
      </c>
      <c r="N133" s="51">
        <f>VLOOKUP($A133,'Data Vlaue (Cr)'!$C:$FB,64)</f>
        <v>51</v>
      </c>
      <c r="O133" s="51">
        <f>VLOOKUP($A133,'Data Vlaue (Cr)'!$C:$FB,66)*100</f>
        <v>-56.26</v>
      </c>
    </row>
    <row r="134" spans="1:15" x14ac:dyDescent="0.25">
      <c r="A134" s="101" t="str">
        <f>'Data Vlaue (Cr)'!C129</f>
        <v>MARICO</v>
      </c>
      <c r="B134" s="50">
        <f>VLOOKUP($A134,'Data Vlaue (Cr)'!$C:$FB,8)</f>
        <v>757.3</v>
      </c>
      <c r="C134" s="50">
        <f>VLOOKUP($A134,'Data Vlaue (Cr)'!$C:$FB,11)*100</f>
        <v>1.73</v>
      </c>
      <c r="D134" s="50">
        <f>VLOOKUP($A134,'Data Vlaue (Cr)'!$C:$FB,143)</f>
        <v>1600.71</v>
      </c>
      <c r="E134" s="50">
        <f>VLOOKUP($A134,'Data Vlaue (Cr)'!$C:$FB,144)</f>
        <v>945.91</v>
      </c>
      <c r="F134" s="50">
        <f>VLOOKUP($A134,'Data Vlaue (Cr)'!$C:$FB,146)*100</f>
        <v>69.22</v>
      </c>
      <c r="G134" s="49">
        <f>VLOOKUP($A134,'Data Vlaue (Cr)'!$C:$FB,43)</f>
        <v>399</v>
      </c>
      <c r="H134" s="49">
        <f>VLOOKUP($A134,'Data Vlaue (Cr)'!$C:$FB,44)</f>
        <v>164</v>
      </c>
      <c r="I134" s="49">
        <f>VLOOKUP($A134,'Data Vlaue (Cr)'!$C:$FB,46)*100</f>
        <v>142.99</v>
      </c>
      <c r="J134" s="51">
        <f>VLOOKUP($A134,'Data Vlaue (Cr)'!$C:$FB,59)</f>
        <v>929</v>
      </c>
      <c r="K134" s="51">
        <f>VLOOKUP($A134,'Data Vlaue (Cr)'!$C:$FB,60)</f>
        <v>534</v>
      </c>
      <c r="L134" s="51">
        <f>VLOOKUP($A134,'Data Vlaue (Cr)'!$C:$FB,62)*100</f>
        <v>73.94</v>
      </c>
      <c r="M134" s="51">
        <f>VLOOKUP($A134,'Data Vlaue (Cr)'!$C:$FB,63)</f>
        <v>252</v>
      </c>
      <c r="N134" s="51">
        <f>VLOOKUP($A134,'Data Vlaue (Cr)'!$C:$FB,64)</f>
        <v>240</v>
      </c>
      <c r="O134" s="51">
        <f>VLOOKUP($A134,'Data Vlaue (Cr)'!$C:$FB,66)*100</f>
        <v>5.16</v>
      </c>
    </row>
    <row r="135" spans="1:15" x14ac:dyDescent="0.25">
      <c r="A135" s="101" t="str">
        <f>'Data Vlaue (Cr)'!C130</f>
        <v>MARUTI</v>
      </c>
      <c r="B135" s="50">
        <f>VLOOKUP($A135,'Data Vlaue (Cr)'!$C:$FB,8)</f>
        <v>13453</v>
      </c>
      <c r="C135" s="50">
        <f>VLOOKUP($A135,'Data Vlaue (Cr)'!$C:$FB,11)*100</f>
        <v>0.88</v>
      </c>
      <c r="D135" s="50">
        <f>VLOOKUP($A135,'Data Vlaue (Cr)'!$C:$FB,143)</f>
        <v>13053.59</v>
      </c>
      <c r="E135" s="50">
        <f>VLOOKUP($A135,'Data Vlaue (Cr)'!$C:$FB,144)</f>
        <v>4839.91</v>
      </c>
      <c r="F135" s="50">
        <f>VLOOKUP($A135,'Data Vlaue (Cr)'!$C:$FB,146)*100</f>
        <v>169.71</v>
      </c>
      <c r="G135" s="49">
        <f>VLOOKUP($A135,'Data Vlaue (Cr)'!$C:$FB,43)</f>
        <v>832</v>
      </c>
      <c r="H135" s="49">
        <f>VLOOKUP($A135,'Data Vlaue (Cr)'!$C:$FB,44)</f>
        <v>653</v>
      </c>
      <c r="I135" s="49">
        <f>VLOOKUP($A135,'Data Vlaue (Cr)'!$C:$FB,46)*100</f>
        <v>27.41</v>
      </c>
      <c r="J135" s="51">
        <f>VLOOKUP($A135,'Data Vlaue (Cr)'!$C:$FB,59)</f>
        <v>8403</v>
      </c>
      <c r="K135" s="51">
        <f>VLOOKUP($A135,'Data Vlaue (Cr)'!$C:$FB,60)</f>
        <v>2812</v>
      </c>
      <c r="L135" s="51">
        <f>VLOOKUP($A135,'Data Vlaue (Cr)'!$C:$FB,62)*100</f>
        <v>198.85999999999999</v>
      </c>
      <c r="M135" s="51">
        <f>VLOOKUP($A135,'Data Vlaue (Cr)'!$C:$FB,63)</f>
        <v>3498</v>
      </c>
      <c r="N135" s="51">
        <f>VLOOKUP($A135,'Data Vlaue (Cr)'!$C:$FB,64)</f>
        <v>1318</v>
      </c>
      <c r="O135" s="51">
        <f>VLOOKUP($A135,'Data Vlaue (Cr)'!$C:$FB,66)*100</f>
        <v>165.48000000000002</v>
      </c>
    </row>
    <row r="136" spans="1:15" x14ac:dyDescent="0.25">
      <c r="A136" s="101" t="str">
        <f>'Data Vlaue (Cr)'!C131</f>
        <v>MAXHEALTH</v>
      </c>
      <c r="B136" s="50">
        <f>VLOOKUP($A136,'Data Vlaue (Cr)'!$C:$FB,8)</f>
        <v>1007.65</v>
      </c>
      <c r="C136" s="50">
        <f>VLOOKUP($A136,'Data Vlaue (Cr)'!$C:$FB,11)*100</f>
        <v>1.72</v>
      </c>
      <c r="D136" s="50">
        <f>VLOOKUP($A136,'Data Vlaue (Cr)'!$C:$FB,143)</f>
        <v>1131.92</v>
      </c>
      <c r="E136" s="50">
        <f>VLOOKUP($A136,'Data Vlaue (Cr)'!$C:$FB,144)</f>
        <v>1740.29</v>
      </c>
      <c r="F136" s="50">
        <f>VLOOKUP($A136,'Data Vlaue (Cr)'!$C:$FB,146)*100</f>
        <v>-34.96</v>
      </c>
      <c r="G136" s="49">
        <f>VLOOKUP($A136,'Data Vlaue (Cr)'!$C:$FB,43)</f>
        <v>157</v>
      </c>
      <c r="H136" s="49">
        <f>VLOOKUP($A136,'Data Vlaue (Cr)'!$C:$FB,44)</f>
        <v>323</v>
      </c>
      <c r="I136" s="49">
        <f>VLOOKUP($A136,'Data Vlaue (Cr)'!$C:$FB,46)*100</f>
        <v>-51.470000000000006</v>
      </c>
      <c r="J136" s="51">
        <f>VLOOKUP($A136,'Data Vlaue (Cr)'!$C:$FB,59)</f>
        <v>715</v>
      </c>
      <c r="K136" s="51">
        <f>VLOOKUP($A136,'Data Vlaue (Cr)'!$C:$FB,60)</f>
        <v>1009</v>
      </c>
      <c r="L136" s="51">
        <f>VLOOKUP($A136,'Data Vlaue (Cr)'!$C:$FB,62)*100</f>
        <v>-29.17</v>
      </c>
      <c r="M136" s="51">
        <f>VLOOKUP($A136,'Data Vlaue (Cr)'!$C:$FB,63)</f>
        <v>247</v>
      </c>
      <c r="N136" s="51">
        <f>VLOOKUP($A136,'Data Vlaue (Cr)'!$C:$FB,64)</f>
        <v>390</v>
      </c>
      <c r="O136" s="51">
        <f>VLOOKUP($A136,'Data Vlaue (Cr)'!$C:$FB,66)*100</f>
        <v>-36.590000000000003</v>
      </c>
    </row>
    <row r="137" spans="1:15" x14ac:dyDescent="0.25">
      <c r="A137" s="101" t="str">
        <f>'Data Vlaue (Cr)'!C132</f>
        <v>MAZDOCK</v>
      </c>
      <c r="B137" s="50">
        <f>VLOOKUP($A137,'Data Vlaue (Cr)'!$C:$FB,8)</f>
        <v>2616.4</v>
      </c>
      <c r="C137" s="50">
        <f>VLOOKUP($A137,'Data Vlaue (Cr)'!$C:$FB,11)*100</f>
        <v>2.02</v>
      </c>
      <c r="D137" s="50">
        <f>VLOOKUP($A137,'Data Vlaue (Cr)'!$C:$FB,143)</f>
        <v>4744.01</v>
      </c>
      <c r="E137" s="50">
        <f>VLOOKUP($A137,'Data Vlaue (Cr)'!$C:$FB,144)</f>
        <v>2329.77</v>
      </c>
      <c r="F137" s="50">
        <f>VLOOKUP($A137,'Data Vlaue (Cr)'!$C:$FB,146)*100</f>
        <v>103.63</v>
      </c>
      <c r="G137" s="49">
        <f>VLOOKUP($A137,'Data Vlaue (Cr)'!$C:$FB,43)</f>
        <v>470</v>
      </c>
      <c r="H137" s="49">
        <f>VLOOKUP($A137,'Data Vlaue (Cr)'!$C:$FB,44)</f>
        <v>338</v>
      </c>
      <c r="I137" s="49">
        <f>VLOOKUP($A137,'Data Vlaue (Cr)'!$C:$FB,46)*100</f>
        <v>39.22</v>
      </c>
      <c r="J137" s="51">
        <f>VLOOKUP($A137,'Data Vlaue (Cr)'!$C:$FB,59)</f>
        <v>3208</v>
      </c>
      <c r="K137" s="51">
        <f>VLOOKUP($A137,'Data Vlaue (Cr)'!$C:$FB,60)</f>
        <v>1371</v>
      </c>
      <c r="L137" s="51">
        <f>VLOOKUP($A137,'Data Vlaue (Cr)'!$C:$FB,62)*100</f>
        <v>134.07</v>
      </c>
      <c r="M137" s="51">
        <f>VLOOKUP($A137,'Data Vlaue (Cr)'!$C:$FB,63)</f>
        <v>1011</v>
      </c>
      <c r="N137" s="51">
        <f>VLOOKUP($A137,'Data Vlaue (Cr)'!$C:$FB,64)</f>
        <v>650</v>
      </c>
      <c r="O137" s="51">
        <f>VLOOKUP($A137,'Data Vlaue (Cr)'!$C:$FB,66)*100</f>
        <v>55.559999999999995</v>
      </c>
    </row>
    <row r="138" spans="1:15" x14ac:dyDescent="0.25">
      <c r="A138" s="101" t="str">
        <f>'Data Vlaue (Cr)'!C133</f>
        <v>MCX</v>
      </c>
      <c r="B138" s="50">
        <f>VLOOKUP($A138,'Data Vlaue (Cr)'!$C:$FB,8)</f>
        <v>2856.1</v>
      </c>
      <c r="C138" s="50">
        <f>VLOOKUP($A138,'Data Vlaue (Cr)'!$C:$FB,11)*100</f>
        <v>-0.21</v>
      </c>
      <c r="D138" s="50">
        <f>VLOOKUP($A138,'Data Vlaue (Cr)'!$C:$FB,143)</f>
        <v>12561.26</v>
      </c>
      <c r="E138" s="50">
        <f>VLOOKUP($A138,'Data Vlaue (Cr)'!$C:$FB,144)</f>
        <v>7783.56</v>
      </c>
      <c r="F138" s="50">
        <f>VLOOKUP($A138,'Data Vlaue (Cr)'!$C:$FB,146)*100</f>
        <v>61.38</v>
      </c>
      <c r="G138" s="49">
        <f>VLOOKUP($A138,'Data Vlaue (Cr)'!$C:$FB,43)</f>
        <v>1343</v>
      </c>
      <c r="H138" s="49">
        <f>VLOOKUP($A138,'Data Vlaue (Cr)'!$C:$FB,44)</f>
        <v>864</v>
      </c>
      <c r="I138" s="49">
        <f>VLOOKUP($A138,'Data Vlaue (Cr)'!$C:$FB,46)*100</f>
        <v>55.500000000000007</v>
      </c>
      <c r="J138" s="51">
        <f>VLOOKUP($A138,'Data Vlaue (Cr)'!$C:$FB,59)</f>
        <v>6432</v>
      </c>
      <c r="K138" s="51">
        <f>VLOOKUP($A138,'Data Vlaue (Cr)'!$C:$FB,60)</f>
        <v>4309</v>
      </c>
      <c r="L138" s="51">
        <f>VLOOKUP($A138,'Data Vlaue (Cr)'!$C:$FB,62)*100</f>
        <v>49.25</v>
      </c>
      <c r="M138" s="51">
        <f>VLOOKUP($A138,'Data Vlaue (Cr)'!$C:$FB,63)</f>
        <v>4718</v>
      </c>
      <c r="N138" s="51">
        <f>VLOOKUP($A138,'Data Vlaue (Cr)'!$C:$FB,64)</f>
        <v>2443</v>
      </c>
      <c r="O138" s="51">
        <f>VLOOKUP($A138,'Data Vlaue (Cr)'!$C:$FB,66)*100</f>
        <v>93.12</v>
      </c>
    </row>
    <row r="139" spans="1:15" x14ac:dyDescent="0.25">
      <c r="A139" s="101" t="str">
        <f>'Data Vlaue (Cr)'!C134</f>
        <v>MFSL</v>
      </c>
      <c r="B139" s="50">
        <f>VLOOKUP($A139,'Data Vlaue (Cr)'!$C:$FB,8)</f>
        <v>1683.2</v>
      </c>
      <c r="C139" s="50">
        <f>VLOOKUP($A139,'Data Vlaue (Cr)'!$C:$FB,11)*100</f>
        <v>-0.71000000000000008</v>
      </c>
      <c r="D139" s="50">
        <f>VLOOKUP($A139,'Data Vlaue (Cr)'!$C:$FB,143)</f>
        <v>290.75</v>
      </c>
      <c r="E139" s="50">
        <f>VLOOKUP($A139,'Data Vlaue (Cr)'!$C:$FB,144)</f>
        <v>267.22000000000003</v>
      </c>
      <c r="F139" s="50">
        <f>VLOOKUP($A139,'Data Vlaue (Cr)'!$C:$FB,146)*100</f>
        <v>8.7999999999999989</v>
      </c>
      <c r="G139" s="49">
        <f>VLOOKUP($A139,'Data Vlaue (Cr)'!$C:$FB,43)</f>
        <v>134</v>
      </c>
      <c r="H139" s="49">
        <f>VLOOKUP($A139,'Data Vlaue (Cr)'!$C:$FB,44)</f>
        <v>126</v>
      </c>
      <c r="I139" s="49">
        <f>VLOOKUP($A139,'Data Vlaue (Cr)'!$C:$FB,46)*100</f>
        <v>6.7299999999999995</v>
      </c>
      <c r="J139" s="51">
        <f>VLOOKUP($A139,'Data Vlaue (Cr)'!$C:$FB,59)</f>
        <v>85</v>
      </c>
      <c r="K139" s="51">
        <f>VLOOKUP($A139,'Data Vlaue (Cr)'!$C:$FB,60)</f>
        <v>87</v>
      </c>
      <c r="L139" s="51">
        <f>VLOOKUP($A139,'Data Vlaue (Cr)'!$C:$FB,62)*100</f>
        <v>-2.5499999999999998</v>
      </c>
      <c r="M139" s="51">
        <f>VLOOKUP($A139,'Data Vlaue (Cr)'!$C:$FB,63)</f>
        <v>69</v>
      </c>
      <c r="N139" s="51">
        <f>VLOOKUP($A139,'Data Vlaue (Cr)'!$C:$FB,64)</f>
        <v>50</v>
      </c>
      <c r="O139" s="51">
        <f>VLOOKUP($A139,'Data Vlaue (Cr)'!$C:$FB,66)*100</f>
        <v>39.619999999999997</v>
      </c>
    </row>
    <row r="140" spans="1:15" x14ac:dyDescent="0.25">
      <c r="A140" s="101" t="str">
        <f>'Data Vlaue (Cr)'!C135</f>
        <v>MIDCPNIFTY</v>
      </c>
      <c r="B140" s="50">
        <f>VLOOKUP($A140,'Data Vlaue (Cr)'!$C:$FB,8)</f>
        <v>13838.85</v>
      </c>
      <c r="C140" s="50">
        <f>VLOOKUP($A140,'Data Vlaue (Cr)'!$C:$FB,11)*100</f>
        <v>1.1299999999999999</v>
      </c>
      <c r="D140" s="50">
        <f>VLOOKUP($A140,'Data Vlaue (Cr)'!$C:$FB,143)</f>
        <v>45886.11</v>
      </c>
      <c r="E140" s="50">
        <f>VLOOKUP($A140,'Data Vlaue (Cr)'!$C:$FB,144)</f>
        <v>31584.49</v>
      </c>
      <c r="F140" s="50">
        <f>VLOOKUP($A140,'Data Vlaue (Cr)'!$C:$FB,146)*100</f>
        <v>45.28</v>
      </c>
      <c r="G140" s="49">
        <f>VLOOKUP($A140,'Data Vlaue (Cr)'!$C:$FB,43)</f>
        <v>764</v>
      </c>
      <c r="H140" s="49">
        <f>VLOOKUP($A140,'Data Vlaue (Cr)'!$C:$FB,44)</f>
        <v>810</v>
      </c>
      <c r="I140" s="49">
        <f>VLOOKUP($A140,'Data Vlaue (Cr)'!$C:$FB,46)*100</f>
        <v>-5.74</v>
      </c>
      <c r="J140" s="51">
        <f>VLOOKUP($A140,'Data Vlaue (Cr)'!$C:$FB,59)</f>
        <v>19775</v>
      </c>
      <c r="K140" s="51">
        <f>VLOOKUP($A140,'Data Vlaue (Cr)'!$C:$FB,60)</f>
        <v>15233</v>
      </c>
      <c r="L140" s="51">
        <f>VLOOKUP($A140,'Data Vlaue (Cr)'!$C:$FB,62)*100</f>
        <v>29.82</v>
      </c>
      <c r="M140" s="51">
        <f>VLOOKUP($A140,'Data Vlaue (Cr)'!$C:$FB,63)</f>
        <v>26031</v>
      </c>
      <c r="N140" s="51">
        <f>VLOOKUP($A140,'Data Vlaue (Cr)'!$C:$FB,64)</f>
        <v>16060</v>
      </c>
      <c r="O140" s="51">
        <f>VLOOKUP($A140,'Data Vlaue (Cr)'!$C:$FB,66)*100</f>
        <v>62.09</v>
      </c>
    </row>
    <row r="141" spans="1:15" x14ac:dyDescent="0.25">
      <c r="A141" s="101" t="str">
        <f>'Data Vlaue (Cr)'!C136</f>
        <v>MOTHERSON</v>
      </c>
      <c r="B141" s="50">
        <f>VLOOKUP($A141,'Data Vlaue (Cr)'!$C:$FB,8)</f>
        <v>125.03</v>
      </c>
      <c r="C141" s="50">
        <f>VLOOKUP($A141,'Data Vlaue (Cr)'!$C:$FB,11)*100</f>
        <v>1.7999999999999998</v>
      </c>
      <c r="D141" s="50">
        <f>VLOOKUP($A141,'Data Vlaue (Cr)'!$C:$FB,143)</f>
        <v>1109.6199999999999</v>
      </c>
      <c r="E141" s="50">
        <f>VLOOKUP($A141,'Data Vlaue (Cr)'!$C:$FB,144)</f>
        <v>697.36</v>
      </c>
      <c r="F141" s="50">
        <f>VLOOKUP($A141,'Data Vlaue (Cr)'!$C:$FB,146)*100</f>
        <v>59.12</v>
      </c>
      <c r="G141" s="49">
        <f>VLOOKUP($A141,'Data Vlaue (Cr)'!$C:$FB,43)</f>
        <v>441</v>
      </c>
      <c r="H141" s="49">
        <f>VLOOKUP($A141,'Data Vlaue (Cr)'!$C:$FB,44)</f>
        <v>213</v>
      </c>
      <c r="I141" s="49">
        <f>VLOOKUP($A141,'Data Vlaue (Cr)'!$C:$FB,46)*100</f>
        <v>106.92999999999999</v>
      </c>
      <c r="J141" s="51">
        <f>VLOOKUP($A141,'Data Vlaue (Cr)'!$C:$FB,59)</f>
        <v>339</v>
      </c>
      <c r="K141" s="51">
        <f>VLOOKUP($A141,'Data Vlaue (Cr)'!$C:$FB,60)</f>
        <v>273</v>
      </c>
      <c r="L141" s="51">
        <f>VLOOKUP($A141,'Data Vlaue (Cr)'!$C:$FB,62)*100</f>
        <v>24.16</v>
      </c>
      <c r="M141" s="51">
        <f>VLOOKUP($A141,'Data Vlaue (Cr)'!$C:$FB,63)</f>
        <v>341</v>
      </c>
      <c r="N141" s="51">
        <f>VLOOKUP($A141,'Data Vlaue (Cr)'!$C:$FB,64)</f>
        <v>218</v>
      </c>
      <c r="O141" s="51">
        <f>VLOOKUP($A141,'Data Vlaue (Cr)'!$C:$FB,66)*100</f>
        <v>56.95</v>
      </c>
    </row>
    <row r="142" spans="1:15" x14ac:dyDescent="0.25">
      <c r="A142" s="101" t="str">
        <f>'Data Vlaue (Cr)'!C137</f>
        <v>MOTILALOFS</v>
      </c>
      <c r="B142" s="50">
        <f>VLOOKUP($A142,'Data Vlaue (Cr)'!$C:$FB,8)</f>
        <v>815.45</v>
      </c>
      <c r="C142" s="50">
        <f>VLOOKUP($A142,'Data Vlaue (Cr)'!$C:$FB,11)*100</f>
        <v>4.17</v>
      </c>
      <c r="D142" s="50">
        <f>VLOOKUP($A142,'Data Vlaue (Cr)'!$C:$FB,143)</f>
        <v>914.03</v>
      </c>
      <c r="E142" s="50">
        <f>VLOOKUP($A142,'Data Vlaue (Cr)'!$C:$FB,144)</f>
        <v>332.3</v>
      </c>
      <c r="F142" s="50">
        <f>VLOOKUP($A142,'Data Vlaue (Cr)'!$C:$FB,146)*100</f>
        <v>175.06</v>
      </c>
      <c r="G142" s="49">
        <f>VLOOKUP($A142,'Data Vlaue (Cr)'!$C:$FB,43)</f>
        <v>201</v>
      </c>
      <c r="H142" s="49">
        <f>VLOOKUP($A142,'Data Vlaue (Cr)'!$C:$FB,44)</f>
        <v>58</v>
      </c>
      <c r="I142" s="49">
        <f>VLOOKUP($A142,'Data Vlaue (Cr)'!$C:$FB,46)*100</f>
        <v>248.95999999999998</v>
      </c>
      <c r="J142" s="51">
        <f>VLOOKUP($A142,'Data Vlaue (Cr)'!$C:$FB,59)</f>
        <v>578</v>
      </c>
      <c r="K142" s="51">
        <f>VLOOKUP($A142,'Data Vlaue (Cr)'!$C:$FB,60)</f>
        <v>106</v>
      </c>
      <c r="L142" s="51">
        <f>VLOOKUP($A142,'Data Vlaue (Cr)'!$C:$FB,62)*100</f>
        <v>446.23</v>
      </c>
      <c r="M142" s="51">
        <f>VLOOKUP($A142,'Data Vlaue (Cr)'!$C:$FB,63)</f>
        <v>132</v>
      </c>
      <c r="N142" s="51">
        <f>VLOOKUP($A142,'Data Vlaue (Cr)'!$C:$FB,64)</f>
        <v>203</v>
      </c>
      <c r="O142" s="51">
        <f>VLOOKUP($A142,'Data Vlaue (Cr)'!$C:$FB,66)*100</f>
        <v>-35.04</v>
      </c>
    </row>
    <row r="143" spans="1:15" x14ac:dyDescent="0.25">
      <c r="A143" s="101" t="str">
        <f>'Data Vlaue (Cr)'!C138</f>
        <v>MPHASIS</v>
      </c>
      <c r="B143" s="50">
        <f>VLOOKUP($A143,'Data Vlaue (Cr)'!$C:$FB,8)</f>
        <v>2462.1999999999998</v>
      </c>
      <c r="C143" s="50">
        <f>VLOOKUP($A143,'Data Vlaue (Cr)'!$C:$FB,11)*100</f>
        <v>0.84</v>
      </c>
      <c r="D143" s="50">
        <f>VLOOKUP($A143,'Data Vlaue (Cr)'!$C:$FB,143)</f>
        <v>576.89</v>
      </c>
      <c r="E143" s="50">
        <f>VLOOKUP($A143,'Data Vlaue (Cr)'!$C:$FB,144)</f>
        <v>959.14</v>
      </c>
      <c r="F143" s="50">
        <f>VLOOKUP($A143,'Data Vlaue (Cr)'!$C:$FB,146)*100</f>
        <v>-39.85</v>
      </c>
      <c r="G143" s="49">
        <f>VLOOKUP($A143,'Data Vlaue (Cr)'!$C:$FB,43)</f>
        <v>152</v>
      </c>
      <c r="H143" s="49">
        <f>VLOOKUP($A143,'Data Vlaue (Cr)'!$C:$FB,44)</f>
        <v>187</v>
      </c>
      <c r="I143" s="49">
        <f>VLOOKUP($A143,'Data Vlaue (Cr)'!$C:$FB,46)*100</f>
        <v>-19.059999999999999</v>
      </c>
      <c r="J143" s="51">
        <f>VLOOKUP($A143,'Data Vlaue (Cr)'!$C:$FB,59)</f>
        <v>244</v>
      </c>
      <c r="K143" s="51">
        <f>VLOOKUP($A143,'Data Vlaue (Cr)'!$C:$FB,60)</f>
        <v>577</v>
      </c>
      <c r="L143" s="51">
        <f>VLOOKUP($A143,'Data Vlaue (Cr)'!$C:$FB,62)*100</f>
        <v>-57.76</v>
      </c>
      <c r="M143" s="51">
        <f>VLOOKUP($A143,'Data Vlaue (Cr)'!$C:$FB,63)</f>
        <v>186</v>
      </c>
      <c r="N143" s="51">
        <f>VLOOKUP($A143,'Data Vlaue (Cr)'!$C:$FB,64)</f>
        <v>188</v>
      </c>
      <c r="O143" s="51">
        <f>VLOOKUP($A143,'Data Vlaue (Cr)'!$C:$FB,66)*100</f>
        <v>-1.1599999999999999</v>
      </c>
    </row>
    <row r="144" spans="1:15" x14ac:dyDescent="0.25">
      <c r="A144" s="101" t="str">
        <f>'Data Vlaue (Cr)'!C139</f>
        <v>MUTHOOTFIN</v>
      </c>
      <c r="B144" s="50">
        <f>VLOOKUP($A144,'Data Vlaue (Cr)'!$C:$FB,8)</f>
        <v>3571.3</v>
      </c>
      <c r="C144" s="50">
        <f>VLOOKUP($A144,'Data Vlaue (Cr)'!$C:$FB,11)*100</f>
        <v>-0.19</v>
      </c>
      <c r="D144" s="50">
        <f>VLOOKUP($A144,'Data Vlaue (Cr)'!$C:$FB,143)</f>
        <v>3052.36</v>
      </c>
      <c r="E144" s="50">
        <f>VLOOKUP($A144,'Data Vlaue (Cr)'!$C:$FB,144)</f>
        <v>1709.66</v>
      </c>
      <c r="F144" s="50">
        <f>VLOOKUP($A144,'Data Vlaue (Cr)'!$C:$FB,146)*100</f>
        <v>78.539999999999992</v>
      </c>
      <c r="G144" s="49">
        <f>VLOOKUP($A144,'Data Vlaue (Cr)'!$C:$FB,43)</f>
        <v>361</v>
      </c>
      <c r="H144" s="49">
        <f>VLOOKUP($A144,'Data Vlaue (Cr)'!$C:$FB,44)</f>
        <v>279</v>
      </c>
      <c r="I144" s="49">
        <f>VLOOKUP($A144,'Data Vlaue (Cr)'!$C:$FB,46)*100</f>
        <v>29.18</v>
      </c>
      <c r="J144" s="51">
        <f>VLOOKUP($A144,'Data Vlaue (Cr)'!$C:$FB,59)</f>
        <v>1744</v>
      </c>
      <c r="K144" s="51">
        <f>VLOOKUP($A144,'Data Vlaue (Cr)'!$C:$FB,60)</f>
        <v>929</v>
      </c>
      <c r="L144" s="51">
        <f>VLOOKUP($A144,'Data Vlaue (Cr)'!$C:$FB,62)*100</f>
        <v>87.67</v>
      </c>
      <c r="M144" s="51">
        <f>VLOOKUP($A144,'Data Vlaue (Cr)'!$C:$FB,63)</f>
        <v>894</v>
      </c>
      <c r="N144" s="51">
        <f>VLOOKUP($A144,'Data Vlaue (Cr)'!$C:$FB,64)</f>
        <v>456</v>
      </c>
      <c r="O144" s="51">
        <f>VLOOKUP($A144,'Data Vlaue (Cr)'!$C:$FB,66)*100</f>
        <v>96.14</v>
      </c>
    </row>
    <row r="145" spans="1:15" x14ac:dyDescent="0.25">
      <c r="A145" s="101" t="str">
        <f>'Data Vlaue (Cr)'!C140</f>
        <v>NAM-INDIA</v>
      </c>
      <c r="B145" s="50">
        <f>VLOOKUP($A145,'Data Vlaue (Cr)'!$C:$FB,8)</f>
        <v>1015.05</v>
      </c>
      <c r="C145" s="50">
        <f>VLOOKUP($A145,'Data Vlaue (Cr)'!$C:$FB,11)*100</f>
        <v>5.2</v>
      </c>
      <c r="D145" s="50">
        <f>VLOOKUP($A145,'Data Vlaue (Cr)'!$C:$FB,143)</f>
        <v>488.64</v>
      </c>
      <c r="E145" s="50">
        <f>VLOOKUP($A145,'Data Vlaue (Cr)'!$C:$FB,144)</f>
        <v>440.4</v>
      </c>
      <c r="F145" s="50">
        <f>VLOOKUP($A145,'Data Vlaue (Cr)'!$C:$FB,146)*100</f>
        <v>10.95</v>
      </c>
      <c r="G145" s="49">
        <f>VLOOKUP($A145,'Data Vlaue (Cr)'!$C:$FB,43)</f>
        <v>154</v>
      </c>
      <c r="H145" s="49">
        <f>VLOOKUP($A145,'Data Vlaue (Cr)'!$C:$FB,44)</f>
        <v>89</v>
      </c>
      <c r="I145" s="49">
        <f>VLOOKUP($A145,'Data Vlaue (Cr)'!$C:$FB,46)*100</f>
        <v>72.8</v>
      </c>
      <c r="J145" s="51">
        <f>VLOOKUP($A145,'Data Vlaue (Cr)'!$C:$FB,59)</f>
        <v>264</v>
      </c>
      <c r="K145" s="51">
        <f>VLOOKUP($A145,'Data Vlaue (Cr)'!$C:$FB,60)</f>
        <v>177</v>
      </c>
      <c r="L145" s="51">
        <f>VLOOKUP($A145,'Data Vlaue (Cr)'!$C:$FB,62)*100</f>
        <v>48.85</v>
      </c>
      <c r="M145" s="51">
        <f>VLOOKUP($A145,'Data Vlaue (Cr)'!$C:$FB,63)</f>
        <v>68</v>
      </c>
      <c r="N145" s="51">
        <f>VLOOKUP($A145,'Data Vlaue (Cr)'!$C:$FB,64)</f>
        <v>224</v>
      </c>
      <c r="O145" s="51">
        <f>VLOOKUP($A145,'Data Vlaue (Cr)'!$C:$FB,66)*100</f>
        <v>-69.599999999999994</v>
      </c>
    </row>
    <row r="146" spans="1:15" x14ac:dyDescent="0.25">
      <c r="A146" s="101" t="str">
        <f>'Data Vlaue (Cr)'!C141</f>
        <v>NATIONALUM</v>
      </c>
      <c r="B146" s="50">
        <f>VLOOKUP($A146,'Data Vlaue (Cr)'!$C:$FB,8)</f>
        <v>438.75</v>
      </c>
      <c r="C146" s="50">
        <f>VLOOKUP($A146,'Data Vlaue (Cr)'!$C:$FB,11)*100</f>
        <v>1.4000000000000001</v>
      </c>
      <c r="D146" s="50">
        <f>VLOOKUP($A146,'Data Vlaue (Cr)'!$C:$FB,143)</f>
        <v>4935.96</v>
      </c>
      <c r="E146" s="50">
        <f>VLOOKUP($A146,'Data Vlaue (Cr)'!$C:$FB,144)</f>
        <v>6667.38</v>
      </c>
      <c r="F146" s="50">
        <f>VLOOKUP($A146,'Data Vlaue (Cr)'!$C:$FB,146)*100</f>
        <v>-25.97</v>
      </c>
      <c r="G146" s="49">
        <f>VLOOKUP($A146,'Data Vlaue (Cr)'!$C:$FB,43)</f>
        <v>785</v>
      </c>
      <c r="H146" s="49">
        <f>VLOOKUP($A146,'Data Vlaue (Cr)'!$C:$FB,44)</f>
        <v>1006</v>
      </c>
      <c r="I146" s="49">
        <f>VLOOKUP($A146,'Data Vlaue (Cr)'!$C:$FB,46)*100</f>
        <v>-21.9</v>
      </c>
      <c r="J146" s="51">
        <f>VLOOKUP($A146,'Data Vlaue (Cr)'!$C:$FB,59)</f>
        <v>2663</v>
      </c>
      <c r="K146" s="51">
        <f>VLOOKUP($A146,'Data Vlaue (Cr)'!$C:$FB,60)</f>
        <v>3992</v>
      </c>
      <c r="L146" s="51">
        <f>VLOOKUP($A146,'Data Vlaue (Cr)'!$C:$FB,62)*100</f>
        <v>-33.29</v>
      </c>
      <c r="M146" s="51">
        <f>VLOOKUP($A146,'Data Vlaue (Cr)'!$C:$FB,63)</f>
        <v>1454</v>
      </c>
      <c r="N146" s="51">
        <f>VLOOKUP($A146,'Data Vlaue (Cr)'!$C:$FB,64)</f>
        <v>1600</v>
      </c>
      <c r="O146" s="51">
        <f>VLOOKUP($A146,'Data Vlaue (Cr)'!$C:$FB,66)*100</f>
        <v>-9.1</v>
      </c>
    </row>
    <row r="147" spans="1:15" x14ac:dyDescent="0.25">
      <c r="A147" s="101" t="str">
        <f>'Data Vlaue (Cr)'!C142</f>
        <v>NAUKRI</v>
      </c>
      <c r="B147" s="50">
        <f>VLOOKUP($A147,'Data Vlaue (Cr)'!$C:$FB,8)</f>
        <v>1054.55</v>
      </c>
      <c r="C147" s="50">
        <f>VLOOKUP($A147,'Data Vlaue (Cr)'!$C:$FB,11)*100</f>
        <v>0.65</v>
      </c>
      <c r="D147" s="50">
        <f>VLOOKUP($A147,'Data Vlaue (Cr)'!$C:$FB,143)</f>
        <v>488.49</v>
      </c>
      <c r="E147" s="50">
        <f>VLOOKUP($A147,'Data Vlaue (Cr)'!$C:$FB,144)</f>
        <v>688.16</v>
      </c>
      <c r="F147" s="50">
        <f>VLOOKUP($A147,'Data Vlaue (Cr)'!$C:$FB,146)*100</f>
        <v>-29.020000000000003</v>
      </c>
      <c r="G147" s="49">
        <f>VLOOKUP($A147,'Data Vlaue (Cr)'!$C:$FB,43)</f>
        <v>129</v>
      </c>
      <c r="H147" s="49">
        <f>VLOOKUP($A147,'Data Vlaue (Cr)'!$C:$FB,44)</f>
        <v>197</v>
      </c>
      <c r="I147" s="49">
        <f>VLOOKUP($A147,'Data Vlaue (Cr)'!$C:$FB,46)*100</f>
        <v>-34.53</v>
      </c>
      <c r="J147" s="51">
        <f>VLOOKUP($A147,'Data Vlaue (Cr)'!$C:$FB,59)</f>
        <v>248</v>
      </c>
      <c r="K147" s="51">
        <f>VLOOKUP($A147,'Data Vlaue (Cr)'!$C:$FB,60)</f>
        <v>370</v>
      </c>
      <c r="L147" s="51">
        <f>VLOOKUP($A147,'Data Vlaue (Cr)'!$C:$FB,62)*100</f>
        <v>-32.9</v>
      </c>
      <c r="M147" s="51">
        <f>VLOOKUP($A147,'Data Vlaue (Cr)'!$C:$FB,63)</f>
        <v>107</v>
      </c>
      <c r="N147" s="51">
        <f>VLOOKUP($A147,'Data Vlaue (Cr)'!$C:$FB,64)</f>
        <v>118</v>
      </c>
      <c r="O147" s="51">
        <f>VLOOKUP($A147,'Data Vlaue (Cr)'!$C:$FB,66)*100</f>
        <v>-9.5699999999999985</v>
      </c>
    </row>
    <row r="148" spans="1:15" x14ac:dyDescent="0.25">
      <c r="A148" s="101" t="str">
        <f>'Data Vlaue (Cr)'!C143</f>
        <v>NBCC</v>
      </c>
      <c r="B148" s="50">
        <f>VLOOKUP($A148,'Data Vlaue (Cr)'!$C:$FB,8)</f>
        <v>94.32</v>
      </c>
      <c r="C148" s="50">
        <f>VLOOKUP($A148,'Data Vlaue (Cr)'!$C:$FB,11)*100</f>
        <v>1.3599999999999999</v>
      </c>
      <c r="D148" s="50">
        <f>VLOOKUP($A148,'Data Vlaue (Cr)'!$C:$FB,143)</f>
        <v>451.88</v>
      </c>
      <c r="E148" s="50">
        <f>VLOOKUP($A148,'Data Vlaue (Cr)'!$C:$FB,144)</f>
        <v>316.64999999999998</v>
      </c>
      <c r="F148" s="50">
        <f>VLOOKUP($A148,'Data Vlaue (Cr)'!$C:$FB,146)*100</f>
        <v>42.71</v>
      </c>
      <c r="G148" s="49">
        <f>VLOOKUP($A148,'Data Vlaue (Cr)'!$C:$FB,43)</f>
        <v>136</v>
      </c>
      <c r="H148" s="49">
        <f>VLOOKUP($A148,'Data Vlaue (Cr)'!$C:$FB,44)</f>
        <v>98</v>
      </c>
      <c r="I148" s="49">
        <f>VLOOKUP($A148,'Data Vlaue (Cr)'!$C:$FB,46)*100</f>
        <v>39.43</v>
      </c>
      <c r="J148" s="51">
        <f>VLOOKUP($A148,'Data Vlaue (Cr)'!$C:$FB,59)</f>
        <v>219</v>
      </c>
      <c r="K148" s="51">
        <f>VLOOKUP($A148,'Data Vlaue (Cr)'!$C:$FB,60)</f>
        <v>150</v>
      </c>
      <c r="L148" s="51">
        <f>VLOOKUP($A148,'Data Vlaue (Cr)'!$C:$FB,62)*100</f>
        <v>45.69</v>
      </c>
      <c r="M148" s="51">
        <f>VLOOKUP($A148,'Data Vlaue (Cr)'!$C:$FB,63)</f>
        <v>92</v>
      </c>
      <c r="N148" s="51">
        <f>VLOOKUP($A148,'Data Vlaue (Cr)'!$C:$FB,64)</f>
        <v>70</v>
      </c>
      <c r="O148" s="51">
        <f>VLOOKUP($A148,'Data Vlaue (Cr)'!$C:$FB,66)*100</f>
        <v>31.869999999999997</v>
      </c>
    </row>
    <row r="149" spans="1:15" x14ac:dyDescent="0.25">
      <c r="A149" s="101" t="str">
        <f>'Data Vlaue (Cr)'!C144</f>
        <v>NESTLEIND</v>
      </c>
      <c r="B149" s="50">
        <f>VLOOKUP($A149,'Data Vlaue (Cr)'!$C:$FB,8)</f>
        <v>1285.5999999999999</v>
      </c>
      <c r="C149" s="50">
        <f>VLOOKUP($A149,'Data Vlaue (Cr)'!$C:$FB,11)*100</f>
        <v>2.2399999999999998</v>
      </c>
      <c r="D149" s="50">
        <f>VLOOKUP($A149,'Data Vlaue (Cr)'!$C:$FB,143)</f>
        <v>1913.02</v>
      </c>
      <c r="E149" s="50">
        <f>VLOOKUP($A149,'Data Vlaue (Cr)'!$C:$FB,144)</f>
        <v>1251.01</v>
      </c>
      <c r="F149" s="50">
        <f>VLOOKUP($A149,'Data Vlaue (Cr)'!$C:$FB,146)*100</f>
        <v>52.92</v>
      </c>
      <c r="G149" s="49">
        <f>VLOOKUP($A149,'Data Vlaue (Cr)'!$C:$FB,43)</f>
        <v>259</v>
      </c>
      <c r="H149" s="49">
        <f>VLOOKUP($A149,'Data Vlaue (Cr)'!$C:$FB,44)</f>
        <v>418</v>
      </c>
      <c r="I149" s="49">
        <f>VLOOKUP($A149,'Data Vlaue (Cr)'!$C:$FB,46)*100</f>
        <v>-38</v>
      </c>
      <c r="J149" s="51">
        <f>VLOOKUP($A149,'Data Vlaue (Cr)'!$C:$FB,59)</f>
        <v>1281</v>
      </c>
      <c r="K149" s="51">
        <f>VLOOKUP($A149,'Data Vlaue (Cr)'!$C:$FB,60)</f>
        <v>604</v>
      </c>
      <c r="L149" s="51">
        <f>VLOOKUP($A149,'Data Vlaue (Cr)'!$C:$FB,62)*100</f>
        <v>112.06</v>
      </c>
      <c r="M149" s="51">
        <f>VLOOKUP($A149,'Data Vlaue (Cr)'!$C:$FB,63)</f>
        <v>334</v>
      </c>
      <c r="N149" s="51">
        <f>VLOOKUP($A149,'Data Vlaue (Cr)'!$C:$FB,64)</f>
        <v>243</v>
      </c>
      <c r="O149" s="51">
        <f>VLOOKUP($A149,'Data Vlaue (Cr)'!$C:$FB,66)*100</f>
        <v>37.44</v>
      </c>
    </row>
    <row r="150" spans="1:15" x14ac:dyDescent="0.25">
      <c r="A150" s="101" t="str">
        <f>'Data Vlaue (Cr)'!C145</f>
        <v>NHPC</v>
      </c>
      <c r="B150" s="50">
        <f>VLOOKUP($A150,'Data Vlaue (Cr)'!$C:$FB,8)</f>
        <v>83.56</v>
      </c>
      <c r="C150" s="50">
        <f>VLOOKUP($A150,'Data Vlaue (Cr)'!$C:$FB,11)*100</f>
        <v>2.68</v>
      </c>
      <c r="D150" s="50">
        <f>VLOOKUP($A150,'Data Vlaue (Cr)'!$C:$FB,143)</f>
        <v>1083.8800000000001</v>
      </c>
      <c r="E150" s="50">
        <f>VLOOKUP($A150,'Data Vlaue (Cr)'!$C:$FB,144)</f>
        <v>837.58</v>
      </c>
      <c r="F150" s="50">
        <f>VLOOKUP($A150,'Data Vlaue (Cr)'!$C:$FB,146)*100</f>
        <v>29.409999999999997</v>
      </c>
      <c r="G150" s="49">
        <f>VLOOKUP($A150,'Data Vlaue (Cr)'!$C:$FB,43)</f>
        <v>356</v>
      </c>
      <c r="H150" s="49">
        <f>VLOOKUP($A150,'Data Vlaue (Cr)'!$C:$FB,44)</f>
        <v>176</v>
      </c>
      <c r="I150" s="49">
        <f>VLOOKUP($A150,'Data Vlaue (Cr)'!$C:$FB,46)*100</f>
        <v>102.16000000000001</v>
      </c>
      <c r="J150" s="51">
        <f>VLOOKUP($A150,'Data Vlaue (Cr)'!$C:$FB,59)</f>
        <v>500</v>
      </c>
      <c r="K150" s="51">
        <f>VLOOKUP($A150,'Data Vlaue (Cr)'!$C:$FB,60)</f>
        <v>453</v>
      </c>
      <c r="L150" s="51">
        <f>VLOOKUP($A150,'Data Vlaue (Cr)'!$C:$FB,62)*100</f>
        <v>10.32</v>
      </c>
      <c r="M150" s="51">
        <f>VLOOKUP($A150,'Data Vlaue (Cr)'!$C:$FB,63)</f>
        <v>214</v>
      </c>
      <c r="N150" s="51">
        <f>VLOOKUP($A150,'Data Vlaue (Cr)'!$C:$FB,64)</f>
        <v>210</v>
      </c>
      <c r="O150" s="51">
        <f>VLOOKUP($A150,'Data Vlaue (Cr)'!$C:$FB,66)*100</f>
        <v>1.78</v>
      </c>
    </row>
    <row r="151" spans="1:15" x14ac:dyDescent="0.25">
      <c r="A151" s="101" t="str">
        <f>'Data Vlaue (Cr)'!C146</f>
        <v>NIFTY</v>
      </c>
      <c r="B151" s="50">
        <f>VLOOKUP($A151,'Data Vlaue (Cr)'!$C:$FB,8)</f>
        <v>24353.55</v>
      </c>
      <c r="C151" s="50">
        <f>VLOOKUP($A151,'Data Vlaue (Cr)'!$C:$FB,11)*100</f>
        <v>0.65</v>
      </c>
      <c r="D151" s="50">
        <f>VLOOKUP($A151,'Data Vlaue (Cr)'!$C:$FB,143)</f>
        <v>11015337.859999999</v>
      </c>
      <c r="E151" s="50">
        <f>VLOOKUP($A151,'Data Vlaue (Cr)'!$C:$FB,144)</f>
        <v>7049440.9199999999</v>
      </c>
      <c r="F151" s="50">
        <f>VLOOKUP($A151,'Data Vlaue (Cr)'!$C:$FB,146)*100</f>
        <v>56.26</v>
      </c>
      <c r="G151" s="49">
        <f>VLOOKUP($A151,'Data Vlaue (Cr)'!$C:$FB,43)</f>
        <v>9928</v>
      </c>
      <c r="H151" s="49">
        <f>VLOOKUP($A151,'Data Vlaue (Cr)'!$C:$FB,44)</f>
        <v>12953</v>
      </c>
      <c r="I151" s="49">
        <f>VLOOKUP($A151,'Data Vlaue (Cr)'!$C:$FB,46)*100</f>
        <v>-23.35</v>
      </c>
      <c r="J151" s="51">
        <f>VLOOKUP($A151,'Data Vlaue (Cr)'!$C:$FB,59)</f>
        <v>5993290</v>
      </c>
      <c r="K151" s="51">
        <f>VLOOKUP($A151,'Data Vlaue (Cr)'!$C:$FB,60)</f>
        <v>3549603</v>
      </c>
      <c r="L151" s="51">
        <f>VLOOKUP($A151,'Data Vlaue (Cr)'!$C:$FB,62)*100</f>
        <v>68.84</v>
      </c>
      <c r="M151" s="51">
        <f>VLOOKUP($A151,'Data Vlaue (Cr)'!$C:$FB,63)</f>
        <v>5038202</v>
      </c>
      <c r="N151" s="51">
        <f>VLOOKUP($A151,'Data Vlaue (Cr)'!$C:$FB,64)</f>
        <v>3519154</v>
      </c>
      <c r="O151" s="51">
        <f>VLOOKUP($A151,'Data Vlaue (Cr)'!$C:$FB,66)*100</f>
        <v>43.169999999999995</v>
      </c>
    </row>
    <row r="152" spans="1:15" x14ac:dyDescent="0.25">
      <c r="A152" s="101" t="str">
        <f>'Data Vlaue (Cr)'!C147</f>
        <v>NIFTYNXT50</v>
      </c>
      <c r="B152" s="50">
        <f>VLOOKUP($A152,'Data Vlaue (Cr)'!$C:$FB,8)</f>
        <v>70273.8</v>
      </c>
      <c r="C152" s="50">
        <f>VLOOKUP($A152,'Data Vlaue (Cr)'!$C:$FB,11)*100</f>
        <v>1.4000000000000001</v>
      </c>
      <c r="D152" s="50">
        <f>VLOOKUP($A152,'Data Vlaue (Cr)'!$C:$FB,143)</f>
        <v>225.84</v>
      </c>
      <c r="E152" s="50">
        <f>VLOOKUP($A152,'Data Vlaue (Cr)'!$C:$FB,144)</f>
        <v>97.83</v>
      </c>
      <c r="F152" s="50">
        <f>VLOOKUP($A152,'Data Vlaue (Cr)'!$C:$FB,146)*100</f>
        <v>130.85</v>
      </c>
      <c r="G152" s="49">
        <f>VLOOKUP($A152,'Data Vlaue (Cr)'!$C:$FB,43)</f>
        <v>54</v>
      </c>
      <c r="H152" s="49">
        <f>VLOOKUP($A152,'Data Vlaue (Cr)'!$C:$FB,44)</f>
        <v>48</v>
      </c>
      <c r="I152" s="49">
        <f>VLOOKUP($A152,'Data Vlaue (Cr)'!$C:$FB,46)*100</f>
        <v>12.41</v>
      </c>
      <c r="J152" s="51">
        <f>VLOOKUP($A152,'Data Vlaue (Cr)'!$C:$FB,59)</f>
        <v>142</v>
      </c>
      <c r="K152" s="51">
        <f>VLOOKUP($A152,'Data Vlaue (Cr)'!$C:$FB,60)</f>
        <v>26</v>
      </c>
      <c r="L152" s="51">
        <f>VLOOKUP($A152,'Data Vlaue (Cr)'!$C:$FB,62)*100</f>
        <v>451.37</v>
      </c>
      <c r="M152" s="51">
        <f>VLOOKUP($A152,'Data Vlaue (Cr)'!$C:$FB,63)</f>
        <v>30</v>
      </c>
      <c r="N152" s="51">
        <f>VLOOKUP($A152,'Data Vlaue (Cr)'!$C:$FB,64)</f>
        <v>28</v>
      </c>
      <c r="O152" s="51">
        <f>VLOOKUP($A152,'Data Vlaue (Cr)'!$C:$FB,66)*100</f>
        <v>8.86</v>
      </c>
    </row>
    <row r="153" spans="1:15" x14ac:dyDescent="0.25">
      <c r="A153" s="101" t="str">
        <f>'Data Vlaue (Cr)'!C148</f>
        <v>NMDC</v>
      </c>
      <c r="B153" s="50">
        <f>VLOOKUP($A153,'Data Vlaue (Cr)'!$C:$FB,8)</f>
        <v>89.78</v>
      </c>
      <c r="C153" s="50">
        <f>VLOOKUP($A153,'Data Vlaue (Cr)'!$C:$FB,11)*100</f>
        <v>3.01</v>
      </c>
      <c r="D153" s="50">
        <f>VLOOKUP($A153,'Data Vlaue (Cr)'!$C:$FB,143)</f>
        <v>2496.6799999999998</v>
      </c>
      <c r="E153" s="50">
        <f>VLOOKUP($A153,'Data Vlaue (Cr)'!$C:$FB,144)</f>
        <v>2069.61</v>
      </c>
      <c r="F153" s="50">
        <f>VLOOKUP($A153,'Data Vlaue (Cr)'!$C:$FB,146)*100</f>
        <v>20.64</v>
      </c>
      <c r="G153" s="49">
        <f>VLOOKUP($A153,'Data Vlaue (Cr)'!$C:$FB,43)</f>
        <v>456</v>
      </c>
      <c r="H153" s="49">
        <f>VLOOKUP($A153,'Data Vlaue (Cr)'!$C:$FB,44)</f>
        <v>535</v>
      </c>
      <c r="I153" s="49">
        <f>VLOOKUP($A153,'Data Vlaue (Cr)'!$C:$FB,46)*100</f>
        <v>-14.66</v>
      </c>
      <c r="J153" s="51">
        <f>VLOOKUP($A153,'Data Vlaue (Cr)'!$C:$FB,59)</f>
        <v>1503</v>
      </c>
      <c r="K153" s="51">
        <f>VLOOKUP($A153,'Data Vlaue (Cr)'!$C:$FB,60)</f>
        <v>1139</v>
      </c>
      <c r="L153" s="51">
        <f>VLOOKUP($A153,'Data Vlaue (Cr)'!$C:$FB,62)*100</f>
        <v>31.929999999999996</v>
      </c>
      <c r="M153" s="51">
        <f>VLOOKUP($A153,'Data Vlaue (Cr)'!$C:$FB,63)</f>
        <v>516</v>
      </c>
      <c r="N153" s="51">
        <f>VLOOKUP($A153,'Data Vlaue (Cr)'!$C:$FB,64)</f>
        <v>425</v>
      </c>
      <c r="O153" s="51">
        <f>VLOOKUP($A153,'Data Vlaue (Cr)'!$C:$FB,66)*100</f>
        <v>21.26</v>
      </c>
    </row>
    <row r="154" spans="1:15" x14ac:dyDescent="0.25">
      <c r="A154" s="101" t="str">
        <f>'Data Vlaue (Cr)'!C149</f>
        <v>NTPC</v>
      </c>
      <c r="B154" s="50">
        <f>VLOOKUP($A154,'Data Vlaue (Cr)'!$C:$FB,8)</f>
        <v>393.6</v>
      </c>
      <c r="C154" s="50">
        <f>VLOOKUP($A154,'Data Vlaue (Cr)'!$C:$FB,11)*100</f>
        <v>0.72</v>
      </c>
      <c r="D154" s="50">
        <f>VLOOKUP($A154,'Data Vlaue (Cr)'!$C:$FB,143)</f>
        <v>5800.16</v>
      </c>
      <c r="E154" s="50">
        <f>VLOOKUP($A154,'Data Vlaue (Cr)'!$C:$FB,144)</f>
        <v>4767.58</v>
      </c>
      <c r="F154" s="50">
        <f>VLOOKUP($A154,'Data Vlaue (Cr)'!$C:$FB,146)*100</f>
        <v>21.66</v>
      </c>
      <c r="G154" s="49">
        <f>VLOOKUP($A154,'Data Vlaue (Cr)'!$C:$FB,43)</f>
        <v>813</v>
      </c>
      <c r="H154" s="49">
        <f>VLOOKUP($A154,'Data Vlaue (Cr)'!$C:$FB,44)</f>
        <v>504</v>
      </c>
      <c r="I154" s="49">
        <f>VLOOKUP($A154,'Data Vlaue (Cr)'!$C:$FB,46)*100</f>
        <v>61.360000000000007</v>
      </c>
      <c r="J154" s="51">
        <f>VLOOKUP($A154,'Data Vlaue (Cr)'!$C:$FB,59)</f>
        <v>3358</v>
      </c>
      <c r="K154" s="51">
        <f>VLOOKUP($A154,'Data Vlaue (Cr)'!$C:$FB,60)</f>
        <v>2929</v>
      </c>
      <c r="L154" s="51">
        <f>VLOOKUP($A154,'Data Vlaue (Cr)'!$C:$FB,62)*100</f>
        <v>14.680000000000001</v>
      </c>
      <c r="M154" s="51">
        <f>VLOOKUP($A154,'Data Vlaue (Cr)'!$C:$FB,63)</f>
        <v>1589</v>
      </c>
      <c r="N154" s="51">
        <f>VLOOKUP($A154,'Data Vlaue (Cr)'!$C:$FB,64)</f>
        <v>1291</v>
      </c>
      <c r="O154" s="51">
        <f>VLOOKUP($A154,'Data Vlaue (Cr)'!$C:$FB,66)*100</f>
        <v>23.119999999999997</v>
      </c>
    </row>
    <row r="155" spans="1:15" x14ac:dyDescent="0.25">
      <c r="A155" s="101" t="str">
        <f>'Data Vlaue (Cr)'!C150</f>
        <v>NUVAMA</v>
      </c>
      <c r="B155" s="50">
        <f>VLOOKUP($A155,'Data Vlaue (Cr)'!$C:$FB,8)</f>
        <v>1400.7</v>
      </c>
      <c r="C155" s="50">
        <f>VLOOKUP($A155,'Data Vlaue (Cr)'!$C:$FB,11)*100</f>
        <v>2.5100000000000002</v>
      </c>
      <c r="D155" s="50">
        <f>VLOOKUP($A155,'Data Vlaue (Cr)'!$C:$FB,143)</f>
        <v>351.33</v>
      </c>
      <c r="E155" s="50">
        <f>VLOOKUP($A155,'Data Vlaue (Cr)'!$C:$FB,144)</f>
        <v>211.92</v>
      </c>
      <c r="F155" s="50">
        <f>VLOOKUP($A155,'Data Vlaue (Cr)'!$C:$FB,146)*100</f>
        <v>65.78</v>
      </c>
      <c r="G155" s="49">
        <f>VLOOKUP($A155,'Data Vlaue (Cr)'!$C:$FB,43)</f>
        <v>95</v>
      </c>
      <c r="H155" s="49">
        <f>VLOOKUP($A155,'Data Vlaue (Cr)'!$C:$FB,44)</f>
        <v>74</v>
      </c>
      <c r="I155" s="49">
        <f>VLOOKUP($A155,'Data Vlaue (Cr)'!$C:$FB,46)*100</f>
        <v>29.03</v>
      </c>
      <c r="J155" s="51">
        <f>VLOOKUP($A155,'Data Vlaue (Cr)'!$C:$FB,59)</f>
        <v>196</v>
      </c>
      <c r="K155" s="51">
        <f>VLOOKUP($A155,'Data Vlaue (Cr)'!$C:$FB,60)</f>
        <v>64</v>
      </c>
      <c r="L155" s="51">
        <f>VLOOKUP($A155,'Data Vlaue (Cr)'!$C:$FB,62)*100</f>
        <v>205.77</v>
      </c>
      <c r="M155" s="51">
        <f>VLOOKUP($A155,'Data Vlaue (Cr)'!$C:$FB,63)</f>
        <v>57</v>
      </c>
      <c r="N155" s="51">
        <f>VLOOKUP($A155,'Data Vlaue (Cr)'!$C:$FB,64)</f>
        <v>92</v>
      </c>
      <c r="O155" s="51">
        <f>VLOOKUP($A155,'Data Vlaue (Cr)'!$C:$FB,66)*100</f>
        <v>-37.700000000000003</v>
      </c>
    </row>
    <row r="156" spans="1:15" x14ac:dyDescent="0.25">
      <c r="A156" s="101" t="str">
        <f>'Data Vlaue (Cr)'!C151</f>
        <v>NYKAA</v>
      </c>
      <c r="B156" s="50">
        <f>VLOOKUP($A156,'Data Vlaue (Cr)'!$C:$FB,8)</f>
        <v>269.66000000000003</v>
      </c>
      <c r="C156" s="50">
        <f>VLOOKUP($A156,'Data Vlaue (Cr)'!$C:$FB,11)*100</f>
        <v>2.68</v>
      </c>
      <c r="D156" s="50">
        <f>VLOOKUP($A156,'Data Vlaue (Cr)'!$C:$FB,143)</f>
        <v>594.09</v>
      </c>
      <c r="E156" s="50">
        <f>VLOOKUP($A156,'Data Vlaue (Cr)'!$C:$FB,144)</f>
        <v>316.54000000000002</v>
      </c>
      <c r="F156" s="50">
        <f>VLOOKUP($A156,'Data Vlaue (Cr)'!$C:$FB,146)*100</f>
        <v>87.68</v>
      </c>
      <c r="G156" s="49">
        <f>VLOOKUP($A156,'Data Vlaue (Cr)'!$C:$FB,43)</f>
        <v>129</v>
      </c>
      <c r="H156" s="49">
        <f>VLOOKUP($A156,'Data Vlaue (Cr)'!$C:$FB,44)</f>
        <v>82</v>
      </c>
      <c r="I156" s="49">
        <f>VLOOKUP($A156,'Data Vlaue (Cr)'!$C:$FB,46)*100</f>
        <v>57.66</v>
      </c>
      <c r="J156" s="51">
        <f>VLOOKUP($A156,'Data Vlaue (Cr)'!$C:$FB,59)</f>
        <v>338</v>
      </c>
      <c r="K156" s="51">
        <f>VLOOKUP($A156,'Data Vlaue (Cr)'!$C:$FB,60)</f>
        <v>180</v>
      </c>
      <c r="L156" s="51">
        <f>VLOOKUP($A156,'Data Vlaue (Cr)'!$C:$FB,62)*100</f>
        <v>87.94</v>
      </c>
      <c r="M156" s="51">
        <f>VLOOKUP($A156,'Data Vlaue (Cr)'!$C:$FB,63)</f>
        <v>126</v>
      </c>
      <c r="N156" s="51">
        <f>VLOOKUP($A156,'Data Vlaue (Cr)'!$C:$FB,64)</f>
        <v>58</v>
      </c>
      <c r="O156" s="51">
        <f>VLOOKUP($A156,'Data Vlaue (Cr)'!$C:$FB,66)*100</f>
        <v>118.58999999999999</v>
      </c>
    </row>
    <row r="157" spans="1:15" x14ac:dyDescent="0.25">
      <c r="A157" s="101" t="str">
        <f>'Data Vlaue (Cr)'!C152</f>
        <v>OBEROIRLTY</v>
      </c>
      <c r="B157" s="50">
        <f>VLOOKUP($A157,'Data Vlaue (Cr)'!$C:$FB,8)</f>
        <v>1710.6</v>
      </c>
      <c r="C157" s="50">
        <f>VLOOKUP($A157,'Data Vlaue (Cr)'!$C:$FB,11)*100</f>
        <v>0.01</v>
      </c>
      <c r="D157" s="50">
        <f>VLOOKUP($A157,'Data Vlaue (Cr)'!$C:$FB,143)</f>
        <v>285.07</v>
      </c>
      <c r="E157" s="50">
        <f>VLOOKUP($A157,'Data Vlaue (Cr)'!$C:$FB,144)</f>
        <v>420.18</v>
      </c>
      <c r="F157" s="50">
        <f>VLOOKUP($A157,'Data Vlaue (Cr)'!$C:$FB,146)*100</f>
        <v>-32.159999999999997</v>
      </c>
      <c r="G157" s="49">
        <f>VLOOKUP($A157,'Data Vlaue (Cr)'!$C:$FB,43)</f>
        <v>126</v>
      </c>
      <c r="H157" s="49">
        <f>VLOOKUP($A157,'Data Vlaue (Cr)'!$C:$FB,44)</f>
        <v>176</v>
      </c>
      <c r="I157" s="49">
        <f>VLOOKUP($A157,'Data Vlaue (Cr)'!$C:$FB,46)*100</f>
        <v>-28.24</v>
      </c>
      <c r="J157" s="51">
        <f>VLOOKUP($A157,'Data Vlaue (Cr)'!$C:$FB,59)</f>
        <v>87</v>
      </c>
      <c r="K157" s="51">
        <f>VLOOKUP($A157,'Data Vlaue (Cr)'!$C:$FB,60)</f>
        <v>135</v>
      </c>
      <c r="L157" s="51">
        <f>VLOOKUP($A157,'Data Vlaue (Cr)'!$C:$FB,62)*100</f>
        <v>-35.79</v>
      </c>
      <c r="M157" s="51">
        <f>VLOOKUP($A157,'Data Vlaue (Cr)'!$C:$FB,63)</f>
        <v>72</v>
      </c>
      <c r="N157" s="51">
        <f>VLOOKUP($A157,'Data Vlaue (Cr)'!$C:$FB,64)</f>
        <v>111</v>
      </c>
      <c r="O157" s="51">
        <f>VLOOKUP($A157,'Data Vlaue (Cr)'!$C:$FB,66)*100</f>
        <v>-35.49</v>
      </c>
    </row>
    <row r="158" spans="1:15" x14ac:dyDescent="0.25">
      <c r="A158" s="101" t="str">
        <f>'Data Vlaue (Cr)'!C153</f>
        <v>OFSS</v>
      </c>
      <c r="B158" s="50">
        <f>VLOOKUP($A158,'Data Vlaue (Cr)'!$C:$FB,8)</f>
        <v>7992.5</v>
      </c>
      <c r="C158" s="50">
        <f>VLOOKUP($A158,'Data Vlaue (Cr)'!$C:$FB,11)*100</f>
        <v>2.78</v>
      </c>
      <c r="D158" s="50">
        <f>VLOOKUP($A158,'Data Vlaue (Cr)'!$C:$FB,143)</f>
        <v>2335.7800000000002</v>
      </c>
      <c r="E158" s="50">
        <f>VLOOKUP($A158,'Data Vlaue (Cr)'!$C:$FB,144)</f>
        <v>2337.54</v>
      </c>
      <c r="F158" s="50">
        <f>VLOOKUP($A158,'Data Vlaue (Cr)'!$C:$FB,146)*100</f>
        <v>-0.08</v>
      </c>
      <c r="G158" s="49">
        <f>VLOOKUP($A158,'Data Vlaue (Cr)'!$C:$FB,43)</f>
        <v>209</v>
      </c>
      <c r="H158" s="49">
        <f>VLOOKUP($A158,'Data Vlaue (Cr)'!$C:$FB,44)</f>
        <v>215</v>
      </c>
      <c r="I158" s="49">
        <f>VLOOKUP($A158,'Data Vlaue (Cr)'!$C:$FB,46)*100</f>
        <v>-2.71</v>
      </c>
      <c r="J158" s="51">
        <f>VLOOKUP($A158,'Data Vlaue (Cr)'!$C:$FB,59)</f>
        <v>1187</v>
      </c>
      <c r="K158" s="51">
        <f>VLOOKUP($A158,'Data Vlaue (Cr)'!$C:$FB,60)</f>
        <v>1345</v>
      </c>
      <c r="L158" s="51">
        <f>VLOOKUP($A158,'Data Vlaue (Cr)'!$C:$FB,62)*100</f>
        <v>-11.75</v>
      </c>
      <c r="M158" s="51">
        <f>VLOOKUP($A158,'Data Vlaue (Cr)'!$C:$FB,63)</f>
        <v>997</v>
      </c>
      <c r="N158" s="51">
        <f>VLOOKUP($A158,'Data Vlaue (Cr)'!$C:$FB,64)</f>
        <v>963</v>
      </c>
      <c r="O158" s="51">
        <f>VLOOKUP($A158,'Data Vlaue (Cr)'!$C:$FB,66)*100</f>
        <v>3.52</v>
      </c>
    </row>
    <row r="159" spans="1:15" x14ac:dyDescent="0.25">
      <c r="A159" s="101" t="str">
        <f>'Data Vlaue (Cr)'!C154</f>
        <v>OIL</v>
      </c>
      <c r="B159" s="50">
        <f>VLOOKUP($A159,'Data Vlaue (Cr)'!$C:$FB,8)</f>
        <v>470.1</v>
      </c>
      <c r="C159" s="50">
        <f>VLOOKUP($A159,'Data Vlaue (Cr)'!$C:$FB,11)*100</f>
        <v>1.67</v>
      </c>
      <c r="D159" s="50">
        <f>VLOOKUP($A159,'Data Vlaue (Cr)'!$C:$FB,143)</f>
        <v>747.84</v>
      </c>
      <c r="E159" s="50">
        <f>VLOOKUP($A159,'Data Vlaue (Cr)'!$C:$FB,144)</f>
        <v>641.82000000000005</v>
      </c>
      <c r="F159" s="50">
        <f>VLOOKUP($A159,'Data Vlaue (Cr)'!$C:$FB,146)*100</f>
        <v>16.520000000000003</v>
      </c>
      <c r="G159" s="49">
        <f>VLOOKUP($A159,'Data Vlaue (Cr)'!$C:$FB,43)</f>
        <v>133</v>
      </c>
      <c r="H159" s="49">
        <f>VLOOKUP($A159,'Data Vlaue (Cr)'!$C:$FB,44)</f>
        <v>103</v>
      </c>
      <c r="I159" s="49">
        <f>VLOOKUP($A159,'Data Vlaue (Cr)'!$C:$FB,46)*100</f>
        <v>29.7</v>
      </c>
      <c r="J159" s="51">
        <f>VLOOKUP($A159,'Data Vlaue (Cr)'!$C:$FB,59)</f>
        <v>453</v>
      </c>
      <c r="K159" s="51">
        <f>VLOOKUP($A159,'Data Vlaue (Cr)'!$C:$FB,60)</f>
        <v>365</v>
      </c>
      <c r="L159" s="51">
        <f>VLOOKUP($A159,'Data Vlaue (Cr)'!$C:$FB,62)*100</f>
        <v>23.95</v>
      </c>
      <c r="M159" s="51">
        <f>VLOOKUP($A159,'Data Vlaue (Cr)'!$C:$FB,63)</f>
        <v>147</v>
      </c>
      <c r="N159" s="51">
        <f>VLOOKUP($A159,'Data Vlaue (Cr)'!$C:$FB,64)</f>
        <v>163</v>
      </c>
      <c r="O159" s="51">
        <f>VLOOKUP($A159,'Data Vlaue (Cr)'!$C:$FB,66)*100</f>
        <v>-9.83</v>
      </c>
    </row>
    <row r="160" spans="1:15" x14ac:dyDescent="0.25">
      <c r="A160" s="101" t="str">
        <f>'Data Vlaue (Cr)'!C155</f>
        <v>ONGC</v>
      </c>
      <c r="B160" s="50">
        <f>VLOOKUP($A160,'Data Vlaue (Cr)'!$C:$FB,8)</f>
        <v>284.05</v>
      </c>
      <c r="C160" s="50">
        <f>VLOOKUP($A160,'Data Vlaue (Cr)'!$C:$FB,11)*100</f>
        <v>0.45999999999999996</v>
      </c>
      <c r="D160" s="50">
        <f>VLOOKUP($A160,'Data Vlaue (Cr)'!$C:$FB,143)</f>
        <v>2745.7</v>
      </c>
      <c r="E160" s="50">
        <f>VLOOKUP($A160,'Data Vlaue (Cr)'!$C:$FB,144)</f>
        <v>3248.43</v>
      </c>
      <c r="F160" s="50">
        <f>VLOOKUP($A160,'Data Vlaue (Cr)'!$C:$FB,146)*100</f>
        <v>-15.479999999999999</v>
      </c>
      <c r="G160" s="49">
        <f>VLOOKUP($A160,'Data Vlaue (Cr)'!$C:$FB,43)</f>
        <v>384</v>
      </c>
      <c r="H160" s="49">
        <f>VLOOKUP($A160,'Data Vlaue (Cr)'!$C:$FB,44)</f>
        <v>389</v>
      </c>
      <c r="I160" s="49">
        <f>VLOOKUP($A160,'Data Vlaue (Cr)'!$C:$FB,46)*100</f>
        <v>-1.3299999999999998</v>
      </c>
      <c r="J160" s="51">
        <f>VLOOKUP($A160,'Data Vlaue (Cr)'!$C:$FB,59)</f>
        <v>1600</v>
      </c>
      <c r="K160" s="51">
        <f>VLOOKUP($A160,'Data Vlaue (Cr)'!$C:$FB,60)</f>
        <v>1896</v>
      </c>
      <c r="L160" s="51">
        <f>VLOOKUP($A160,'Data Vlaue (Cr)'!$C:$FB,62)*100</f>
        <v>-15.6</v>
      </c>
      <c r="M160" s="51">
        <f>VLOOKUP($A160,'Data Vlaue (Cr)'!$C:$FB,63)</f>
        <v>711</v>
      </c>
      <c r="N160" s="51">
        <f>VLOOKUP($A160,'Data Vlaue (Cr)'!$C:$FB,64)</f>
        <v>892</v>
      </c>
      <c r="O160" s="51">
        <f>VLOOKUP($A160,'Data Vlaue (Cr)'!$C:$FB,66)*100</f>
        <v>-20.3</v>
      </c>
    </row>
    <row r="161" spans="1:15" x14ac:dyDescent="0.25">
      <c r="A161" s="101" t="str">
        <f>'Data Vlaue (Cr)'!C156</f>
        <v>PAGEIND</v>
      </c>
      <c r="B161" s="50">
        <f>VLOOKUP($A161,'Data Vlaue (Cr)'!$C:$FB,8)</f>
        <v>37975</v>
      </c>
      <c r="C161" s="50">
        <f>VLOOKUP($A161,'Data Vlaue (Cr)'!$C:$FB,11)*100</f>
        <v>2.69</v>
      </c>
      <c r="D161" s="50">
        <f>VLOOKUP($A161,'Data Vlaue (Cr)'!$C:$FB,143)</f>
        <v>1342.02</v>
      </c>
      <c r="E161" s="50">
        <f>VLOOKUP($A161,'Data Vlaue (Cr)'!$C:$FB,144)</f>
        <v>438.95</v>
      </c>
      <c r="F161" s="50">
        <f>VLOOKUP($A161,'Data Vlaue (Cr)'!$C:$FB,146)*100</f>
        <v>205.73000000000002</v>
      </c>
      <c r="G161" s="49">
        <f>VLOOKUP($A161,'Data Vlaue (Cr)'!$C:$FB,43)</f>
        <v>311</v>
      </c>
      <c r="H161" s="49">
        <f>VLOOKUP($A161,'Data Vlaue (Cr)'!$C:$FB,44)</f>
        <v>154</v>
      </c>
      <c r="I161" s="49">
        <f>VLOOKUP($A161,'Data Vlaue (Cr)'!$C:$FB,46)*100</f>
        <v>101.22</v>
      </c>
      <c r="J161" s="51">
        <f>VLOOKUP($A161,'Data Vlaue (Cr)'!$C:$FB,59)</f>
        <v>640</v>
      </c>
      <c r="K161" s="51">
        <f>VLOOKUP($A161,'Data Vlaue (Cr)'!$C:$FB,60)</f>
        <v>129</v>
      </c>
      <c r="L161" s="51">
        <f>VLOOKUP($A161,'Data Vlaue (Cr)'!$C:$FB,62)*100</f>
        <v>396.34000000000003</v>
      </c>
      <c r="M161" s="51">
        <f>VLOOKUP($A161,'Data Vlaue (Cr)'!$C:$FB,63)</f>
        <v>390</v>
      </c>
      <c r="N161" s="51">
        <f>VLOOKUP($A161,'Data Vlaue (Cr)'!$C:$FB,64)</f>
        <v>173</v>
      </c>
      <c r="O161" s="51">
        <f>VLOOKUP($A161,'Data Vlaue (Cr)'!$C:$FB,66)*100</f>
        <v>125.07999999999998</v>
      </c>
    </row>
    <row r="162" spans="1:15" x14ac:dyDescent="0.25">
      <c r="A162" s="101" t="str">
        <f>'Data Vlaue (Cr)'!C157</f>
        <v>PATANJALI</v>
      </c>
      <c r="B162" s="50">
        <f>VLOOKUP($A162,'Data Vlaue (Cr)'!$C:$FB,8)</f>
        <v>468.3</v>
      </c>
      <c r="C162" s="50">
        <f>VLOOKUP($A162,'Data Vlaue (Cr)'!$C:$FB,11)*100</f>
        <v>0.72</v>
      </c>
      <c r="D162" s="50">
        <f>VLOOKUP($A162,'Data Vlaue (Cr)'!$C:$FB,143)</f>
        <v>997.32</v>
      </c>
      <c r="E162" s="50">
        <f>VLOOKUP($A162,'Data Vlaue (Cr)'!$C:$FB,144)</f>
        <v>316.7</v>
      </c>
      <c r="F162" s="50">
        <f>VLOOKUP($A162,'Data Vlaue (Cr)'!$C:$FB,146)*100</f>
        <v>214.90999999999997</v>
      </c>
      <c r="G162" s="49">
        <f>VLOOKUP($A162,'Data Vlaue (Cr)'!$C:$FB,43)</f>
        <v>257</v>
      </c>
      <c r="H162" s="49">
        <f>VLOOKUP($A162,'Data Vlaue (Cr)'!$C:$FB,44)</f>
        <v>121</v>
      </c>
      <c r="I162" s="49">
        <f>VLOOKUP($A162,'Data Vlaue (Cr)'!$C:$FB,46)*100</f>
        <v>112.78999999999999</v>
      </c>
      <c r="J162" s="51">
        <f>VLOOKUP($A162,'Data Vlaue (Cr)'!$C:$FB,59)</f>
        <v>585</v>
      </c>
      <c r="K162" s="51">
        <f>VLOOKUP($A162,'Data Vlaue (Cr)'!$C:$FB,60)</f>
        <v>144</v>
      </c>
      <c r="L162" s="51">
        <f>VLOOKUP($A162,'Data Vlaue (Cr)'!$C:$FB,62)*100</f>
        <v>307.49</v>
      </c>
      <c r="M162" s="51">
        <f>VLOOKUP($A162,'Data Vlaue (Cr)'!$C:$FB,63)</f>
        <v>125</v>
      </c>
      <c r="N162" s="51">
        <f>VLOOKUP($A162,'Data Vlaue (Cr)'!$C:$FB,64)</f>
        <v>47</v>
      </c>
      <c r="O162" s="51">
        <f>VLOOKUP($A162,'Data Vlaue (Cr)'!$C:$FB,66)*100</f>
        <v>167.9</v>
      </c>
    </row>
    <row r="163" spans="1:15" x14ac:dyDescent="0.25">
      <c r="A163" s="101" t="str">
        <f>'Data Vlaue (Cr)'!C158</f>
        <v>PAYTM</v>
      </c>
      <c r="B163" s="50">
        <f>VLOOKUP($A163,'Data Vlaue (Cr)'!$C:$FB,8)</f>
        <v>1161.6500000000001</v>
      </c>
      <c r="C163" s="50">
        <f>VLOOKUP($A163,'Data Vlaue (Cr)'!$C:$FB,11)*100</f>
        <v>1.1100000000000001</v>
      </c>
      <c r="D163" s="50">
        <f>VLOOKUP($A163,'Data Vlaue (Cr)'!$C:$FB,143)</f>
        <v>1555.21</v>
      </c>
      <c r="E163" s="50">
        <f>VLOOKUP($A163,'Data Vlaue (Cr)'!$C:$FB,144)</f>
        <v>1664.01</v>
      </c>
      <c r="F163" s="50">
        <f>VLOOKUP($A163,'Data Vlaue (Cr)'!$C:$FB,146)*100</f>
        <v>-6.54</v>
      </c>
      <c r="G163" s="49">
        <f>VLOOKUP($A163,'Data Vlaue (Cr)'!$C:$FB,43)</f>
        <v>251</v>
      </c>
      <c r="H163" s="49">
        <f>VLOOKUP($A163,'Data Vlaue (Cr)'!$C:$FB,44)</f>
        <v>298</v>
      </c>
      <c r="I163" s="49">
        <f>VLOOKUP($A163,'Data Vlaue (Cr)'!$C:$FB,46)*100</f>
        <v>-15.89</v>
      </c>
      <c r="J163" s="51">
        <f>VLOOKUP($A163,'Data Vlaue (Cr)'!$C:$FB,59)</f>
        <v>757</v>
      </c>
      <c r="K163" s="51">
        <f>VLOOKUP($A163,'Data Vlaue (Cr)'!$C:$FB,60)</f>
        <v>882</v>
      </c>
      <c r="L163" s="51">
        <f>VLOOKUP($A163,'Data Vlaue (Cr)'!$C:$FB,62)*100</f>
        <v>-14.12</v>
      </c>
      <c r="M163" s="51">
        <f>VLOOKUP($A163,'Data Vlaue (Cr)'!$C:$FB,63)</f>
        <v>546</v>
      </c>
      <c r="N163" s="51">
        <f>VLOOKUP($A163,'Data Vlaue (Cr)'!$C:$FB,64)</f>
        <v>481</v>
      </c>
      <c r="O163" s="51">
        <f>VLOOKUP($A163,'Data Vlaue (Cr)'!$C:$FB,66)*100</f>
        <v>13.65</v>
      </c>
    </row>
    <row r="164" spans="1:15" x14ac:dyDescent="0.25">
      <c r="A164" s="101" t="str">
        <f>'Data Vlaue (Cr)'!C159</f>
        <v>PERSISTENT</v>
      </c>
      <c r="B164" s="50">
        <f>VLOOKUP($A164,'Data Vlaue (Cr)'!$C:$FB,8)</f>
        <v>5446.5</v>
      </c>
      <c r="C164" s="50">
        <f>VLOOKUP($A164,'Data Vlaue (Cr)'!$C:$FB,11)*100</f>
        <v>-0.98</v>
      </c>
      <c r="D164" s="50">
        <f>VLOOKUP($A164,'Data Vlaue (Cr)'!$C:$FB,143)</f>
        <v>3041.72</v>
      </c>
      <c r="E164" s="50">
        <f>VLOOKUP($A164,'Data Vlaue (Cr)'!$C:$FB,144)</f>
        <v>2574.2399999999998</v>
      </c>
      <c r="F164" s="50">
        <f>VLOOKUP($A164,'Data Vlaue (Cr)'!$C:$FB,146)*100</f>
        <v>18.16</v>
      </c>
      <c r="G164" s="49">
        <f>VLOOKUP($A164,'Data Vlaue (Cr)'!$C:$FB,43)</f>
        <v>844</v>
      </c>
      <c r="H164" s="49">
        <f>VLOOKUP($A164,'Data Vlaue (Cr)'!$C:$FB,44)</f>
        <v>740</v>
      </c>
      <c r="I164" s="49">
        <f>VLOOKUP($A164,'Data Vlaue (Cr)'!$C:$FB,46)*100</f>
        <v>14.149999999999999</v>
      </c>
      <c r="J164" s="51">
        <f>VLOOKUP($A164,'Data Vlaue (Cr)'!$C:$FB,59)</f>
        <v>1195</v>
      </c>
      <c r="K164" s="51">
        <f>VLOOKUP($A164,'Data Vlaue (Cr)'!$C:$FB,60)</f>
        <v>1029</v>
      </c>
      <c r="L164" s="51">
        <f>VLOOKUP($A164,'Data Vlaue (Cr)'!$C:$FB,62)*100</f>
        <v>16.07</v>
      </c>
      <c r="M164" s="51">
        <f>VLOOKUP($A164,'Data Vlaue (Cr)'!$C:$FB,63)</f>
        <v>963</v>
      </c>
      <c r="N164" s="51">
        <f>VLOOKUP($A164,'Data Vlaue (Cr)'!$C:$FB,64)</f>
        <v>744</v>
      </c>
      <c r="O164" s="51">
        <f>VLOOKUP($A164,'Data Vlaue (Cr)'!$C:$FB,66)*100</f>
        <v>29.409999999999997</v>
      </c>
    </row>
    <row r="165" spans="1:15" x14ac:dyDescent="0.25">
      <c r="A165" s="101" t="str">
        <f>'Data Vlaue (Cr)'!C160</f>
        <v>PETRONET</v>
      </c>
      <c r="B165" s="50">
        <f>VLOOKUP($A165,'Data Vlaue (Cr)'!$C:$FB,8)</f>
        <v>273.22000000000003</v>
      </c>
      <c r="C165" s="50">
        <f>VLOOKUP($A165,'Data Vlaue (Cr)'!$C:$FB,11)*100</f>
        <v>0.64</v>
      </c>
      <c r="D165" s="50">
        <f>VLOOKUP($A165,'Data Vlaue (Cr)'!$C:$FB,143)</f>
        <v>344.21</v>
      </c>
      <c r="E165" s="50">
        <f>VLOOKUP($A165,'Data Vlaue (Cr)'!$C:$FB,144)</f>
        <v>479.3</v>
      </c>
      <c r="F165" s="50">
        <f>VLOOKUP($A165,'Data Vlaue (Cr)'!$C:$FB,146)*100</f>
        <v>-28.18</v>
      </c>
      <c r="G165" s="49">
        <f>VLOOKUP($A165,'Data Vlaue (Cr)'!$C:$FB,43)</f>
        <v>76</v>
      </c>
      <c r="H165" s="49">
        <f>VLOOKUP($A165,'Data Vlaue (Cr)'!$C:$FB,44)</f>
        <v>98</v>
      </c>
      <c r="I165" s="49">
        <f>VLOOKUP($A165,'Data Vlaue (Cr)'!$C:$FB,46)*100</f>
        <v>-22.09</v>
      </c>
      <c r="J165" s="51">
        <f>VLOOKUP($A165,'Data Vlaue (Cr)'!$C:$FB,59)</f>
        <v>182</v>
      </c>
      <c r="K165" s="51">
        <f>VLOOKUP($A165,'Data Vlaue (Cr)'!$C:$FB,60)</f>
        <v>247</v>
      </c>
      <c r="L165" s="51">
        <f>VLOOKUP($A165,'Data Vlaue (Cr)'!$C:$FB,62)*100</f>
        <v>-26.43</v>
      </c>
      <c r="M165" s="51">
        <f>VLOOKUP($A165,'Data Vlaue (Cr)'!$C:$FB,63)</f>
        <v>79</v>
      </c>
      <c r="N165" s="51">
        <f>VLOOKUP($A165,'Data Vlaue (Cr)'!$C:$FB,64)</f>
        <v>129</v>
      </c>
      <c r="O165" s="51">
        <f>VLOOKUP($A165,'Data Vlaue (Cr)'!$C:$FB,66)*100</f>
        <v>-38.479999999999997</v>
      </c>
    </row>
    <row r="166" spans="1:15" x14ac:dyDescent="0.25">
      <c r="A166" s="101" t="str">
        <f>'Data Vlaue (Cr)'!C161</f>
        <v>PFC</v>
      </c>
      <c r="B166" s="50">
        <f>VLOOKUP($A166,'Data Vlaue (Cr)'!$C:$FB,8)</f>
        <v>464.85</v>
      </c>
      <c r="C166" s="50">
        <f>VLOOKUP($A166,'Data Vlaue (Cr)'!$C:$FB,11)*100</f>
        <v>1.3</v>
      </c>
      <c r="D166" s="50">
        <f>VLOOKUP($A166,'Data Vlaue (Cr)'!$C:$FB,143)</f>
        <v>4141.09</v>
      </c>
      <c r="E166" s="50">
        <f>VLOOKUP($A166,'Data Vlaue (Cr)'!$C:$FB,144)</f>
        <v>7910.74</v>
      </c>
      <c r="F166" s="50">
        <f>VLOOKUP($A166,'Data Vlaue (Cr)'!$C:$FB,146)*100</f>
        <v>-47.65</v>
      </c>
      <c r="G166" s="49">
        <f>VLOOKUP($A166,'Data Vlaue (Cr)'!$C:$FB,43)</f>
        <v>557</v>
      </c>
      <c r="H166" s="49">
        <f>VLOOKUP($A166,'Data Vlaue (Cr)'!$C:$FB,44)</f>
        <v>919</v>
      </c>
      <c r="I166" s="49">
        <f>VLOOKUP($A166,'Data Vlaue (Cr)'!$C:$FB,46)*100</f>
        <v>-39.36</v>
      </c>
      <c r="J166" s="51">
        <f>VLOOKUP($A166,'Data Vlaue (Cr)'!$C:$FB,59)</f>
        <v>2325</v>
      </c>
      <c r="K166" s="51">
        <f>VLOOKUP($A166,'Data Vlaue (Cr)'!$C:$FB,60)</f>
        <v>4613</v>
      </c>
      <c r="L166" s="51">
        <f>VLOOKUP($A166,'Data Vlaue (Cr)'!$C:$FB,62)*100</f>
        <v>-49.6</v>
      </c>
      <c r="M166" s="51">
        <f>VLOOKUP($A166,'Data Vlaue (Cr)'!$C:$FB,63)</f>
        <v>1219</v>
      </c>
      <c r="N166" s="51">
        <f>VLOOKUP($A166,'Data Vlaue (Cr)'!$C:$FB,64)</f>
        <v>2393</v>
      </c>
      <c r="O166" s="51">
        <f>VLOOKUP($A166,'Data Vlaue (Cr)'!$C:$FB,66)*100</f>
        <v>-49.08</v>
      </c>
    </row>
    <row r="167" spans="1:15" x14ac:dyDescent="0.25">
      <c r="A167" s="101" t="str">
        <f>'Data Vlaue (Cr)'!C162</f>
        <v>PGEL</v>
      </c>
      <c r="B167" s="50">
        <f>VLOOKUP($A167,'Data Vlaue (Cr)'!$C:$FB,8)</f>
        <v>561.4</v>
      </c>
      <c r="C167" s="50">
        <f>VLOOKUP($A167,'Data Vlaue (Cr)'!$C:$FB,11)*100</f>
        <v>0.67</v>
      </c>
      <c r="D167" s="50">
        <f>VLOOKUP($A167,'Data Vlaue (Cr)'!$C:$FB,143)</f>
        <v>1362.33</v>
      </c>
      <c r="E167" s="50">
        <f>VLOOKUP($A167,'Data Vlaue (Cr)'!$C:$FB,144)</f>
        <v>2697.26</v>
      </c>
      <c r="F167" s="50">
        <f>VLOOKUP($A167,'Data Vlaue (Cr)'!$C:$FB,146)*100</f>
        <v>-49.49</v>
      </c>
      <c r="G167" s="49">
        <f>VLOOKUP($A167,'Data Vlaue (Cr)'!$C:$FB,43)</f>
        <v>231</v>
      </c>
      <c r="H167" s="49">
        <f>VLOOKUP($A167,'Data Vlaue (Cr)'!$C:$FB,44)</f>
        <v>426</v>
      </c>
      <c r="I167" s="49">
        <f>VLOOKUP($A167,'Data Vlaue (Cr)'!$C:$FB,46)*100</f>
        <v>-45.69</v>
      </c>
      <c r="J167" s="51">
        <f>VLOOKUP($A167,'Data Vlaue (Cr)'!$C:$FB,59)</f>
        <v>569</v>
      </c>
      <c r="K167" s="51">
        <f>VLOOKUP($A167,'Data Vlaue (Cr)'!$C:$FB,60)</f>
        <v>1420</v>
      </c>
      <c r="L167" s="51">
        <f>VLOOKUP($A167,'Data Vlaue (Cr)'!$C:$FB,62)*100</f>
        <v>-59.930000000000007</v>
      </c>
      <c r="M167" s="51">
        <f>VLOOKUP($A167,'Data Vlaue (Cr)'!$C:$FB,63)</f>
        <v>575</v>
      </c>
      <c r="N167" s="51">
        <f>VLOOKUP($A167,'Data Vlaue (Cr)'!$C:$FB,64)</f>
        <v>864</v>
      </c>
      <c r="O167" s="51">
        <f>VLOOKUP($A167,'Data Vlaue (Cr)'!$C:$FB,66)*100</f>
        <v>-33.42</v>
      </c>
    </row>
    <row r="168" spans="1:15" x14ac:dyDescent="0.25">
      <c r="A168" s="101" t="str">
        <f>'Data Vlaue (Cr)'!C163</f>
        <v>PHOENIXLTD</v>
      </c>
      <c r="B168" s="50">
        <f>VLOOKUP($A168,'Data Vlaue (Cr)'!$C:$FB,8)</f>
        <v>1792.2</v>
      </c>
      <c r="C168" s="50">
        <f>VLOOKUP($A168,'Data Vlaue (Cr)'!$C:$FB,11)*100</f>
        <v>0.55999999999999994</v>
      </c>
      <c r="D168" s="50">
        <f>VLOOKUP($A168,'Data Vlaue (Cr)'!$C:$FB,143)</f>
        <v>171.34</v>
      </c>
      <c r="E168" s="50">
        <f>VLOOKUP($A168,'Data Vlaue (Cr)'!$C:$FB,144)</f>
        <v>276.07</v>
      </c>
      <c r="F168" s="50">
        <f>VLOOKUP($A168,'Data Vlaue (Cr)'!$C:$FB,146)*100</f>
        <v>-37.940000000000005</v>
      </c>
      <c r="G168" s="49">
        <f>VLOOKUP($A168,'Data Vlaue (Cr)'!$C:$FB,43)</f>
        <v>41</v>
      </c>
      <c r="H168" s="49">
        <f>VLOOKUP($A168,'Data Vlaue (Cr)'!$C:$FB,44)</f>
        <v>166</v>
      </c>
      <c r="I168" s="49">
        <f>VLOOKUP($A168,'Data Vlaue (Cr)'!$C:$FB,46)*100</f>
        <v>-75.48</v>
      </c>
      <c r="J168" s="51">
        <f>VLOOKUP($A168,'Data Vlaue (Cr)'!$C:$FB,59)</f>
        <v>78</v>
      </c>
      <c r="K168" s="51">
        <f>VLOOKUP($A168,'Data Vlaue (Cr)'!$C:$FB,60)</f>
        <v>50</v>
      </c>
      <c r="L168" s="51">
        <f>VLOOKUP($A168,'Data Vlaue (Cr)'!$C:$FB,62)*100</f>
        <v>53.81</v>
      </c>
      <c r="M168" s="51">
        <f>VLOOKUP($A168,'Data Vlaue (Cr)'!$C:$FB,63)</f>
        <v>56</v>
      </c>
      <c r="N168" s="51">
        <f>VLOOKUP($A168,'Data Vlaue (Cr)'!$C:$FB,64)</f>
        <v>66</v>
      </c>
      <c r="O168" s="51">
        <f>VLOOKUP($A168,'Data Vlaue (Cr)'!$C:$FB,66)*100</f>
        <v>-15.72</v>
      </c>
    </row>
    <row r="169" spans="1:15" x14ac:dyDescent="0.25">
      <c r="A169" s="101" t="str">
        <f>'Data Vlaue (Cr)'!C164</f>
        <v>PIDILITIND</v>
      </c>
      <c r="B169" s="50">
        <f>VLOOKUP($A169,'Data Vlaue (Cr)'!$C:$FB,8)</f>
        <v>1393.4</v>
      </c>
      <c r="C169" s="50">
        <f>VLOOKUP($A169,'Data Vlaue (Cr)'!$C:$FB,11)*100</f>
        <v>4.6899999999999995</v>
      </c>
      <c r="D169" s="50">
        <f>VLOOKUP($A169,'Data Vlaue (Cr)'!$C:$FB,143)</f>
        <v>1956.51</v>
      </c>
      <c r="E169" s="50">
        <f>VLOOKUP($A169,'Data Vlaue (Cr)'!$C:$FB,144)</f>
        <v>683.36</v>
      </c>
      <c r="F169" s="50">
        <f>VLOOKUP($A169,'Data Vlaue (Cr)'!$C:$FB,146)*100</f>
        <v>186.31</v>
      </c>
      <c r="G169" s="49">
        <f>VLOOKUP($A169,'Data Vlaue (Cr)'!$C:$FB,43)</f>
        <v>377</v>
      </c>
      <c r="H169" s="49">
        <f>VLOOKUP($A169,'Data Vlaue (Cr)'!$C:$FB,44)</f>
        <v>346</v>
      </c>
      <c r="I169" s="49">
        <f>VLOOKUP($A169,'Data Vlaue (Cr)'!$C:$FB,46)*100</f>
        <v>8.92</v>
      </c>
      <c r="J169" s="51">
        <f>VLOOKUP($A169,'Data Vlaue (Cr)'!$C:$FB,59)</f>
        <v>1183</v>
      </c>
      <c r="K169" s="51">
        <f>VLOOKUP($A169,'Data Vlaue (Cr)'!$C:$FB,60)</f>
        <v>230</v>
      </c>
      <c r="L169" s="51">
        <f>VLOOKUP($A169,'Data Vlaue (Cr)'!$C:$FB,62)*100</f>
        <v>414.86</v>
      </c>
      <c r="M169" s="51">
        <f>VLOOKUP($A169,'Data Vlaue (Cr)'!$C:$FB,63)</f>
        <v>390</v>
      </c>
      <c r="N169" s="51">
        <f>VLOOKUP($A169,'Data Vlaue (Cr)'!$C:$FB,64)</f>
        <v>135</v>
      </c>
      <c r="O169" s="51">
        <f>VLOOKUP($A169,'Data Vlaue (Cr)'!$C:$FB,66)*100</f>
        <v>189.98</v>
      </c>
    </row>
    <row r="170" spans="1:15" x14ac:dyDescent="0.25">
      <c r="A170" s="101" t="str">
        <f>'Data Vlaue (Cr)'!C165</f>
        <v>PIIND</v>
      </c>
      <c r="B170" s="50">
        <f>VLOOKUP($A170,'Data Vlaue (Cr)'!$C:$FB,8)</f>
        <v>3139.7</v>
      </c>
      <c r="C170" s="50">
        <f>VLOOKUP($A170,'Data Vlaue (Cr)'!$C:$FB,11)*100</f>
        <v>0.88</v>
      </c>
      <c r="D170" s="50">
        <f>VLOOKUP($A170,'Data Vlaue (Cr)'!$C:$FB,143)</f>
        <v>668.61</v>
      </c>
      <c r="E170" s="50">
        <f>VLOOKUP($A170,'Data Vlaue (Cr)'!$C:$FB,144)</f>
        <v>988.4</v>
      </c>
      <c r="F170" s="50">
        <f>VLOOKUP($A170,'Data Vlaue (Cr)'!$C:$FB,146)*100</f>
        <v>-32.35</v>
      </c>
      <c r="G170" s="49">
        <f>VLOOKUP($A170,'Data Vlaue (Cr)'!$C:$FB,43)</f>
        <v>209</v>
      </c>
      <c r="H170" s="49">
        <f>VLOOKUP($A170,'Data Vlaue (Cr)'!$C:$FB,44)</f>
        <v>173</v>
      </c>
      <c r="I170" s="49">
        <f>VLOOKUP($A170,'Data Vlaue (Cr)'!$C:$FB,46)*100</f>
        <v>20.77</v>
      </c>
      <c r="J170" s="51">
        <f>VLOOKUP($A170,'Data Vlaue (Cr)'!$C:$FB,59)</f>
        <v>289</v>
      </c>
      <c r="K170" s="51">
        <f>VLOOKUP($A170,'Data Vlaue (Cr)'!$C:$FB,60)</f>
        <v>563</v>
      </c>
      <c r="L170" s="51">
        <f>VLOOKUP($A170,'Data Vlaue (Cr)'!$C:$FB,62)*100</f>
        <v>-48.620000000000005</v>
      </c>
      <c r="M170" s="51">
        <f>VLOOKUP($A170,'Data Vlaue (Cr)'!$C:$FB,63)</f>
        <v>166</v>
      </c>
      <c r="N170" s="51">
        <f>VLOOKUP($A170,'Data Vlaue (Cr)'!$C:$FB,64)</f>
        <v>251</v>
      </c>
      <c r="O170" s="51">
        <f>VLOOKUP($A170,'Data Vlaue (Cr)'!$C:$FB,66)*100</f>
        <v>-33.86</v>
      </c>
    </row>
    <row r="171" spans="1:15" x14ac:dyDescent="0.25">
      <c r="A171" s="101" t="str">
        <f>'Data Vlaue (Cr)'!C166</f>
        <v>PNB</v>
      </c>
      <c r="B171" s="50">
        <f>VLOOKUP($A171,'Data Vlaue (Cr)'!$C:$FB,8)</f>
        <v>114.48</v>
      </c>
      <c r="C171" s="50">
        <f>VLOOKUP($A171,'Data Vlaue (Cr)'!$C:$FB,11)*100</f>
        <v>0.80999999999999994</v>
      </c>
      <c r="D171" s="50">
        <f>VLOOKUP($A171,'Data Vlaue (Cr)'!$C:$FB,143)</f>
        <v>2017.13</v>
      </c>
      <c r="E171" s="50">
        <f>VLOOKUP($A171,'Data Vlaue (Cr)'!$C:$FB,144)</f>
        <v>2133.7600000000002</v>
      </c>
      <c r="F171" s="50">
        <f>VLOOKUP($A171,'Data Vlaue (Cr)'!$C:$FB,146)*100</f>
        <v>-5.47</v>
      </c>
      <c r="G171" s="49">
        <f>VLOOKUP($A171,'Data Vlaue (Cr)'!$C:$FB,43)</f>
        <v>484</v>
      </c>
      <c r="H171" s="49">
        <f>VLOOKUP($A171,'Data Vlaue (Cr)'!$C:$FB,44)</f>
        <v>539</v>
      </c>
      <c r="I171" s="49">
        <f>VLOOKUP($A171,'Data Vlaue (Cr)'!$C:$FB,46)*100</f>
        <v>-10.25</v>
      </c>
      <c r="J171" s="51">
        <f>VLOOKUP($A171,'Data Vlaue (Cr)'!$C:$FB,59)</f>
        <v>948</v>
      </c>
      <c r="K171" s="51">
        <f>VLOOKUP($A171,'Data Vlaue (Cr)'!$C:$FB,60)</f>
        <v>998</v>
      </c>
      <c r="L171" s="51">
        <f>VLOOKUP($A171,'Data Vlaue (Cr)'!$C:$FB,62)*100</f>
        <v>-5.0599999999999996</v>
      </c>
      <c r="M171" s="51">
        <f>VLOOKUP($A171,'Data Vlaue (Cr)'!$C:$FB,63)</f>
        <v>560</v>
      </c>
      <c r="N171" s="51">
        <f>VLOOKUP($A171,'Data Vlaue (Cr)'!$C:$FB,64)</f>
        <v>580</v>
      </c>
      <c r="O171" s="51">
        <f>VLOOKUP($A171,'Data Vlaue (Cr)'!$C:$FB,66)*100</f>
        <v>-3.4000000000000004</v>
      </c>
    </row>
    <row r="172" spans="1:15" x14ac:dyDescent="0.25">
      <c r="A172" s="101" t="str">
        <f>'Data Vlaue (Cr)'!C167</f>
        <v>PNBHOUSING</v>
      </c>
      <c r="B172" s="50">
        <f>VLOOKUP($A172,'Data Vlaue (Cr)'!$C:$FB,8)</f>
        <v>923.7</v>
      </c>
      <c r="C172" s="50">
        <f>VLOOKUP($A172,'Data Vlaue (Cr)'!$C:$FB,11)*100</f>
        <v>3.35</v>
      </c>
      <c r="D172" s="50">
        <f>VLOOKUP($A172,'Data Vlaue (Cr)'!$C:$FB,143)</f>
        <v>1520.97</v>
      </c>
      <c r="E172" s="50">
        <f>VLOOKUP($A172,'Data Vlaue (Cr)'!$C:$FB,144)</f>
        <v>1489.42</v>
      </c>
      <c r="F172" s="50">
        <f>VLOOKUP($A172,'Data Vlaue (Cr)'!$C:$FB,146)*100</f>
        <v>2.12</v>
      </c>
      <c r="G172" s="49">
        <f>VLOOKUP($A172,'Data Vlaue (Cr)'!$C:$FB,43)</f>
        <v>392</v>
      </c>
      <c r="H172" s="49">
        <f>VLOOKUP($A172,'Data Vlaue (Cr)'!$C:$FB,44)</f>
        <v>334</v>
      </c>
      <c r="I172" s="49">
        <f>VLOOKUP($A172,'Data Vlaue (Cr)'!$C:$FB,46)*100</f>
        <v>17.309999999999999</v>
      </c>
      <c r="J172" s="51">
        <f>VLOOKUP($A172,'Data Vlaue (Cr)'!$C:$FB,59)</f>
        <v>830</v>
      </c>
      <c r="K172" s="51">
        <f>VLOOKUP($A172,'Data Vlaue (Cr)'!$C:$FB,60)</f>
        <v>904</v>
      </c>
      <c r="L172" s="51">
        <f>VLOOKUP($A172,'Data Vlaue (Cr)'!$C:$FB,62)*100</f>
        <v>-8.1100000000000012</v>
      </c>
      <c r="M172" s="51">
        <f>VLOOKUP($A172,'Data Vlaue (Cr)'!$C:$FB,63)</f>
        <v>282</v>
      </c>
      <c r="N172" s="51">
        <f>VLOOKUP($A172,'Data Vlaue (Cr)'!$C:$FB,64)</f>
        <v>266</v>
      </c>
      <c r="O172" s="51">
        <f>VLOOKUP($A172,'Data Vlaue (Cr)'!$C:$FB,66)*100</f>
        <v>5.92</v>
      </c>
    </row>
    <row r="173" spans="1:15" x14ac:dyDescent="0.25">
      <c r="A173" s="101" t="str">
        <f>'Data Vlaue (Cr)'!C168</f>
        <v>POLICYBZR</v>
      </c>
      <c r="B173" s="50">
        <f>VLOOKUP($A173,'Data Vlaue (Cr)'!$C:$FB,8)</f>
        <v>1600.6</v>
      </c>
      <c r="C173" s="50">
        <f>VLOOKUP($A173,'Data Vlaue (Cr)'!$C:$FB,11)*100</f>
        <v>3.2300000000000004</v>
      </c>
      <c r="D173" s="50">
        <f>VLOOKUP($A173,'Data Vlaue (Cr)'!$C:$FB,143)</f>
        <v>4308.8599999999997</v>
      </c>
      <c r="E173" s="50">
        <f>VLOOKUP($A173,'Data Vlaue (Cr)'!$C:$FB,144)</f>
        <v>2649.29</v>
      </c>
      <c r="F173" s="50">
        <f>VLOOKUP($A173,'Data Vlaue (Cr)'!$C:$FB,146)*100</f>
        <v>62.639999999999993</v>
      </c>
      <c r="G173" s="49">
        <f>VLOOKUP($A173,'Data Vlaue (Cr)'!$C:$FB,43)</f>
        <v>565</v>
      </c>
      <c r="H173" s="49">
        <f>VLOOKUP($A173,'Data Vlaue (Cr)'!$C:$FB,44)</f>
        <v>437</v>
      </c>
      <c r="I173" s="49">
        <f>VLOOKUP($A173,'Data Vlaue (Cr)'!$C:$FB,46)*100</f>
        <v>29.18</v>
      </c>
      <c r="J173" s="51">
        <f>VLOOKUP($A173,'Data Vlaue (Cr)'!$C:$FB,59)</f>
        <v>2715</v>
      </c>
      <c r="K173" s="51">
        <f>VLOOKUP($A173,'Data Vlaue (Cr)'!$C:$FB,60)</f>
        <v>1753</v>
      </c>
      <c r="L173" s="51">
        <f>VLOOKUP($A173,'Data Vlaue (Cr)'!$C:$FB,62)*100</f>
        <v>54.890000000000008</v>
      </c>
      <c r="M173" s="51">
        <f>VLOOKUP($A173,'Data Vlaue (Cr)'!$C:$FB,63)</f>
        <v>944</v>
      </c>
      <c r="N173" s="51">
        <f>VLOOKUP($A173,'Data Vlaue (Cr)'!$C:$FB,64)</f>
        <v>522</v>
      </c>
      <c r="O173" s="51">
        <f>VLOOKUP($A173,'Data Vlaue (Cr)'!$C:$FB,66)*100</f>
        <v>80.86</v>
      </c>
    </row>
    <row r="174" spans="1:15" x14ac:dyDescent="0.25">
      <c r="A174" s="101" t="str">
        <f>'Data Vlaue (Cr)'!C169</f>
        <v>POLYCAB</v>
      </c>
      <c r="B174" s="50">
        <f>VLOOKUP($A174,'Data Vlaue (Cr)'!$C:$FB,8)</f>
        <v>8182.5</v>
      </c>
      <c r="C174" s="50">
        <f>VLOOKUP($A174,'Data Vlaue (Cr)'!$C:$FB,11)*100</f>
        <v>3.53</v>
      </c>
      <c r="D174" s="50">
        <f>VLOOKUP($A174,'Data Vlaue (Cr)'!$C:$FB,143)</f>
        <v>9479.34</v>
      </c>
      <c r="E174" s="50">
        <f>VLOOKUP($A174,'Data Vlaue (Cr)'!$C:$FB,144)</f>
        <v>2860.24</v>
      </c>
      <c r="F174" s="50">
        <f>VLOOKUP($A174,'Data Vlaue (Cr)'!$C:$FB,146)*100</f>
        <v>231.42000000000002</v>
      </c>
      <c r="G174" s="49">
        <f>VLOOKUP($A174,'Data Vlaue (Cr)'!$C:$FB,43)</f>
        <v>661</v>
      </c>
      <c r="H174" s="49">
        <f>VLOOKUP($A174,'Data Vlaue (Cr)'!$C:$FB,44)</f>
        <v>414</v>
      </c>
      <c r="I174" s="49">
        <f>VLOOKUP($A174,'Data Vlaue (Cr)'!$C:$FB,46)*100</f>
        <v>59.72</v>
      </c>
      <c r="J174" s="51">
        <f>VLOOKUP($A174,'Data Vlaue (Cr)'!$C:$FB,59)</f>
        <v>5277</v>
      </c>
      <c r="K174" s="51">
        <f>VLOOKUP($A174,'Data Vlaue (Cr)'!$C:$FB,60)</f>
        <v>1424</v>
      </c>
      <c r="L174" s="51">
        <f>VLOOKUP($A174,'Data Vlaue (Cr)'!$C:$FB,62)*100</f>
        <v>270.48</v>
      </c>
      <c r="M174" s="51">
        <f>VLOOKUP($A174,'Data Vlaue (Cr)'!$C:$FB,63)</f>
        <v>3589</v>
      </c>
      <c r="N174" s="51">
        <f>VLOOKUP($A174,'Data Vlaue (Cr)'!$C:$FB,64)</f>
        <v>1144</v>
      </c>
      <c r="O174" s="51">
        <f>VLOOKUP($A174,'Data Vlaue (Cr)'!$C:$FB,66)*100</f>
        <v>213.68999999999997</v>
      </c>
    </row>
    <row r="175" spans="1:15" x14ac:dyDescent="0.25">
      <c r="A175" s="101" t="str">
        <f>'Data Vlaue (Cr)'!C170</f>
        <v>POWERGRID</v>
      </c>
      <c r="B175" s="50">
        <f>VLOOKUP($A175,'Data Vlaue (Cr)'!$C:$FB,8)</f>
        <v>318.10000000000002</v>
      </c>
      <c r="C175" s="50">
        <f>VLOOKUP($A175,'Data Vlaue (Cr)'!$C:$FB,11)*100</f>
        <v>1.87</v>
      </c>
      <c r="D175" s="50">
        <f>VLOOKUP($A175,'Data Vlaue (Cr)'!$C:$FB,143)</f>
        <v>4162.95</v>
      </c>
      <c r="E175" s="50">
        <f>VLOOKUP($A175,'Data Vlaue (Cr)'!$C:$FB,144)</f>
        <v>4029.94</v>
      </c>
      <c r="F175" s="50">
        <f>VLOOKUP($A175,'Data Vlaue (Cr)'!$C:$FB,146)*100</f>
        <v>3.3000000000000003</v>
      </c>
      <c r="G175" s="49">
        <f>VLOOKUP($A175,'Data Vlaue (Cr)'!$C:$FB,43)</f>
        <v>515</v>
      </c>
      <c r="H175" s="49">
        <f>VLOOKUP($A175,'Data Vlaue (Cr)'!$C:$FB,44)</f>
        <v>704</v>
      </c>
      <c r="I175" s="49">
        <f>VLOOKUP($A175,'Data Vlaue (Cr)'!$C:$FB,46)*100</f>
        <v>-26.91</v>
      </c>
      <c r="J175" s="51">
        <f>VLOOKUP($A175,'Data Vlaue (Cr)'!$C:$FB,59)</f>
        <v>2630</v>
      </c>
      <c r="K175" s="51">
        <f>VLOOKUP($A175,'Data Vlaue (Cr)'!$C:$FB,60)</f>
        <v>2581</v>
      </c>
      <c r="L175" s="51">
        <f>VLOOKUP($A175,'Data Vlaue (Cr)'!$C:$FB,62)*100</f>
        <v>1.8900000000000001</v>
      </c>
      <c r="M175" s="51">
        <f>VLOOKUP($A175,'Data Vlaue (Cr)'!$C:$FB,63)</f>
        <v>994</v>
      </c>
      <c r="N175" s="51">
        <f>VLOOKUP($A175,'Data Vlaue (Cr)'!$C:$FB,64)</f>
        <v>737</v>
      </c>
      <c r="O175" s="51">
        <f>VLOOKUP($A175,'Data Vlaue (Cr)'!$C:$FB,66)*100</f>
        <v>34.910000000000004</v>
      </c>
    </row>
    <row r="176" spans="1:15" x14ac:dyDescent="0.25">
      <c r="A176" s="101" t="str">
        <f>'Data Vlaue (Cr)'!C171</f>
        <v>POWERINDIA</v>
      </c>
      <c r="B176" s="50">
        <f>VLOOKUP($A176,'Data Vlaue (Cr)'!$C:$FB,8)</f>
        <v>28925</v>
      </c>
      <c r="C176" s="50">
        <f>VLOOKUP($A176,'Data Vlaue (Cr)'!$C:$FB,11)*100</f>
        <v>2.37</v>
      </c>
      <c r="D176" s="50">
        <f>VLOOKUP($A176,'Data Vlaue (Cr)'!$C:$FB,143)</f>
        <v>2469.98</v>
      </c>
      <c r="E176" s="50">
        <f>VLOOKUP($A176,'Data Vlaue (Cr)'!$C:$FB,144)</f>
        <v>2539.31</v>
      </c>
      <c r="F176" s="50">
        <f>VLOOKUP($A176,'Data Vlaue (Cr)'!$C:$FB,146)*100</f>
        <v>-2.73</v>
      </c>
      <c r="G176" s="49">
        <f>VLOOKUP($A176,'Data Vlaue (Cr)'!$C:$FB,43)</f>
        <v>291</v>
      </c>
      <c r="H176" s="49">
        <f>VLOOKUP($A176,'Data Vlaue (Cr)'!$C:$FB,44)</f>
        <v>340</v>
      </c>
      <c r="I176" s="49">
        <f>VLOOKUP($A176,'Data Vlaue (Cr)'!$C:$FB,46)*100</f>
        <v>-14.249999999999998</v>
      </c>
      <c r="J176" s="51">
        <f>VLOOKUP($A176,'Data Vlaue (Cr)'!$C:$FB,59)</f>
        <v>1300</v>
      </c>
      <c r="K176" s="51">
        <f>VLOOKUP($A176,'Data Vlaue (Cr)'!$C:$FB,60)</f>
        <v>1389</v>
      </c>
      <c r="L176" s="51">
        <f>VLOOKUP($A176,'Data Vlaue (Cr)'!$C:$FB,62)*100</f>
        <v>-6.370000000000001</v>
      </c>
      <c r="M176" s="51">
        <f>VLOOKUP($A176,'Data Vlaue (Cr)'!$C:$FB,63)</f>
        <v>870</v>
      </c>
      <c r="N176" s="51">
        <f>VLOOKUP($A176,'Data Vlaue (Cr)'!$C:$FB,64)</f>
        <v>831</v>
      </c>
      <c r="O176" s="51">
        <f>VLOOKUP($A176,'Data Vlaue (Cr)'!$C:$FB,66)*100</f>
        <v>4.63</v>
      </c>
    </row>
    <row r="177" spans="1:15" x14ac:dyDescent="0.25">
      <c r="A177" s="101" t="str">
        <f>'Data Vlaue (Cr)'!C172</f>
        <v>PPLPHARMA</v>
      </c>
      <c r="B177" s="50">
        <f>VLOOKUP($A177,'Data Vlaue (Cr)'!$C:$FB,8)</f>
        <v>148.85</v>
      </c>
      <c r="C177" s="50">
        <f>VLOOKUP($A177,'Data Vlaue (Cr)'!$C:$FB,11)*100</f>
        <v>0.91999999999999993</v>
      </c>
      <c r="D177" s="50">
        <f>VLOOKUP($A177,'Data Vlaue (Cr)'!$C:$FB,143)</f>
        <v>142.87</v>
      </c>
      <c r="E177" s="50">
        <f>VLOOKUP($A177,'Data Vlaue (Cr)'!$C:$FB,144)</f>
        <v>155.87</v>
      </c>
      <c r="F177" s="50">
        <f>VLOOKUP($A177,'Data Vlaue (Cr)'!$C:$FB,146)*100</f>
        <v>-8.34</v>
      </c>
      <c r="G177" s="49">
        <f>VLOOKUP($A177,'Data Vlaue (Cr)'!$C:$FB,43)</f>
        <v>32</v>
      </c>
      <c r="H177" s="49">
        <f>VLOOKUP($A177,'Data Vlaue (Cr)'!$C:$FB,44)</f>
        <v>40</v>
      </c>
      <c r="I177" s="49">
        <f>VLOOKUP($A177,'Data Vlaue (Cr)'!$C:$FB,46)*100</f>
        <v>-18.490000000000002</v>
      </c>
      <c r="J177" s="51">
        <f>VLOOKUP($A177,'Data Vlaue (Cr)'!$C:$FB,59)</f>
        <v>85</v>
      </c>
      <c r="K177" s="51">
        <f>VLOOKUP($A177,'Data Vlaue (Cr)'!$C:$FB,60)</f>
        <v>84</v>
      </c>
      <c r="L177" s="51">
        <f>VLOOKUP($A177,'Data Vlaue (Cr)'!$C:$FB,62)*100</f>
        <v>1.82</v>
      </c>
      <c r="M177" s="51">
        <f>VLOOKUP($A177,'Data Vlaue (Cr)'!$C:$FB,63)</f>
        <v>22</v>
      </c>
      <c r="N177" s="51">
        <f>VLOOKUP($A177,'Data Vlaue (Cr)'!$C:$FB,64)</f>
        <v>28</v>
      </c>
      <c r="O177" s="51">
        <f>VLOOKUP($A177,'Data Vlaue (Cr)'!$C:$FB,66)*100</f>
        <v>-23.189999999999998</v>
      </c>
    </row>
    <row r="178" spans="1:15" x14ac:dyDescent="0.25">
      <c r="A178" s="101" t="str">
        <f>'Data Vlaue (Cr)'!C173</f>
        <v>PREMIERENE</v>
      </c>
      <c r="B178" s="50">
        <f>VLOOKUP($A178,'Data Vlaue (Cr)'!$C:$FB,8)</f>
        <v>1034.5999999999999</v>
      </c>
      <c r="C178" s="50">
        <f>VLOOKUP($A178,'Data Vlaue (Cr)'!$C:$FB,11)*100</f>
        <v>3.1399999999999997</v>
      </c>
      <c r="D178" s="50">
        <f>VLOOKUP($A178,'Data Vlaue (Cr)'!$C:$FB,143)</f>
        <v>1447.76</v>
      </c>
      <c r="E178" s="50">
        <f>VLOOKUP($A178,'Data Vlaue (Cr)'!$C:$FB,144)</f>
        <v>639.11</v>
      </c>
      <c r="F178" s="50">
        <f>VLOOKUP($A178,'Data Vlaue (Cr)'!$C:$FB,146)*100</f>
        <v>126.53000000000002</v>
      </c>
      <c r="G178" s="49">
        <f>VLOOKUP($A178,'Data Vlaue (Cr)'!$C:$FB,43)</f>
        <v>679</v>
      </c>
      <c r="H178" s="49">
        <f>VLOOKUP($A178,'Data Vlaue (Cr)'!$C:$FB,44)</f>
        <v>290</v>
      </c>
      <c r="I178" s="49">
        <f>VLOOKUP($A178,'Data Vlaue (Cr)'!$C:$FB,46)*100</f>
        <v>134.16999999999999</v>
      </c>
      <c r="J178" s="51">
        <f>VLOOKUP($A178,'Data Vlaue (Cr)'!$C:$FB,59)</f>
        <v>454</v>
      </c>
      <c r="K178" s="51">
        <f>VLOOKUP($A178,'Data Vlaue (Cr)'!$C:$FB,60)</f>
        <v>241</v>
      </c>
      <c r="L178" s="51">
        <f>VLOOKUP($A178,'Data Vlaue (Cr)'!$C:$FB,62)*100</f>
        <v>88.17</v>
      </c>
      <c r="M178" s="51">
        <f>VLOOKUP($A178,'Data Vlaue (Cr)'!$C:$FB,63)</f>
        <v>312</v>
      </c>
      <c r="N178" s="51">
        <f>VLOOKUP($A178,'Data Vlaue (Cr)'!$C:$FB,64)</f>
        <v>106</v>
      </c>
      <c r="O178" s="51">
        <f>VLOOKUP($A178,'Data Vlaue (Cr)'!$C:$FB,66)*100</f>
        <v>195.56</v>
      </c>
    </row>
    <row r="179" spans="1:15" x14ac:dyDescent="0.25">
      <c r="A179" s="101" t="str">
        <f>'Data Vlaue (Cr)'!C174</f>
        <v>PRESTIGE</v>
      </c>
      <c r="B179" s="50">
        <f>VLOOKUP($A179,'Data Vlaue (Cr)'!$C:$FB,8)</f>
        <v>1356.8</v>
      </c>
      <c r="C179" s="50">
        <f>VLOOKUP($A179,'Data Vlaue (Cr)'!$C:$FB,11)*100</f>
        <v>1.41</v>
      </c>
      <c r="D179" s="50">
        <f>VLOOKUP($A179,'Data Vlaue (Cr)'!$C:$FB,143)</f>
        <v>635.84</v>
      </c>
      <c r="E179" s="50">
        <f>VLOOKUP($A179,'Data Vlaue (Cr)'!$C:$FB,144)</f>
        <v>657.88</v>
      </c>
      <c r="F179" s="50">
        <f>VLOOKUP($A179,'Data Vlaue (Cr)'!$C:$FB,146)*100</f>
        <v>-3.35</v>
      </c>
      <c r="G179" s="49">
        <f>VLOOKUP($A179,'Data Vlaue (Cr)'!$C:$FB,43)</f>
        <v>146</v>
      </c>
      <c r="H179" s="49">
        <f>VLOOKUP($A179,'Data Vlaue (Cr)'!$C:$FB,44)</f>
        <v>115</v>
      </c>
      <c r="I179" s="49">
        <f>VLOOKUP($A179,'Data Vlaue (Cr)'!$C:$FB,46)*100</f>
        <v>26.669999999999998</v>
      </c>
      <c r="J179" s="51">
        <f>VLOOKUP($A179,'Data Vlaue (Cr)'!$C:$FB,59)</f>
        <v>336</v>
      </c>
      <c r="K179" s="51">
        <f>VLOOKUP($A179,'Data Vlaue (Cr)'!$C:$FB,60)</f>
        <v>329</v>
      </c>
      <c r="L179" s="51">
        <f>VLOOKUP($A179,'Data Vlaue (Cr)'!$C:$FB,62)*100</f>
        <v>1.91</v>
      </c>
      <c r="M179" s="51">
        <f>VLOOKUP($A179,'Data Vlaue (Cr)'!$C:$FB,63)</f>
        <v>144</v>
      </c>
      <c r="N179" s="51">
        <f>VLOOKUP($A179,'Data Vlaue (Cr)'!$C:$FB,64)</f>
        <v>217</v>
      </c>
      <c r="O179" s="51">
        <f>VLOOKUP($A179,'Data Vlaue (Cr)'!$C:$FB,66)*100</f>
        <v>-33.72</v>
      </c>
    </row>
    <row r="180" spans="1:15" x14ac:dyDescent="0.25">
      <c r="A180" s="101" t="str">
        <f>'Data Vlaue (Cr)'!C175</f>
        <v>RBLBANK</v>
      </c>
      <c r="B180" s="50">
        <f>VLOOKUP($A180,'Data Vlaue (Cr)'!$C:$FB,8)</f>
        <v>315.55</v>
      </c>
      <c r="C180" s="50">
        <f>VLOOKUP($A180,'Data Vlaue (Cr)'!$C:$FB,11)*100</f>
        <v>-0.11</v>
      </c>
      <c r="D180" s="50">
        <f>VLOOKUP($A180,'Data Vlaue (Cr)'!$C:$FB,143)</f>
        <v>1795.31</v>
      </c>
      <c r="E180" s="50">
        <f>VLOOKUP($A180,'Data Vlaue (Cr)'!$C:$FB,144)</f>
        <v>1518.12</v>
      </c>
      <c r="F180" s="50">
        <f>VLOOKUP($A180,'Data Vlaue (Cr)'!$C:$FB,146)*100</f>
        <v>18.260000000000002</v>
      </c>
      <c r="G180" s="49">
        <f>VLOOKUP($A180,'Data Vlaue (Cr)'!$C:$FB,43)</f>
        <v>247</v>
      </c>
      <c r="H180" s="49">
        <f>VLOOKUP($A180,'Data Vlaue (Cr)'!$C:$FB,44)</f>
        <v>296</v>
      </c>
      <c r="I180" s="49">
        <f>VLOOKUP($A180,'Data Vlaue (Cr)'!$C:$FB,46)*100</f>
        <v>-16.5</v>
      </c>
      <c r="J180" s="51">
        <f>VLOOKUP($A180,'Data Vlaue (Cr)'!$C:$FB,59)</f>
        <v>1091</v>
      </c>
      <c r="K180" s="51">
        <f>VLOOKUP($A180,'Data Vlaue (Cr)'!$C:$FB,60)</f>
        <v>750</v>
      </c>
      <c r="L180" s="51">
        <f>VLOOKUP($A180,'Data Vlaue (Cr)'!$C:$FB,62)*100</f>
        <v>45.34</v>
      </c>
      <c r="M180" s="51">
        <f>VLOOKUP($A180,'Data Vlaue (Cr)'!$C:$FB,63)</f>
        <v>425</v>
      </c>
      <c r="N180" s="51">
        <f>VLOOKUP($A180,'Data Vlaue (Cr)'!$C:$FB,64)</f>
        <v>431</v>
      </c>
      <c r="O180" s="51">
        <f>VLOOKUP($A180,'Data Vlaue (Cr)'!$C:$FB,66)*100</f>
        <v>-1.35</v>
      </c>
    </row>
    <row r="181" spans="1:15" x14ac:dyDescent="0.25">
      <c r="A181" s="101" t="str">
        <f>'Data Vlaue (Cr)'!C176</f>
        <v>RECLTD</v>
      </c>
      <c r="B181" s="50">
        <f>VLOOKUP($A181,'Data Vlaue (Cr)'!$C:$FB,8)</f>
        <v>373.3</v>
      </c>
      <c r="C181" s="50">
        <f>VLOOKUP($A181,'Data Vlaue (Cr)'!$C:$FB,11)*100</f>
        <v>2.5</v>
      </c>
      <c r="D181" s="50">
        <f>VLOOKUP($A181,'Data Vlaue (Cr)'!$C:$FB,143)</f>
        <v>3857.08</v>
      </c>
      <c r="E181" s="50">
        <f>VLOOKUP($A181,'Data Vlaue (Cr)'!$C:$FB,144)</f>
        <v>6337.94</v>
      </c>
      <c r="F181" s="50">
        <f>VLOOKUP($A181,'Data Vlaue (Cr)'!$C:$FB,146)*100</f>
        <v>-39.14</v>
      </c>
      <c r="G181" s="49">
        <f>VLOOKUP($A181,'Data Vlaue (Cr)'!$C:$FB,43)</f>
        <v>588</v>
      </c>
      <c r="H181" s="49">
        <f>VLOOKUP($A181,'Data Vlaue (Cr)'!$C:$FB,44)</f>
        <v>623</v>
      </c>
      <c r="I181" s="49">
        <f>VLOOKUP($A181,'Data Vlaue (Cr)'!$C:$FB,46)*100</f>
        <v>-5.64</v>
      </c>
      <c r="J181" s="51">
        <f>VLOOKUP($A181,'Data Vlaue (Cr)'!$C:$FB,59)</f>
        <v>2046</v>
      </c>
      <c r="K181" s="51">
        <f>VLOOKUP($A181,'Data Vlaue (Cr)'!$C:$FB,60)</f>
        <v>4074</v>
      </c>
      <c r="L181" s="51">
        <f>VLOOKUP($A181,'Data Vlaue (Cr)'!$C:$FB,62)*100</f>
        <v>-49.79</v>
      </c>
      <c r="M181" s="51">
        <f>VLOOKUP($A181,'Data Vlaue (Cr)'!$C:$FB,63)</f>
        <v>1213</v>
      </c>
      <c r="N181" s="51">
        <f>VLOOKUP($A181,'Data Vlaue (Cr)'!$C:$FB,64)</f>
        <v>1678</v>
      </c>
      <c r="O181" s="51">
        <f>VLOOKUP($A181,'Data Vlaue (Cr)'!$C:$FB,66)*100</f>
        <v>-27.750000000000004</v>
      </c>
    </row>
    <row r="182" spans="1:15" x14ac:dyDescent="0.25">
      <c r="A182" s="101" t="str">
        <f>'Data Vlaue (Cr)'!C177</f>
        <v>RELIANCE</v>
      </c>
      <c r="B182" s="50">
        <f>VLOOKUP($A182,'Data Vlaue (Cr)'!$C:$FB,8)</f>
        <v>1365</v>
      </c>
      <c r="C182" s="50">
        <f>VLOOKUP($A182,'Data Vlaue (Cr)'!$C:$FB,11)*100</f>
        <v>1.6199999999999999</v>
      </c>
      <c r="D182" s="50">
        <f>VLOOKUP($A182,'Data Vlaue (Cr)'!$C:$FB,143)</f>
        <v>22975.38</v>
      </c>
      <c r="E182" s="50">
        <f>VLOOKUP($A182,'Data Vlaue (Cr)'!$C:$FB,144)</f>
        <v>16441.25</v>
      </c>
      <c r="F182" s="50">
        <f>VLOOKUP($A182,'Data Vlaue (Cr)'!$C:$FB,146)*100</f>
        <v>39.739999999999995</v>
      </c>
      <c r="G182" s="49">
        <f>VLOOKUP($A182,'Data Vlaue (Cr)'!$C:$FB,43)</f>
        <v>1824</v>
      </c>
      <c r="H182" s="49">
        <f>VLOOKUP($A182,'Data Vlaue (Cr)'!$C:$FB,44)</f>
        <v>2146</v>
      </c>
      <c r="I182" s="49">
        <f>VLOOKUP($A182,'Data Vlaue (Cr)'!$C:$FB,46)*100</f>
        <v>-15.02</v>
      </c>
      <c r="J182" s="51">
        <f>VLOOKUP($A182,'Data Vlaue (Cr)'!$C:$FB,59)</f>
        <v>14085</v>
      </c>
      <c r="K182" s="51">
        <f>VLOOKUP($A182,'Data Vlaue (Cr)'!$C:$FB,60)</f>
        <v>9405</v>
      </c>
      <c r="L182" s="51">
        <f>VLOOKUP($A182,'Data Vlaue (Cr)'!$C:$FB,62)*100</f>
        <v>49.76</v>
      </c>
      <c r="M182" s="51">
        <f>VLOOKUP($A182,'Data Vlaue (Cr)'!$C:$FB,63)</f>
        <v>6773</v>
      </c>
      <c r="N182" s="51">
        <f>VLOOKUP($A182,'Data Vlaue (Cr)'!$C:$FB,64)</f>
        <v>4829</v>
      </c>
      <c r="O182" s="51">
        <f>VLOOKUP($A182,'Data Vlaue (Cr)'!$C:$FB,66)*100</f>
        <v>40.239999999999995</v>
      </c>
    </row>
    <row r="183" spans="1:15" x14ac:dyDescent="0.25">
      <c r="A183" s="101" t="str">
        <f>'Data Vlaue (Cr)'!C178</f>
        <v>RVNL</v>
      </c>
      <c r="B183" s="50">
        <f>VLOOKUP($A183,'Data Vlaue (Cr)'!$C:$FB,8)</f>
        <v>303.06</v>
      </c>
      <c r="C183" s="50">
        <f>VLOOKUP($A183,'Data Vlaue (Cr)'!$C:$FB,11)*100</f>
        <v>3.1199999999999997</v>
      </c>
      <c r="D183" s="50">
        <f>VLOOKUP($A183,'Data Vlaue (Cr)'!$C:$FB,143)</f>
        <v>5597.68</v>
      </c>
      <c r="E183" s="50">
        <f>VLOOKUP($A183,'Data Vlaue (Cr)'!$C:$FB,144)</f>
        <v>2324.14</v>
      </c>
      <c r="F183" s="50">
        <f>VLOOKUP($A183,'Data Vlaue (Cr)'!$C:$FB,146)*100</f>
        <v>140.85000000000002</v>
      </c>
      <c r="G183" s="49">
        <f>VLOOKUP($A183,'Data Vlaue (Cr)'!$C:$FB,43)</f>
        <v>815</v>
      </c>
      <c r="H183" s="49">
        <f>VLOOKUP($A183,'Data Vlaue (Cr)'!$C:$FB,44)</f>
        <v>473</v>
      </c>
      <c r="I183" s="49">
        <f>VLOOKUP($A183,'Data Vlaue (Cr)'!$C:$FB,46)*100</f>
        <v>72.19</v>
      </c>
      <c r="J183" s="51">
        <f>VLOOKUP($A183,'Data Vlaue (Cr)'!$C:$FB,59)</f>
        <v>3532</v>
      </c>
      <c r="K183" s="51">
        <f>VLOOKUP($A183,'Data Vlaue (Cr)'!$C:$FB,60)</f>
        <v>1448</v>
      </c>
      <c r="L183" s="51">
        <f>VLOOKUP($A183,'Data Vlaue (Cr)'!$C:$FB,62)*100</f>
        <v>144.01999999999998</v>
      </c>
      <c r="M183" s="51">
        <f>VLOOKUP($A183,'Data Vlaue (Cr)'!$C:$FB,63)</f>
        <v>1066</v>
      </c>
      <c r="N183" s="51">
        <f>VLOOKUP($A183,'Data Vlaue (Cr)'!$C:$FB,64)</f>
        <v>409</v>
      </c>
      <c r="O183" s="51">
        <f>VLOOKUP($A183,'Data Vlaue (Cr)'!$C:$FB,66)*100</f>
        <v>160.56</v>
      </c>
    </row>
    <row r="184" spans="1:15" x14ac:dyDescent="0.25">
      <c r="A184" s="101" t="str">
        <f>'Data Vlaue (Cr)'!C179</f>
        <v>SAIL</v>
      </c>
      <c r="B184" s="50">
        <f>VLOOKUP($A184,'Data Vlaue (Cr)'!$C:$FB,8)</f>
        <v>173.33</v>
      </c>
      <c r="C184" s="50">
        <f>VLOOKUP($A184,'Data Vlaue (Cr)'!$C:$FB,11)*100</f>
        <v>1.17</v>
      </c>
      <c r="D184" s="50">
        <f>VLOOKUP($A184,'Data Vlaue (Cr)'!$C:$FB,143)</f>
        <v>54.09</v>
      </c>
      <c r="E184" s="50">
        <f>VLOOKUP($A184,'Data Vlaue (Cr)'!$C:$FB,144)</f>
        <v>74.34</v>
      </c>
      <c r="F184" s="50">
        <f>VLOOKUP($A184,'Data Vlaue (Cr)'!$C:$FB,146)*100</f>
        <v>-27.250000000000004</v>
      </c>
      <c r="G184" s="49">
        <f>VLOOKUP($A184,'Data Vlaue (Cr)'!$C:$FB,43)</f>
        <v>40</v>
      </c>
      <c r="H184" s="49">
        <f>VLOOKUP($A184,'Data Vlaue (Cr)'!$C:$FB,44)</f>
        <v>61</v>
      </c>
      <c r="I184" s="49">
        <f>VLOOKUP($A184,'Data Vlaue (Cr)'!$C:$FB,46)*100</f>
        <v>-35.020000000000003</v>
      </c>
      <c r="J184" s="51">
        <f>VLOOKUP($A184,'Data Vlaue (Cr)'!$C:$FB,59)</f>
        <v>10</v>
      </c>
      <c r="K184" s="51">
        <f>VLOOKUP($A184,'Data Vlaue (Cr)'!$C:$FB,60)</f>
        <v>11</v>
      </c>
      <c r="L184" s="51">
        <f>VLOOKUP($A184,'Data Vlaue (Cr)'!$C:$FB,62)*100</f>
        <v>-13.139999999999999</v>
      </c>
      <c r="M184" s="51">
        <f>VLOOKUP($A184,'Data Vlaue (Cr)'!$C:$FB,63)</f>
        <v>5</v>
      </c>
      <c r="N184" s="51">
        <f>VLOOKUP($A184,'Data Vlaue (Cr)'!$C:$FB,64)</f>
        <v>3</v>
      </c>
      <c r="O184" s="51">
        <f>VLOOKUP($A184,'Data Vlaue (Cr)'!$C:$FB,66)*100</f>
        <v>57.499999999999993</v>
      </c>
    </row>
    <row r="185" spans="1:15" x14ac:dyDescent="0.25">
      <c r="A185" s="101" t="str">
        <f>'Data Vlaue (Cr)'!C180</f>
        <v>SAMMAANCAP</v>
      </c>
      <c r="B185" s="50">
        <f>VLOOKUP($A185,'Data Vlaue (Cr)'!$C:$FB,8)</f>
        <v>154.53</v>
      </c>
      <c r="C185" s="50">
        <f>VLOOKUP($A185,'Data Vlaue (Cr)'!$C:$FB,11)*100</f>
        <v>-0.27999999999999997</v>
      </c>
      <c r="D185" s="50">
        <f>VLOOKUP($A185,'Data Vlaue (Cr)'!$C:$FB,143)</f>
        <v>33.42</v>
      </c>
      <c r="E185" s="50">
        <f>VLOOKUP($A185,'Data Vlaue (Cr)'!$C:$FB,144)</f>
        <v>40.51</v>
      </c>
      <c r="F185" s="50">
        <f>VLOOKUP($A185,'Data Vlaue (Cr)'!$C:$FB,146)*100</f>
        <v>-17.5</v>
      </c>
      <c r="G185" s="49">
        <f>VLOOKUP($A185,'Data Vlaue (Cr)'!$C:$FB,43)</f>
        <v>29</v>
      </c>
      <c r="H185" s="49">
        <f>VLOOKUP($A185,'Data Vlaue (Cr)'!$C:$FB,44)</f>
        <v>19</v>
      </c>
      <c r="I185" s="49">
        <f>VLOOKUP($A185,'Data Vlaue (Cr)'!$C:$FB,46)*100</f>
        <v>50.88</v>
      </c>
      <c r="J185" s="51">
        <f>VLOOKUP($A185,'Data Vlaue (Cr)'!$C:$FB,59)</f>
        <v>3</v>
      </c>
      <c r="K185" s="51">
        <f>VLOOKUP($A185,'Data Vlaue (Cr)'!$C:$FB,60)</f>
        <v>11</v>
      </c>
      <c r="L185" s="51">
        <f>VLOOKUP($A185,'Data Vlaue (Cr)'!$C:$FB,62)*100</f>
        <v>-77.510000000000005</v>
      </c>
      <c r="M185" s="51">
        <f>VLOOKUP($A185,'Data Vlaue (Cr)'!$C:$FB,63)</f>
        <v>2</v>
      </c>
      <c r="N185" s="51">
        <f>VLOOKUP($A185,'Data Vlaue (Cr)'!$C:$FB,64)</f>
        <v>10</v>
      </c>
      <c r="O185" s="51">
        <f>VLOOKUP($A185,'Data Vlaue (Cr)'!$C:$FB,66)*100</f>
        <v>-75.97</v>
      </c>
    </row>
    <row r="186" spans="1:15" x14ac:dyDescent="0.25">
      <c r="A186" s="101" t="str">
        <f>'Data Vlaue (Cr)'!C181</f>
        <v>SBICARD</v>
      </c>
      <c r="B186" s="50">
        <f>VLOOKUP($A186,'Data Vlaue (Cr)'!$C:$FB,8)</f>
        <v>695.2</v>
      </c>
      <c r="C186" s="50">
        <f>VLOOKUP($A186,'Data Vlaue (Cr)'!$C:$FB,11)*100</f>
        <v>1.4000000000000001</v>
      </c>
      <c r="D186" s="50">
        <f>VLOOKUP($A186,'Data Vlaue (Cr)'!$C:$FB,143)</f>
        <v>863.3</v>
      </c>
      <c r="E186" s="50">
        <f>VLOOKUP($A186,'Data Vlaue (Cr)'!$C:$FB,144)</f>
        <v>765.81</v>
      </c>
      <c r="F186" s="50">
        <f>VLOOKUP($A186,'Data Vlaue (Cr)'!$C:$FB,146)*100</f>
        <v>12.73</v>
      </c>
      <c r="G186" s="49">
        <f>VLOOKUP($A186,'Data Vlaue (Cr)'!$C:$FB,43)</f>
        <v>316</v>
      </c>
      <c r="H186" s="49">
        <f>VLOOKUP($A186,'Data Vlaue (Cr)'!$C:$FB,44)</f>
        <v>293</v>
      </c>
      <c r="I186" s="49">
        <f>VLOOKUP($A186,'Data Vlaue (Cr)'!$C:$FB,46)*100</f>
        <v>7.68</v>
      </c>
      <c r="J186" s="51">
        <f>VLOOKUP($A186,'Data Vlaue (Cr)'!$C:$FB,59)</f>
        <v>345</v>
      </c>
      <c r="K186" s="51">
        <f>VLOOKUP($A186,'Data Vlaue (Cr)'!$C:$FB,60)</f>
        <v>276</v>
      </c>
      <c r="L186" s="51">
        <f>VLOOKUP($A186,'Data Vlaue (Cr)'!$C:$FB,62)*100</f>
        <v>25.240000000000002</v>
      </c>
      <c r="M186" s="51">
        <f>VLOOKUP($A186,'Data Vlaue (Cr)'!$C:$FB,63)</f>
        <v>195</v>
      </c>
      <c r="N186" s="51">
        <f>VLOOKUP($A186,'Data Vlaue (Cr)'!$C:$FB,64)</f>
        <v>195</v>
      </c>
      <c r="O186" s="51">
        <f>VLOOKUP($A186,'Data Vlaue (Cr)'!$C:$FB,66)*100</f>
        <v>0.26</v>
      </c>
    </row>
    <row r="187" spans="1:15" x14ac:dyDescent="0.25">
      <c r="A187" s="101" t="str">
        <f>'Data Vlaue (Cr)'!C182</f>
        <v>SBILIFE</v>
      </c>
      <c r="B187" s="50">
        <f>VLOOKUP($A187,'Data Vlaue (Cr)'!$C:$FB,8)</f>
        <v>1970.9</v>
      </c>
      <c r="C187" s="50">
        <f>VLOOKUP($A187,'Data Vlaue (Cr)'!$C:$FB,11)*100</f>
        <v>-0.19</v>
      </c>
      <c r="D187" s="50">
        <f>VLOOKUP($A187,'Data Vlaue (Cr)'!$C:$FB,143)</f>
        <v>880.81</v>
      </c>
      <c r="E187" s="50">
        <f>VLOOKUP($A187,'Data Vlaue (Cr)'!$C:$FB,144)</f>
        <v>1031.93</v>
      </c>
      <c r="F187" s="50">
        <f>VLOOKUP($A187,'Data Vlaue (Cr)'!$C:$FB,146)*100</f>
        <v>-14.64</v>
      </c>
      <c r="G187" s="49">
        <f>VLOOKUP($A187,'Data Vlaue (Cr)'!$C:$FB,43)</f>
        <v>131</v>
      </c>
      <c r="H187" s="49">
        <f>VLOOKUP($A187,'Data Vlaue (Cr)'!$C:$FB,44)</f>
        <v>321</v>
      </c>
      <c r="I187" s="49">
        <f>VLOOKUP($A187,'Data Vlaue (Cr)'!$C:$FB,46)*100</f>
        <v>-59.040000000000006</v>
      </c>
      <c r="J187" s="51">
        <f>VLOOKUP($A187,'Data Vlaue (Cr)'!$C:$FB,59)</f>
        <v>510</v>
      </c>
      <c r="K187" s="51">
        <f>VLOOKUP($A187,'Data Vlaue (Cr)'!$C:$FB,60)</f>
        <v>444</v>
      </c>
      <c r="L187" s="51">
        <f>VLOOKUP($A187,'Data Vlaue (Cr)'!$C:$FB,62)*100</f>
        <v>14.940000000000001</v>
      </c>
      <c r="M187" s="51">
        <f>VLOOKUP($A187,'Data Vlaue (Cr)'!$C:$FB,63)</f>
        <v>222</v>
      </c>
      <c r="N187" s="51">
        <f>VLOOKUP($A187,'Data Vlaue (Cr)'!$C:$FB,64)</f>
        <v>263</v>
      </c>
      <c r="O187" s="51">
        <f>VLOOKUP($A187,'Data Vlaue (Cr)'!$C:$FB,66)*100</f>
        <v>-15.45</v>
      </c>
    </row>
    <row r="188" spans="1:15" x14ac:dyDescent="0.25">
      <c r="A188" s="101" t="str">
        <f>'Data Vlaue (Cr)'!C183</f>
        <v>SBIN</v>
      </c>
      <c r="B188" s="50">
        <f>VLOOKUP($A188,'Data Vlaue (Cr)'!$C:$FB,8)</f>
        <v>1080.25</v>
      </c>
      <c r="C188" s="50">
        <f>VLOOKUP($A188,'Data Vlaue (Cr)'!$C:$FB,11)*100</f>
        <v>1.23</v>
      </c>
      <c r="D188" s="50">
        <f>VLOOKUP($A188,'Data Vlaue (Cr)'!$C:$FB,143)</f>
        <v>11374.77</v>
      </c>
      <c r="E188" s="50">
        <f>VLOOKUP($A188,'Data Vlaue (Cr)'!$C:$FB,144)</f>
        <v>9317.35</v>
      </c>
      <c r="F188" s="50">
        <f>VLOOKUP($A188,'Data Vlaue (Cr)'!$C:$FB,146)*100</f>
        <v>22.08</v>
      </c>
      <c r="G188" s="49">
        <f>VLOOKUP($A188,'Data Vlaue (Cr)'!$C:$FB,43)</f>
        <v>1312</v>
      </c>
      <c r="H188" s="49">
        <f>VLOOKUP($A188,'Data Vlaue (Cr)'!$C:$FB,44)</f>
        <v>1201</v>
      </c>
      <c r="I188" s="49">
        <f>VLOOKUP($A188,'Data Vlaue (Cr)'!$C:$FB,46)*100</f>
        <v>9.31</v>
      </c>
      <c r="J188" s="51">
        <f>VLOOKUP($A188,'Data Vlaue (Cr)'!$C:$FB,59)</f>
        <v>6175</v>
      </c>
      <c r="K188" s="51">
        <f>VLOOKUP($A188,'Data Vlaue (Cr)'!$C:$FB,60)</f>
        <v>4891</v>
      </c>
      <c r="L188" s="51">
        <f>VLOOKUP($A188,'Data Vlaue (Cr)'!$C:$FB,62)*100</f>
        <v>26.240000000000002</v>
      </c>
      <c r="M188" s="51">
        <f>VLOOKUP($A188,'Data Vlaue (Cr)'!$C:$FB,63)</f>
        <v>3812</v>
      </c>
      <c r="N188" s="51">
        <f>VLOOKUP($A188,'Data Vlaue (Cr)'!$C:$FB,64)</f>
        <v>3170</v>
      </c>
      <c r="O188" s="51">
        <f>VLOOKUP($A188,'Data Vlaue (Cr)'!$C:$FB,66)*100</f>
        <v>20.239999999999998</v>
      </c>
    </row>
    <row r="189" spans="1:15" x14ac:dyDescent="0.25">
      <c r="A189" s="101" t="str">
        <f>'Data Vlaue (Cr)'!C184</f>
        <v>SHREECEM</v>
      </c>
      <c r="B189" s="50">
        <f>VLOOKUP($A189,'Data Vlaue (Cr)'!$C:$FB,8)</f>
        <v>25290</v>
      </c>
      <c r="C189" s="50">
        <f>VLOOKUP($A189,'Data Vlaue (Cr)'!$C:$FB,11)*100</f>
        <v>0.72</v>
      </c>
      <c r="D189" s="50">
        <f>VLOOKUP($A189,'Data Vlaue (Cr)'!$C:$FB,143)</f>
        <v>165.06</v>
      </c>
      <c r="E189" s="50">
        <f>VLOOKUP($A189,'Data Vlaue (Cr)'!$C:$FB,144)</f>
        <v>197.25</v>
      </c>
      <c r="F189" s="50">
        <f>VLOOKUP($A189,'Data Vlaue (Cr)'!$C:$FB,146)*100</f>
        <v>-16.32</v>
      </c>
      <c r="G189" s="49">
        <f>VLOOKUP($A189,'Data Vlaue (Cr)'!$C:$FB,43)</f>
        <v>67</v>
      </c>
      <c r="H189" s="49">
        <f>VLOOKUP($A189,'Data Vlaue (Cr)'!$C:$FB,44)</f>
        <v>79</v>
      </c>
      <c r="I189" s="49">
        <f>VLOOKUP($A189,'Data Vlaue (Cr)'!$C:$FB,46)*100</f>
        <v>-14.899999999999999</v>
      </c>
      <c r="J189" s="51">
        <f>VLOOKUP($A189,'Data Vlaue (Cr)'!$C:$FB,59)</f>
        <v>80</v>
      </c>
      <c r="K189" s="51">
        <f>VLOOKUP($A189,'Data Vlaue (Cr)'!$C:$FB,60)</f>
        <v>86</v>
      </c>
      <c r="L189" s="51">
        <f>VLOOKUP($A189,'Data Vlaue (Cr)'!$C:$FB,62)*100</f>
        <v>-7.1</v>
      </c>
      <c r="M189" s="51">
        <f>VLOOKUP($A189,'Data Vlaue (Cr)'!$C:$FB,63)</f>
        <v>16</v>
      </c>
      <c r="N189" s="51">
        <f>VLOOKUP($A189,'Data Vlaue (Cr)'!$C:$FB,64)</f>
        <v>31</v>
      </c>
      <c r="O189" s="51">
        <f>VLOOKUP($A189,'Data Vlaue (Cr)'!$C:$FB,66)*100</f>
        <v>-49.8</v>
      </c>
    </row>
    <row r="190" spans="1:15" x14ac:dyDescent="0.25">
      <c r="A190" s="101" t="str">
        <f>'Data Vlaue (Cr)'!C185</f>
        <v>SHRIRAMFIN</v>
      </c>
      <c r="B190" s="50">
        <f>VLOOKUP($A190,'Data Vlaue (Cr)'!$C:$FB,8)</f>
        <v>1036.95</v>
      </c>
      <c r="C190" s="50">
        <f>VLOOKUP($A190,'Data Vlaue (Cr)'!$C:$FB,11)*100</f>
        <v>1.39</v>
      </c>
      <c r="D190" s="50">
        <f>VLOOKUP($A190,'Data Vlaue (Cr)'!$C:$FB,143)</f>
        <v>2649.6</v>
      </c>
      <c r="E190" s="50">
        <f>VLOOKUP($A190,'Data Vlaue (Cr)'!$C:$FB,144)</f>
        <v>2875.72</v>
      </c>
      <c r="F190" s="50">
        <f>VLOOKUP($A190,'Data Vlaue (Cr)'!$C:$FB,146)*100</f>
        <v>-7.86</v>
      </c>
      <c r="G190" s="49">
        <f>VLOOKUP($A190,'Data Vlaue (Cr)'!$C:$FB,43)</f>
        <v>599</v>
      </c>
      <c r="H190" s="49">
        <f>VLOOKUP($A190,'Data Vlaue (Cr)'!$C:$FB,44)</f>
        <v>797</v>
      </c>
      <c r="I190" s="49">
        <f>VLOOKUP($A190,'Data Vlaue (Cr)'!$C:$FB,46)*100</f>
        <v>-24.79</v>
      </c>
      <c r="J190" s="51">
        <f>VLOOKUP($A190,'Data Vlaue (Cr)'!$C:$FB,59)</f>
        <v>1377</v>
      </c>
      <c r="K190" s="51">
        <f>VLOOKUP($A190,'Data Vlaue (Cr)'!$C:$FB,60)</f>
        <v>1322</v>
      </c>
      <c r="L190" s="51">
        <f>VLOOKUP($A190,'Data Vlaue (Cr)'!$C:$FB,62)*100</f>
        <v>4.17</v>
      </c>
      <c r="M190" s="51">
        <f>VLOOKUP($A190,'Data Vlaue (Cr)'!$C:$FB,63)</f>
        <v>625</v>
      </c>
      <c r="N190" s="51">
        <f>VLOOKUP($A190,'Data Vlaue (Cr)'!$C:$FB,64)</f>
        <v>735</v>
      </c>
      <c r="O190" s="51">
        <f>VLOOKUP($A190,'Data Vlaue (Cr)'!$C:$FB,66)*100</f>
        <v>-15.010000000000002</v>
      </c>
    </row>
    <row r="191" spans="1:15" x14ac:dyDescent="0.25">
      <c r="A191" s="101" t="str">
        <f>'Data Vlaue (Cr)'!C186</f>
        <v>SIEMENS</v>
      </c>
      <c r="B191" s="50">
        <f>VLOOKUP($A191,'Data Vlaue (Cr)'!$C:$FB,8)</f>
        <v>3707.9</v>
      </c>
      <c r="C191" s="50">
        <f>VLOOKUP($A191,'Data Vlaue (Cr)'!$C:$FB,11)*100</f>
        <v>4.04</v>
      </c>
      <c r="D191" s="50">
        <f>VLOOKUP($A191,'Data Vlaue (Cr)'!$C:$FB,143)</f>
        <v>5275.89</v>
      </c>
      <c r="E191" s="50">
        <f>VLOOKUP($A191,'Data Vlaue (Cr)'!$C:$FB,144)</f>
        <v>3333.84</v>
      </c>
      <c r="F191" s="50">
        <f>VLOOKUP($A191,'Data Vlaue (Cr)'!$C:$FB,146)*100</f>
        <v>58.25</v>
      </c>
      <c r="G191" s="49">
        <f>VLOOKUP($A191,'Data Vlaue (Cr)'!$C:$FB,43)</f>
        <v>425</v>
      </c>
      <c r="H191" s="49">
        <f>VLOOKUP($A191,'Data Vlaue (Cr)'!$C:$FB,44)</f>
        <v>429</v>
      </c>
      <c r="I191" s="49">
        <f>VLOOKUP($A191,'Data Vlaue (Cr)'!$C:$FB,46)*100</f>
        <v>-1.1199999999999999</v>
      </c>
      <c r="J191" s="51">
        <f>VLOOKUP($A191,'Data Vlaue (Cr)'!$C:$FB,59)</f>
        <v>3346</v>
      </c>
      <c r="K191" s="51">
        <f>VLOOKUP($A191,'Data Vlaue (Cr)'!$C:$FB,60)</f>
        <v>1995</v>
      </c>
      <c r="L191" s="51">
        <f>VLOOKUP($A191,'Data Vlaue (Cr)'!$C:$FB,62)*100</f>
        <v>67.759999999999991</v>
      </c>
      <c r="M191" s="51">
        <f>VLOOKUP($A191,'Data Vlaue (Cr)'!$C:$FB,63)</f>
        <v>1556</v>
      </c>
      <c r="N191" s="51">
        <f>VLOOKUP($A191,'Data Vlaue (Cr)'!$C:$FB,64)</f>
        <v>977</v>
      </c>
      <c r="O191" s="51">
        <f>VLOOKUP($A191,'Data Vlaue (Cr)'!$C:$FB,66)*100</f>
        <v>59.160000000000004</v>
      </c>
    </row>
    <row r="192" spans="1:15" x14ac:dyDescent="0.25">
      <c r="A192" s="101" t="str">
        <f>'Data Vlaue (Cr)'!C187</f>
        <v>SOLARINDS</v>
      </c>
      <c r="B192" s="50">
        <f>VLOOKUP($A192,'Data Vlaue (Cr)'!$C:$FB,8)</f>
        <v>15089</v>
      </c>
      <c r="C192" s="50">
        <f>VLOOKUP($A192,'Data Vlaue (Cr)'!$C:$FB,11)*100</f>
        <v>0.66</v>
      </c>
      <c r="D192" s="50">
        <f>VLOOKUP($A192,'Data Vlaue (Cr)'!$C:$FB,143)</f>
        <v>1748.2</v>
      </c>
      <c r="E192" s="50">
        <f>VLOOKUP($A192,'Data Vlaue (Cr)'!$C:$FB,144)</f>
        <v>1362.74</v>
      </c>
      <c r="F192" s="50">
        <f>VLOOKUP($A192,'Data Vlaue (Cr)'!$C:$FB,146)*100</f>
        <v>28.29</v>
      </c>
      <c r="G192" s="49">
        <f>VLOOKUP($A192,'Data Vlaue (Cr)'!$C:$FB,43)</f>
        <v>189</v>
      </c>
      <c r="H192" s="49">
        <f>VLOOKUP($A192,'Data Vlaue (Cr)'!$C:$FB,44)</f>
        <v>213</v>
      </c>
      <c r="I192" s="49">
        <f>VLOOKUP($A192,'Data Vlaue (Cr)'!$C:$FB,46)*100</f>
        <v>-11.200000000000001</v>
      </c>
      <c r="J192" s="51">
        <f>VLOOKUP($A192,'Data Vlaue (Cr)'!$C:$FB,59)</f>
        <v>474</v>
      </c>
      <c r="K192" s="51">
        <f>VLOOKUP($A192,'Data Vlaue (Cr)'!$C:$FB,60)</f>
        <v>747</v>
      </c>
      <c r="L192" s="51">
        <f>VLOOKUP($A192,'Data Vlaue (Cr)'!$C:$FB,62)*100</f>
        <v>-36.51</v>
      </c>
      <c r="M192" s="51">
        <f>VLOOKUP($A192,'Data Vlaue (Cr)'!$C:$FB,63)</f>
        <v>1285</v>
      </c>
      <c r="N192" s="51">
        <f>VLOOKUP($A192,'Data Vlaue (Cr)'!$C:$FB,64)</f>
        <v>416</v>
      </c>
      <c r="O192" s="51">
        <f>VLOOKUP($A192,'Data Vlaue (Cr)'!$C:$FB,66)*100</f>
        <v>208.84</v>
      </c>
    </row>
    <row r="193" spans="1:15" x14ac:dyDescent="0.25">
      <c r="A193" s="101" t="str">
        <f>'Data Vlaue (Cr)'!C188</f>
        <v>SONACOMS</v>
      </c>
      <c r="B193" s="50">
        <f>VLOOKUP($A193,'Data Vlaue (Cr)'!$C:$FB,8)</f>
        <v>593.85</v>
      </c>
      <c r="C193" s="50">
        <f>VLOOKUP($A193,'Data Vlaue (Cr)'!$C:$FB,11)*100</f>
        <v>2.2399999999999998</v>
      </c>
      <c r="D193" s="50">
        <f>VLOOKUP($A193,'Data Vlaue (Cr)'!$C:$FB,143)</f>
        <v>1081.5899999999999</v>
      </c>
      <c r="E193" s="50">
        <f>VLOOKUP($A193,'Data Vlaue (Cr)'!$C:$FB,144)</f>
        <v>557.39</v>
      </c>
      <c r="F193" s="50">
        <f>VLOOKUP($A193,'Data Vlaue (Cr)'!$C:$FB,146)*100</f>
        <v>94.05</v>
      </c>
      <c r="G193" s="49">
        <f>VLOOKUP($A193,'Data Vlaue (Cr)'!$C:$FB,43)</f>
        <v>238</v>
      </c>
      <c r="H193" s="49">
        <f>VLOOKUP($A193,'Data Vlaue (Cr)'!$C:$FB,44)</f>
        <v>189</v>
      </c>
      <c r="I193" s="49">
        <f>VLOOKUP($A193,'Data Vlaue (Cr)'!$C:$FB,46)*100</f>
        <v>25.81</v>
      </c>
      <c r="J193" s="51">
        <f>VLOOKUP($A193,'Data Vlaue (Cr)'!$C:$FB,59)</f>
        <v>613</v>
      </c>
      <c r="K193" s="51">
        <f>VLOOKUP($A193,'Data Vlaue (Cr)'!$C:$FB,60)</f>
        <v>240</v>
      </c>
      <c r="L193" s="51">
        <f>VLOOKUP($A193,'Data Vlaue (Cr)'!$C:$FB,62)*100</f>
        <v>155.47</v>
      </c>
      <c r="M193" s="51">
        <f>VLOOKUP($A193,'Data Vlaue (Cr)'!$C:$FB,63)</f>
        <v>217</v>
      </c>
      <c r="N193" s="51">
        <f>VLOOKUP($A193,'Data Vlaue (Cr)'!$C:$FB,64)</f>
        <v>130</v>
      </c>
      <c r="O193" s="51">
        <f>VLOOKUP($A193,'Data Vlaue (Cr)'!$C:$FB,66)*100</f>
        <v>66.47999999999999</v>
      </c>
    </row>
    <row r="194" spans="1:15" x14ac:dyDescent="0.25">
      <c r="A194" s="101" t="str">
        <f>'Data Vlaue (Cr)'!C189</f>
        <v>SRF</v>
      </c>
      <c r="B194" s="50">
        <f>VLOOKUP($A194,'Data Vlaue (Cr)'!$C:$FB,8)</f>
        <v>2494.5</v>
      </c>
      <c r="C194" s="50">
        <f>VLOOKUP($A194,'Data Vlaue (Cr)'!$C:$FB,11)*100</f>
        <v>-0.38</v>
      </c>
      <c r="D194" s="50">
        <f>VLOOKUP($A194,'Data Vlaue (Cr)'!$C:$FB,143)</f>
        <v>1079.07</v>
      </c>
      <c r="E194" s="50">
        <f>VLOOKUP($A194,'Data Vlaue (Cr)'!$C:$FB,144)</f>
        <v>769.23</v>
      </c>
      <c r="F194" s="50">
        <f>VLOOKUP($A194,'Data Vlaue (Cr)'!$C:$FB,146)*100</f>
        <v>40.28</v>
      </c>
      <c r="G194" s="49">
        <f>VLOOKUP($A194,'Data Vlaue (Cr)'!$C:$FB,43)</f>
        <v>177</v>
      </c>
      <c r="H194" s="49">
        <f>VLOOKUP($A194,'Data Vlaue (Cr)'!$C:$FB,44)</f>
        <v>133</v>
      </c>
      <c r="I194" s="49">
        <f>VLOOKUP($A194,'Data Vlaue (Cr)'!$C:$FB,46)*100</f>
        <v>33.31</v>
      </c>
      <c r="J194" s="51">
        <f>VLOOKUP($A194,'Data Vlaue (Cr)'!$C:$FB,59)</f>
        <v>650</v>
      </c>
      <c r="K194" s="51">
        <f>VLOOKUP($A194,'Data Vlaue (Cr)'!$C:$FB,60)</f>
        <v>466</v>
      </c>
      <c r="L194" s="51">
        <f>VLOOKUP($A194,'Data Vlaue (Cr)'!$C:$FB,62)*100</f>
        <v>39.44</v>
      </c>
      <c r="M194" s="51">
        <f>VLOOKUP($A194,'Data Vlaue (Cr)'!$C:$FB,63)</f>
        <v>225</v>
      </c>
      <c r="N194" s="51">
        <f>VLOOKUP($A194,'Data Vlaue (Cr)'!$C:$FB,64)</f>
        <v>150</v>
      </c>
      <c r="O194" s="51">
        <f>VLOOKUP($A194,'Data Vlaue (Cr)'!$C:$FB,66)*100</f>
        <v>49.8</v>
      </c>
    </row>
    <row r="195" spans="1:15" x14ac:dyDescent="0.25">
      <c r="A195" s="101" t="str">
        <f>'Data Vlaue (Cr)'!C190</f>
        <v>SUNPHARMA</v>
      </c>
      <c r="B195" s="50">
        <f>VLOOKUP($A195,'Data Vlaue (Cr)'!$C:$FB,8)</f>
        <v>1675.5</v>
      </c>
      <c r="C195" s="50">
        <f>VLOOKUP($A195,'Data Vlaue (Cr)'!$C:$FB,11)*100</f>
        <v>-1.04</v>
      </c>
      <c r="D195" s="50">
        <f>VLOOKUP($A195,'Data Vlaue (Cr)'!$C:$FB,143)</f>
        <v>3368.03</v>
      </c>
      <c r="E195" s="50">
        <f>VLOOKUP($A195,'Data Vlaue (Cr)'!$C:$FB,144)</f>
        <v>5547.35</v>
      </c>
      <c r="F195" s="50">
        <f>VLOOKUP($A195,'Data Vlaue (Cr)'!$C:$FB,146)*100</f>
        <v>-39.290000000000006</v>
      </c>
      <c r="G195" s="49">
        <f>VLOOKUP($A195,'Data Vlaue (Cr)'!$C:$FB,43)</f>
        <v>460</v>
      </c>
      <c r="H195" s="49">
        <f>VLOOKUP($A195,'Data Vlaue (Cr)'!$C:$FB,44)</f>
        <v>739</v>
      </c>
      <c r="I195" s="49">
        <f>VLOOKUP($A195,'Data Vlaue (Cr)'!$C:$FB,46)*100</f>
        <v>-37.700000000000003</v>
      </c>
      <c r="J195" s="51">
        <f>VLOOKUP($A195,'Data Vlaue (Cr)'!$C:$FB,59)</f>
        <v>1641</v>
      </c>
      <c r="K195" s="51">
        <f>VLOOKUP($A195,'Data Vlaue (Cr)'!$C:$FB,60)</f>
        <v>2606</v>
      </c>
      <c r="L195" s="51">
        <f>VLOOKUP($A195,'Data Vlaue (Cr)'!$C:$FB,62)*100</f>
        <v>-37</v>
      </c>
      <c r="M195" s="51">
        <f>VLOOKUP($A195,'Data Vlaue (Cr)'!$C:$FB,63)</f>
        <v>1211</v>
      </c>
      <c r="N195" s="51">
        <f>VLOOKUP($A195,'Data Vlaue (Cr)'!$C:$FB,64)</f>
        <v>2106</v>
      </c>
      <c r="O195" s="51">
        <f>VLOOKUP($A195,'Data Vlaue (Cr)'!$C:$FB,66)*100</f>
        <v>-42.5</v>
      </c>
    </row>
    <row r="196" spans="1:15" x14ac:dyDescent="0.25">
      <c r="A196" s="101" t="str">
        <f>'Data Vlaue (Cr)'!C191</f>
        <v>SUPREMEIND</v>
      </c>
      <c r="B196" s="50">
        <f>VLOOKUP($A196,'Data Vlaue (Cr)'!$C:$FB,8)</f>
        <v>3709</v>
      </c>
      <c r="C196" s="50">
        <f>VLOOKUP($A196,'Data Vlaue (Cr)'!$C:$FB,11)*100</f>
        <v>1.23</v>
      </c>
      <c r="D196" s="50">
        <f>VLOOKUP($A196,'Data Vlaue (Cr)'!$C:$FB,143)</f>
        <v>881.58</v>
      </c>
      <c r="E196" s="50">
        <f>VLOOKUP($A196,'Data Vlaue (Cr)'!$C:$FB,144)</f>
        <v>1113.28</v>
      </c>
      <c r="F196" s="50">
        <f>VLOOKUP($A196,'Data Vlaue (Cr)'!$C:$FB,146)*100</f>
        <v>-20.810000000000002</v>
      </c>
      <c r="G196" s="49">
        <f>VLOOKUP($A196,'Data Vlaue (Cr)'!$C:$FB,43)</f>
        <v>282</v>
      </c>
      <c r="H196" s="49">
        <f>VLOOKUP($A196,'Data Vlaue (Cr)'!$C:$FB,44)</f>
        <v>225</v>
      </c>
      <c r="I196" s="49">
        <f>VLOOKUP($A196,'Data Vlaue (Cr)'!$C:$FB,46)*100</f>
        <v>25.46</v>
      </c>
      <c r="J196" s="51">
        <f>VLOOKUP($A196,'Data Vlaue (Cr)'!$C:$FB,59)</f>
        <v>409</v>
      </c>
      <c r="K196" s="51">
        <f>VLOOKUP($A196,'Data Vlaue (Cr)'!$C:$FB,60)</f>
        <v>470</v>
      </c>
      <c r="L196" s="51">
        <f>VLOOKUP($A196,'Data Vlaue (Cr)'!$C:$FB,62)*100</f>
        <v>-13.020000000000001</v>
      </c>
      <c r="M196" s="51">
        <f>VLOOKUP($A196,'Data Vlaue (Cr)'!$C:$FB,63)</f>
        <v>171</v>
      </c>
      <c r="N196" s="51">
        <f>VLOOKUP($A196,'Data Vlaue (Cr)'!$C:$FB,64)</f>
        <v>403</v>
      </c>
      <c r="O196" s="51">
        <f>VLOOKUP($A196,'Data Vlaue (Cr)'!$C:$FB,66)*100</f>
        <v>-57.499999999999993</v>
      </c>
    </row>
    <row r="197" spans="1:15" x14ac:dyDescent="0.25">
      <c r="A197" s="101" t="str">
        <f>'Data Vlaue (Cr)'!C192</f>
        <v>SUZLON</v>
      </c>
      <c r="B197" s="50">
        <f>VLOOKUP($A197,'Data Vlaue (Cr)'!$C:$FB,8)</f>
        <v>52.93</v>
      </c>
      <c r="C197" s="50">
        <f>VLOOKUP($A197,'Data Vlaue (Cr)'!$C:$FB,11)*100</f>
        <v>5.33</v>
      </c>
      <c r="D197" s="50">
        <f>VLOOKUP($A197,'Data Vlaue (Cr)'!$C:$FB,143)</f>
        <v>5915.71</v>
      </c>
      <c r="E197" s="50">
        <f>VLOOKUP($A197,'Data Vlaue (Cr)'!$C:$FB,144)</f>
        <v>2996.35</v>
      </c>
      <c r="F197" s="50">
        <f>VLOOKUP($A197,'Data Vlaue (Cr)'!$C:$FB,146)*100</f>
        <v>97.43</v>
      </c>
      <c r="G197" s="49">
        <f>VLOOKUP($A197,'Data Vlaue (Cr)'!$C:$FB,43)</f>
        <v>1082</v>
      </c>
      <c r="H197" s="49">
        <f>VLOOKUP($A197,'Data Vlaue (Cr)'!$C:$FB,44)</f>
        <v>584</v>
      </c>
      <c r="I197" s="49">
        <f>VLOOKUP($A197,'Data Vlaue (Cr)'!$C:$FB,46)*100</f>
        <v>85.11</v>
      </c>
      <c r="J197" s="51">
        <f>VLOOKUP($A197,'Data Vlaue (Cr)'!$C:$FB,59)</f>
        <v>3302</v>
      </c>
      <c r="K197" s="51">
        <f>VLOOKUP($A197,'Data Vlaue (Cr)'!$C:$FB,60)</f>
        <v>1612</v>
      </c>
      <c r="L197" s="51">
        <f>VLOOKUP($A197,'Data Vlaue (Cr)'!$C:$FB,62)*100</f>
        <v>104.85</v>
      </c>
      <c r="M197" s="51">
        <f>VLOOKUP($A197,'Data Vlaue (Cr)'!$C:$FB,63)</f>
        <v>1550</v>
      </c>
      <c r="N197" s="51">
        <f>VLOOKUP($A197,'Data Vlaue (Cr)'!$C:$FB,64)</f>
        <v>964</v>
      </c>
      <c r="O197" s="51">
        <f>VLOOKUP($A197,'Data Vlaue (Cr)'!$C:$FB,66)*100</f>
        <v>60.88</v>
      </c>
    </row>
    <row r="198" spans="1:15" x14ac:dyDescent="0.25">
      <c r="A198" s="101" t="str">
        <f>'Data Vlaue (Cr)'!C193</f>
        <v>SWIGGY</v>
      </c>
      <c r="B198" s="50">
        <f>VLOOKUP($A198,'Data Vlaue (Cr)'!$C:$FB,8)</f>
        <v>277.45</v>
      </c>
      <c r="C198" s="50">
        <f>VLOOKUP($A198,'Data Vlaue (Cr)'!$C:$FB,11)*100</f>
        <v>-1.05</v>
      </c>
      <c r="D198" s="50">
        <f>VLOOKUP($A198,'Data Vlaue (Cr)'!$C:$FB,143)</f>
        <v>917.92</v>
      </c>
      <c r="E198" s="50">
        <f>VLOOKUP($A198,'Data Vlaue (Cr)'!$C:$FB,144)</f>
        <v>942.6</v>
      </c>
      <c r="F198" s="50">
        <f>VLOOKUP($A198,'Data Vlaue (Cr)'!$C:$FB,146)*100</f>
        <v>-2.62</v>
      </c>
      <c r="G198" s="49">
        <f>VLOOKUP($A198,'Data Vlaue (Cr)'!$C:$FB,43)</f>
        <v>229</v>
      </c>
      <c r="H198" s="49">
        <f>VLOOKUP($A198,'Data Vlaue (Cr)'!$C:$FB,44)</f>
        <v>197</v>
      </c>
      <c r="I198" s="49">
        <f>VLOOKUP($A198,'Data Vlaue (Cr)'!$C:$FB,46)*100</f>
        <v>16.150000000000002</v>
      </c>
      <c r="J198" s="51">
        <f>VLOOKUP($A198,'Data Vlaue (Cr)'!$C:$FB,59)</f>
        <v>504</v>
      </c>
      <c r="K198" s="51">
        <f>VLOOKUP($A198,'Data Vlaue (Cr)'!$C:$FB,60)</f>
        <v>529</v>
      </c>
      <c r="L198" s="51">
        <f>VLOOKUP($A198,'Data Vlaue (Cr)'!$C:$FB,62)*100</f>
        <v>-4.7600000000000007</v>
      </c>
      <c r="M198" s="51">
        <f>VLOOKUP($A198,'Data Vlaue (Cr)'!$C:$FB,63)</f>
        <v>158</v>
      </c>
      <c r="N198" s="51">
        <f>VLOOKUP($A198,'Data Vlaue (Cr)'!$C:$FB,64)</f>
        <v>185</v>
      </c>
      <c r="O198" s="51">
        <f>VLOOKUP($A198,'Data Vlaue (Cr)'!$C:$FB,66)*100</f>
        <v>-14.540000000000001</v>
      </c>
    </row>
    <row r="199" spans="1:15" x14ac:dyDescent="0.25">
      <c r="A199" s="101" t="str">
        <f>'Data Vlaue (Cr)'!C194</f>
        <v>TATACONSUM</v>
      </c>
      <c r="B199" s="50">
        <f>VLOOKUP($A199,'Data Vlaue (Cr)'!$C:$FB,8)</f>
        <v>1113.2</v>
      </c>
      <c r="C199" s="50">
        <f>VLOOKUP($A199,'Data Vlaue (Cr)'!$C:$FB,11)*100</f>
        <v>0.96</v>
      </c>
      <c r="D199" s="50">
        <f>VLOOKUP($A199,'Data Vlaue (Cr)'!$C:$FB,143)</f>
        <v>1059.97</v>
      </c>
      <c r="E199" s="50">
        <f>VLOOKUP($A199,'Data Vlaue (Cr)'!$C:$FB,144)</f>
        <v>487.36</v>
      </c>
      <c r="F199" s="50">
        <f>VLOOKUP($A199,'Data Vlaue (Cr)'!$C:$FB,146)*100</f>
        <v>117.49000000000001</v>
      </c>
      <c r="G199" s="49">
        <f>VLOOKUP($A199,'Data Vlaue (Cr)'!$C:$FB,43)</f>
        <v>188</v>
      </c>
      <c r="H199" s="49">
        <f>VLOOKUP($A199,'Data Vlaue (Cr)'!$C:$FB,44)</f>
        <v>167</v>
      </c>
      <c r="I199" s="49">
        <f>VLOOKUP($A199,'Data Vlaue (Cr)'!$C:$FB,46)*100</f>
        <v>12.61</v>
      </c>
      <c r="J199" s="51">
        <f>VLOOKUP($A199,'Data Vlaue (Cr)'!$C:$FB,59)</f>
        <v>685</v>
      </c>
      <c r="K199" s="51">
        <f>VLOOKUP($A199,'Data Vlaue (Cr)'!$C:$FB,60)</f>
        <v>209</v>
      </c>
      <c r="L199" s="51">
        <f>VLOOKUP($A199,'Data Vlaue (Cr)'!$C:$FB,62)*100</f>
        <v>228.29000000000002</v>
      </c>
      <c r="M199" s="51">
        <f>VLOOKUP($A199,'Data Vlaue (Cr)'!$C:$FB,63)</f>
        <v>164</v>
      </c>
      <c r="N199" s="51">
        <f>VLOOKUP($A199,'Data Vlaue (Cr)'!$C:$FB,64)</f>
        <v>112</v>
      </c>
      <c r="O199" s="51">
        <f>VLOOKUP($A199,'Data Vlaue (Cr)'!$C:$FB,66)*100</f>
        <v>46.32</v>
      </c>
    </row>
    <row r="200" spans="1:15" x14ac:dyDescent="0.25">
      <c r="A200" s="101" t="str">
        <f>'Data Vlaue (Cr)'!C195</f>
        <v>TATAELXSI</v>
      </c>
      <c r="B200" s="50">
        <f>VLOOKUP($A200,'Data Vlaue (Cr)'!$C:$FB,8)</f>
        <v>4592.5</v>
      </c>
      <c r="C200" s="50">
        <f>VLOOKUP($A200,'Data Vlaue (Cr)'!$C:$FB,11)*100</f>
        <v>-0.02</v>
      </c>
      <c r="D200" s="50">
        <f>VLOOKUP($A200,'Data Vlaue (Cr)'!$C:$FB,143)</f>
        <v>1819.32</v>
      </c>
      <c r="E200" s="50">
        <f>VLOOKUP($A200,'Data Vlaue (Cr)'!$C:$FB,144)</f>
        <v>1436.81</v>
      </c>
      <c r="F200" s="50">
        <f>VLOOKUP($A200,'Data Vlaue (Cr)'!$C:$FB,146)*100</f>
        <v>26.619999999999997</v>
      </c>
      <c r="G200" s="49">
        <f>VLOOKUP($A200,'Data Vlaue (Cr)'!$C:$FB,43)</f>
        <v>238</v>
      </c>
      <c r="H200" s="49">
        <f>VLOOKUP($A200,'Data Vlaue (Cr)'!$C:$FB,44)</f>
        <v>290</v>
      </c>
      <c r="I200" s="49">
        <f>VLOOKUP($A200,'Data Vlaue (Cr)'!$C:$FB,46)*100</f>
        <v>-17.82</v>
      </c>
      <c r="J200" s="51">
        <f>VLOOKUP($A200,'Data Vlaue (Cr)'!$C:$FB,59)</f>
        <v>1067</v>
      </c>
      <c r="K200" s="51">
        <f>VLOOKUP($A200,'Data Vlaue (Cr)'!$C:$FB,60)</f>
        <v>765</v>
      </c>
      <c r="L200" s="51">
        <f>VLOOKUP($A200,'Data Vlaue (Cr)'!$C:$FB,62)*100</f>
        <v>39.36</v>
      </c>
      <c r="M200" s="51">
        <f>VLOOKUP($A200,'Data Vlaue (Cr)'!$C:$FB,63)</f>
        <v>448</v>
      </c>
      <c r="N200" s="51">
        <f>VLOOKUP($A200,'Data Vlaue (Cr)'!$C:$FB,64)</f>
        <v>356</v>
      </c>
      <c r="O200" s="51">
        <f>VLOOKUP($A200,'Data Vlaue (Cr)'!$C:$FB,66)*100</f>
        <v>25.929999999999996</v>
      </c>
    </row>
    <row r="201" spans="1:15" x14ac:dyDescent="0.25">
      <c r="A201" s="101" t="str">
        <f>'Data Vlaue (Cr)'!C196</f>
        <v>TATAPOWER</v>
      </c>
      <c r="B201" s="50">
        <f>VLOOKUP($A201,'Data Vlaue (Cr)'!$C:$FB,8)</f>
        <v>427.6</v>
      </c>
      <c r="C201" s="50">
        <f>VLOOKUP($A201,'Data Vlaue (Cr)'!$C:$FB,11)*100</f>
        <v>0.22999999999999998</v>
      </c>
      <c r="D201" s="50">
        <f>VLOOKUP($A201,'Data Vlaue (Cr)'!$C:$FB,143)</f>
        <v>4208.7</v>
      </c>
      <c r="E201" s="50">
        <f>VLOOKUP($A201,'Data Vlaue (Cr)'!$C:$FB,144)</f>
        <v>6617.1</v>
      </c>
      <c r="F201" s="50">
        <f>VLOOKUP($A201,'Data Vlaue (Cr)'!$C:$FB,146)*100</f>
        <v>-36.4</v>
      </c>
      <c r="G201" s="49">
        <f>VLOOKUP($A201,'Data Vlaue (Cr)'!$C:$FB,43)</f>
        <v>453</v>
      </c>
      <c r="H201" s="49">
        <f>VLOOKUP($A201,'Data Vlaue (Cr)'!$C:$FB,44)</f>
        <v>778</v>
      </c>
      <c r="I201" s="49">
        <f>VLOOKUP($A201,'Data Vlaue (Cr)'!$C:$FB,46)*100</f>
        <v>-41.81</v>
      </c>
      <c r="J201" s="51">
        <f>VLOOKUP($A201,'Data Vlaue (Cr)'!$C:$FB,59)</f>
        <v>2122</v>
      </c>
      <c r="K201" s="51">
        <f>VLOOKUP($A201,'Data Vlaue (Cr)'!$C:$FB,60)</f>
        <v>4127</v>
      </c>
      <c r="L201" s="51">
        <f>VLOOKUP($A201,'Data Vlaue (Cr)'!$C:$FB,62)*100</f>
        <v>-48.58</v>
      </c>
      <c r="M201" s="51">
        <f>VLOOKUP($A201,'Data Vlaue (Cr)'!$C:$FB,63)</f>
        <v>1583</v>
      </c>
      <c r="N201" s="51">
        <f>VLOOKUP($A201,'Data Vlaue (Cr)'!$C:$FB,64)</f>
        <v>1645</v>
      </c>
      <c r="O201" s="51">
        <f>VLOOKUP($A201,'Data Vlaue (Cr)'!$C:$FB,66)*100</f>
        <v>-3.8</v>
      </c>
    </row>
    <row r="202" spans="1:15" x14ac:dyDescent="0.25">
      <c r="A202" s="101" t="str">
        <f>'Data Vlaue (Cr)'!C197</f>
        <v>TATASTEEL</v>
      </c>
      <c r="B202" s="50">
        <f>VLOOKUP($A202,'Data Vlaue (Cr)'!$C:$FB,8)</f>
        <v>212.12</v>
      </c>
      <c r="C202" s="50">
        <f>VLOOKUP($A202,'Data Vlaue (Cr)'!$C:$FB,11)*100</f>
        <v>0.67999999999999994</v>
      </c>
      <c r="D202" s="50">
        <f>VLOOKUP($A202,'Data Vlaue (Cr)'!$C:$FB,143)</f>
        <v>4791.0600000000004</v>
      </c>
      <c r="E202" s="50">
        <f>VLOOKUP($A202,'Data Vlaue (Cr)'!$C:$FB,144)</f>
        <v>5806.32</v>
      </c>
      <c r="F202" s="50">
        <f>VLOOKUP($A202,'Data Vlaue (Cr)'!$C:$FB,146)*100</f>
        <v>-17.489999999999998</v>
      </c>
      <c r="G202" s="49">
        <f>VLOOKUP($A202,'Data Vlaue (Cr)'!$C:$FB,43)</f>
        <v>630</v>
      </c>
      <c r="H202" s="49">
        <f>VLOOKUP($A202,'Data Vlaue (Cr)'!$C:$FB,44)</f>
        <v>817</v>
      </c>
      <c r="I202" s="49">
        <f>VLOOKUP($A202,'Data Vlaue (Cr)'!$C:$FB,46)*100</f>
        <v>-22.869999999999997</v>
      </c>
      <c r="J202" s="51">
        <f>VLOOKUP($A202,'Data Vlaue (Cr)'!$C:$FB,59)</f>
        <v>2513</v>
      </c>
      <c r="K202" s="51">
        <f>VLOOKUP($A202,'Data Vlaue (Cr)'!$C:$FB,60)</f>
        <v>3254</v>
      </c>
      <c r="L202" s="51">
        <f>VLOOKUP($A202,'Data Vlaue (Cr)'!$C:$FB,62)*100</f>
        <v>-22.759999999999998</v>
      </c>
      <c r="M202" s="51">
        <f>VLOOKUP($A202,'Data Vlaue (Cr)'!$C:$FB,63)</f>
        <v>1631</v>
      </c>
      <c r="N202" s="51">
        <f>VLOOKUP($A202,'Data Vlaue (Cr)'!$C:$FB,64)</f>
        <v>1700</v>
      </c>
      <c r="O202" s="51">
        <f>VLOOKUP($A202,'Data Vlaue (Cr)'!$C:$FB,66)*100</f>
        <v>-4.09</v>
      </c>
    </row>
    <row r="203" spans="1:15" x14ac:dyDescent="0.25">
      <c r="A203" s="101" t="str">
        <f>'Data Vlaue (Cr)'!C198</f>
        <v>TATATECH</v>
      </c>
      <c r="B203" s="50">
        <f>VLOOKUP($A203,'Data Vlaue (Cr)'!$C:$FB,8)</f>
        <v>589.29999999999995</v>
      </c>
      <c r="C203" s="50">
        <f>VLOOKUP($A203,'Data Vlaue (Cr)'!$C:$FB,11)*100</f>
        <v>0.44</v>
      </c>
      <c r="D203" s="50">
        <f>VLOOKUP($A203,'Data Vlaue (Cr)'!$C:$FB,143)</f>
        <v>136.26</v>
      </c>
      <c r="E203" s="50">
        <f>VLOOKUP($A203,'Data Vlaue (Cr)'!$C:$FB,144)</f>
        <v>389.46</v>
      </c>
      <c r="F203" s="50">
        <f>VLOOKUP($A203,'Data Vlaue (Cr)'!$C:$FB,146)*100</f>
        <v>-65.010000000000005</v>
      </c>
      <c r="G203" s="49">
        <f>VLOOKUP($A203,'Data Vlaue (Cr)'!$C:$FB,43)</f>
        <v>30</v>
      </c>
      <c r="H203" s="49">
        <f>VLOOKUP($A203,'Data Vlaue (Cr)'!$C:$FB,44)</f>
        <v>66</v>
      </c>
      <c r="I203" s="49">
        <f>VLOOKUP($A203,'Data Vlaue (Cr)'!$C:$FB,46)*100</f>
        <v>-54.98</v>
      </c>
      <c r="J203" s="51">
        <f>VLOOKUP($A203,'Data Vlaue (Cr)'!$C:$FB,59)</f>
        <v>80</v>
      </c>
      <c r="K203" s="51">
        <f>VLOOKUP($A203,'Data Vlaue (Cr)'!$C:$FB,60)</f>
        <v>248</v>
      </c>
      <c r="L203" s="51">
        <f>VLOOKUP($A203,'Data Vlaue (Cr)'!$C:$FB,62)*100</f>
        <v>-67.930000000000007</v>
      </c>
      <c r="M203" s="51">
        <f>VLOOKUP($A203,'Data Vlaue (Cr)'!$C:$FB,63)</f>
        <v>25</v>
      </c>
      <c r="N203" s="51">
        <f>VLOOKUP($A203,'Data Vlaue (Cr)'!$C:$FB,64)</f>
        <v>70</v>
      </c>
      <c r="O203" s="51">
        <f>VLOOKUP($A203,'Data Vlaue (Cr)'!$C:$FB,66)*100</f>
        <v>-64.239999999999995</v>
      </c>
    </row>
    <row r="204" spans="1:15" x14ac:dyDescent="0.25">
      <c r="A204" s="101" t="str">
        <f>'Data Vlaue (Cr)'!C199</f>
        <v>TCS</v>
      </c>
      <c r="B204" s="50">
        <f>VLOOKUP($A204,'Data Vlaue (Cr)'!$C:$FB,8)</f>
        <v>2581.5</v>
      </c>
      <c r="C204" s="50">
        <f>VLOOKUP($A204,'Data Vlaue (Cr)'!$C:$FB,11)*100</f>
        <v>0.18</v>
      </c>
      <c r="D204" s="50">
        <f>VLOOKUP($A204,'Data Vlaue (Cr)'!$C:$FB,143)</f>
        <v>7718.46</v>
      </c>
      <c r="E204" s="50">
        <f>VLOOKUP($A204,'Data Vlaue (Cr)'!$C:$FB,144)</f>
        <v>11245.71</v>
      </c>
      <c r="F204" s="50">
        <f>VLOOKUP($A204,'Data Vlaue (Cr)'!$C:$FB,146)*100</f>
        <v>-31.369999999999997</v>
      </c>
      <c r="G204" s="49">
        <f>VLOOKUP($A204,'Data Vlaue (Cr)'!$C:$FB,43)</f>
        <v>740</v>
      </c>
      <c r="H204" s="49">
        <f>VLOOKUP($A204,'Data Vlaue (Cr)'!$C:$FB,44)</f>
        <v>1183</v>
      </c>
      <c r="I204" s="49">
        <f>VLOOKUP($A204,'Data Vlaue (Cr)'!$C:$FB,46)*100</f>
        <v>-37.43</v>
      </c>
      <c r="J204" s="51">
        <f>VLOOKUP($A204,'Data Vlaue (Cr)'!$C:$FB,59)</f>
        <v>4320</v>
      </c>
      <c r="K204" s="51">
        <f>VLOOKUP($A204,'Data Vlaue (Cr)'!$C:$FB,60)</f>
        <v>6379</v>
      </c>
      <c r="L204" s="51">
        <f>VLOOKUP($A204,'Data Vlaue (Cr)'!$C:$FB,62)*100</f>
        <v>-32.28</v>
      </c>
      <c r="M204" s="51">
        <f>VLOOKUP($A204,'Data Vlaue (Cr)'!$C:$FB,63)</f>
        <v>2518</v>
      </c>
      <c r="N204" s="51">
        <f>VLOOKUP($A204,'Data Vlaue (Cr)'!$C:$FB,64)</f>
        <v>3511</v>
      </c>
      <c r="O204" s="51">
        <f>VLOOKUP($A204,'Data Vlaue (Cr)'!$C:$FB,66)*100</f>
        <v>-28.27</v>
      </c>
    </row>
    <row r="205" spans="1:15" x14ac:dyDescent="0.25">
      <c r="A205" s="101" t="str">
        <f>'Data Vlaue (Cr)'!C200</f>
        <v>TECHM</v>
      </c>
      <c r="B205" s="50">
        <f>VLOOKUP($A205,'Data Vlaue (Cr)'!$C:$FB,8)</f>
        <v>1511.4</v>
      </c>
      <c r="C205" s="50">
        <f>VLOOKUP($A205,'Data Vlaue (Cr)'!$C:$FB,11)*100</f>
        <v>1.37</v>
      </c>
      <c r="D205" s="50">
        <f>VLOOKUP($A205,'Data Vlaue (Cr)'!$C:$FB,143)</f>
        <v>2964.48</v>
      </c>
      <c r="E205" s="50">
        <f>VLOOKUP($A205,'Data Vlaue (Cr)'!$C:$FB,144)</f>
        <v>1896.42</v>
      </c>
      <c r="F205" s="50">
        <f>VLOOKUP($A205,'Data Vlaue (Cr)'!$C:$FB,146)*100</f>
        <v>56.32</v>
      </c>
      <c r="G205" s="49">
        <f>VLOOKUP($A205,'Data Vlaue (Cr)'!$C:$FB,43)</f>
        <v>383</v>
      </c>
      <c r="H205" s="49">
        <f>VLOOKUP($A205,'Data Vlaue (Cr)'!$C:$FB,44)</f>
        <v>350</v>
      </c>
      <c r="I205" s="49">
        <f>VLOOKUP($A205,'Data Vlaue (Cr)'!$C:$FB,46)*100</f>
        <v>9.4499999999999993</v>
      </c>
      <c r="J205" s="51">
        <f>VLOOKUP($A205,'Data Vlaue (Cr)'!$C:$FB,59)</f>
        <v>1731</v>
      </c>
      <c r="K205" s="51">
        <f>VLOOKUP($A205,'Data Vlaue (Cr)'!$C:$FB,60)</f>
        <v>980</v>
      </c>
      <c r="L205" s="51">
        <f>VLOOKUP($A205,'Data Vlaue (Cr)'!$C:$FB,62)*100</f>
        <v>76.59</v>
      </c>
      <c r="M205" s="51">
        <f>VLOOKUP($A205,'Data Vlaue (Cr)'!$C:$FB,63)</f>
        <v>799</v>
      </c>
      <c r="N205" s="51">
        <f>VLOOKUP($A205,'Data Vlaue (Cr)'!$C:$FB,64)</f>
        <v>548</v>
      </c>
      <c r="O205" s="51">
        <f>VLOOKUP($A205,'Data Vlaue (Cr)'!$C:$FB,66)*100</f>
        <v>45.71</v>
      </c>
    </row>
    <row r="206" spans="1:15" x14ac:dyDescent="0.25">
      <c r="A206" s="101" t="str">
        <f>'Data Vlaue (Cr)'!C201</f>
        <v>TIINDIA</v>
      </c>
      <c r="B206" s="50">
        <f>VLOOKUP($A206,'Data Vlaue (Cr)'!$C:$FB,8)</f>
        <v>2790.2</v>
      </c>
      <c r="C206" s="50">
        <f>VLOOKUP($A206,'Data Vlaue (Cr)'!$C:$FB,11)*100</f>
        <v>1.35</v>
      </c>
      <c r="D206" s="50">
        <f>VLOOKUP($A206,'Data Vlaue (Cr)'!$C:$FB,143)</f>
        <v>406.25</v>
      </c>
      <c r="E206" s="50">
        <f>VLOOKUP($A206,'Data Vlaue (Cr)'!$C:$FB,144)</f>
        <v>283.13</v>
      </c>
      <c r="F206" s="50">
        <f>VLOOKUP($A206,'Data Vlaue (Cr)'!$C:$FB,146)*100</f>
        <v>43.49</v>
      </c>
      <c r="G206" s="49">
        <f>VLOOKUP($A206,'Data Vlaue (Cr)'!$C:$FB,43)</f>
        <v>79</v>
      </c>
      <c r="H206" s="49">
        <f>VLOOKUP($A206,'Data Vlaue (Cr)'!$C:$FB,44)</f>
        <v>89</v>
      </c>
      <c r="I206" s="49">
        <f>VLOOKUP($A206,'Data Vlaue (Cr)'!$C:$FB,46)*100</f>
        <v>-10.93</v>
      </c>
      <c r="J206" s="51">
        <f>VLOOKUP($A206,'Data Vlaue (Cr)'!$C:$FB,59)</f>
        <v>278</v>
      </c>
      <c r="K206" s="51">
        <f>VLOOKUP($A206,'Data Vlaue (Cr)'!$C:$FB,60)</f>
        <v>155</v>
      </c>
      <c r="L206" s="51">
        <f>VLOOKUP($A206,'Data Vlaue (Cr)'!$C:$FB,62)*100</f>
        <v>79.06</v>
      </c>
      <c r="M206" s="51">
        <f>VLOOKUP($A206,'Data Vlaue (Cr)'!$C:$FB,63)</f>
        <v>39</v>
      </c>
      <c r="N206" s="51">
        <f>VLOOKUP($A206,'Data Vlaue (Cr)'!$C:$FB,64)</f>
        <v>34</v>
      </c>
      <c r="O206" s="51">
        <f>VLOOKUP($A206,'Data Vlaue (Cr)'!$C:$FB,66)*100</f>
        <v>14.099999999999998</v>
      </c>
    </row>
    <row r="207" spans="1:15" x14ac:dyDescent="0.25">
      <c r="A207" s="101" t="str">
        <f>'Data Vlaue (Cr)'!C202</f>
        <v>TITAN</v>
      </c>
      <c r="B207" s="50">
        <f>VLOOKUP($A207,'Data Vlaue (Cr)'!$C:$FB,8)</f>
        <v>4525.8999999999996</v>
      </c>
      <c r="C207" s="50">
        <f>VLOOKUP($A207,'Data Vlaue (Cr)'!$C:$FB,11)*100</f>
        <v>1.4500000000000002</v>
      </c>
      <c r="D207" s="50">
        <f>VLOOKUP($A207,'Data Vlaue (Cr)'!$C:$FB,143)</f>
        <v>13007.91</v>
      </c>
      <c r="E207" s="50">
        <f>VLOOKUP($A207,'Data Vlaue (Cr)'!$C:$FB,144)</f>
        <v>3873.77</v>
      </c>
      <c r="F207" s="50">
        <f>VLOOKUP($A207,'Data Vlaue (Cr)'!$C:$FB,146)*100</f>
        <v>235.79</v>
      </c>
      <c r="G207" s="49">
        <f>VLOOKUP($A207,'Data Vlaue (Cr)'!$C:$FB,43)</f>
        <v>1446</v>
      </c>
      <c r="H207" s="49">
        <f>VLOOKUP($A207,'Data Vlaue (Cr)'!$C:$FB,44)</f>
        <v>773</v>
      </c>
      <c r="I207" s="49">
        <f>VLOOKUP($A207,'Data Vlaue (Cr)'!$C:$FB,46)*100</f>
        <v>87.1</v>
      </c>
      <c r="J207" s="51">
        <f>VLOOKUP($A207,'Data Vlaue (Cr)'!$C:$FB,59)</f>
        <v>6061</v>
      </c>
      <c r="K207" s="51">
        <f>VLOOKUP($A207,'Data Vlaue (Cr)'!$C:$FB,60)</f>
        <v>1789</v>
      </c>
      <c r="L207" s="51">
        <f>VLOOKUP($A207,'Data Vlaue (Cr)'!$C:$FB,62)*100</f>
        <v>238.81</v>
      </c>
      <c r="M207" s="51">
        <f>VLOOKUP($A207,'Data Vlaue (Cr)'!$C:$FB,63)</f>
        <v>5621</v>
      </c>
      <c r="N207" s="51">
        <f>VLOOKUP($A207,'Data Vlaue (Cr)'!$C:$FB,64)</f>
        <v>1292</v>
      </c>
      <c r="O207" s="51">
        <f>VLOOKUP($A207,'Data Vlaue (Cr)'!$C:$FB,66)*100</f>
        <v>335.13</v>
      </c>
    </row>
    <row r="208" spans="1:15" x14ac:dyDescent="0.25">
      <c r="A208" s="101" t="str">
        <f>'Data Vlaue (Cr)'!C203</f>
        <v>TMPV</v>
      </c>
      <c r="B208" s="50">
        <f>VLOOKUP($A208,'Data Vlaue (Cr)'!$C:$FB,8)</f>
        <v>360.1</v>
      </c>
      <c r="C208" s="50">
        <f>VLOOKUP($A208,'Data Vlaue (Cr)'!$C:$FB,11)*100</f>
        <v>1.0699999999999998</v>
      </c>
      <c r="D208" s="50">
        <f>VLOOKUP($A208,'Data Vlaue (Cr)'!$C:$FB,143)</f>
        <v>2480.38</v>
      </c>
      <c r="E208" s="50">
        <f>VLOOKUP($A208,'Data Vlaue (Cr)'!$C:$FB,144)</f>
        <v>2621.14</v>
      </c>
      <c r="F208" s="50">
        <f>VLOOKUP($A208,'Data Vlaue (Cr)'!$C:$FB,146)*100</f>
        <v>-5.37</v>
      </c>
      <c r="G208" s="49">
        <f>VLOOKUP($A208,'Data Vlaue (Cr)'!$C:$FB,43)</f>
        <v>326</v>
      </c>
      <c r="H208" s="49">
        <f>VLOOKUP($A208,'Data Vlaue (Cr)'!$C:$FB,44)</f>
        <v>348</v>
      </c>
      <c r="I208" s="49">
        <f>VLOOKUP($A208,'Data Vlaue (Cr)'!$C:$FB,46)*100</f>
        <v>-6.38</v>
      </c>
      <c r="J208" s="51">
        <f>VLOOKUP($A208,'Data Vlaue (Cr)'!$C:$FB,59)</f>
        <v>1256</v>
      </c>
      <c r="K208" s="51">
        <f>VLOOKUP($A208,'Data Vlaue (Cr)'!$C:$FB,60)</f>
        <v>1414</v>
      </c>
      <c r="L208" s="51">
        <f>VLOOKUP($A208,'Data Vlaue (Cr)'!$C:$FB,62)*100</f>
        <v>-11.129999999999999</v>
      </c>
      <c r="M208" s="51">
        <f>VLOOKUP($A208,'Data Vlaue (Cr)'!$C:$FB,63)</f>
        <v>871</v>
      </c>
      <c r="N208" s="51">
        <f>VLOOKUP($A208,'Data Vlaue (Cr)'!$C:$FB,64)</f>
        <v>842</v>
      </c>
      <c r="O208" s="51">
        <f>VLOOKUP($A208,'Data Vlaue (Cr)'!$C:$FB,66)*100</f>
        <v>3.39</v>
      </c>
    </row>
    <row r="209" spans="1:15" x14ac:dyDescent="0.25">
      <c r="A209" s="101" t="str">
        <f>'Data Vlaue (Cr)'!C204</f>
        <v>TORNTPHARM</v>
      </c>
      <c r="B209" s="50">
        <f>VLOOKUP($A209,'Data Vlaue (Cr)'!$C:$FB,8)</f>
        <v>4179.5</v>
      </c>
      <c r="C209" s="50">
        <f>VLOOKUP($A209,'Data Vlaue (Cr)'!$C:$FB,11)*100</f>
        <v>0.57000000000000006</v>
      </c>
      <c r="D209" s="50">
        <f>VLOOKUP($A209,'Data Vlaue (Cr)'!$C:$FB,143)</f>
        <v>535.52</v>
      </c>
      <c r="E209" s="50">
        <f>VLOOKUP($A209,'Data Vlaue (Cr)'!$C:$FB,144)</f>
        <v>586.97</v>
      </c>
      <c r="F209" s="50">
        <f>VLOOKUP($A209,'Data Vlaue (Cr)'!$C:$FB,146)*100</f>
        <v>-8.76</v>
      </c>
      <c r="G209" s="49">
        <f>VLOOKUP($A209,'Data Vlaue (Cr)'!$C:$FB,43)</f>
        <v>105</v>
      </c>
      <c r="H209" s="49">
        <f>VLOOKUP($A209,'Data Vlaue (Cr)'!$C:$FB,44)</f>
        <v>136</v>
      </c>
      <c r="I209" s="49">
        <f>VLOOKUP($A209,'Data Vlaue (Cr)'!$C:$FB,46)*100</f>
        <v>-22.82</v>
      </c>
      <c r="J209" s="51">
        <f>VLOOKUP($A209,'Data Vlaue (Cr)'!$C:$FB,59)</f>
        <v>293</v>
      </c>
      <c r="K209" s="51">
        <f>VLOOKUP($A209,'Data Vlaue (Cr)'!$C:$FB,60)</f>
        <v>246</v>
      </c>
      <c r="L209" s="51">
        <f>VLOOKUP($A209,'Data Vlaue (Cr)'!$C:$FB,62)*100</f>
        <v>19.12</v>
      </c>
      <c r="M209" s="51">
        <f>VLOOKUP($A209,'Data Vlaue (Cr)'!$C:$FB,63)</f>
        <v>137</v>
      </c>
      <c r="N209" s="51">
        <f>VLOOKUP($A209,'Data Vlaue (Cr)'!$C:$FB,64)</f>
        <v>215</v>
      </c>
      <c r="O209" s="51">
        <f>VLOOKUP($A209,'Data Vlaue (Cr)'!$C:$FB,66)*100</f>
        <v>-36.33</v>
      </c>
    </row>
    <row r="210" spans="1:15" x14ac:dyDescent="0.25">
      <c r="A210" s="101" t="str">
        <f>'Data Vlaue (Cr)'!C205</f>
        <v>TORNTPOWER</v>
      </c>
      <c r="B210" s="50">
        <f>VLOOKUP($A210,'Data Vlaue (Cr)'!$C:$FB,8)</f>
        <v>1565</v>
      </c>
      <c r="C210" s="50">
        <f>VLOOKUP($A210,'Data Vlaue (Cr)'!$C:$FB,11)*100</f>
        <v>2.85</v>
      </c>
      <c r="D210" s="50">
        <f>VLOOKUP($A210,'Data Vlaue (Cr)'!$C:$FB,143)</f>
        <v>459.87</v>
      </c>
      <c r="E210" s="50">
        <f>VLOOKUP($A210,'Data Vlaue (Cr)'!$C:$FB,144)</f>
        <v>289.97000000000003</v>
      </c>
      <c r="F210" s="50">
        <f>VLOOKUP($A210,'Data Vlaue (Cr)'!$C:$FB,146)*100</f>
        <v>58.589999999999996</v>
      </c>
      <c r="G210" s="49">
        <f>VLOOKUP($A210,'Data Vlaue (Cr)'!$C:$FB,43)</f>
        <v>88</v>
      </c>
      <c r="H210" s="49">
        <f>VLOOKUP($A210,'Data Vlaue (Cr)'!$C:$FB,44)</f>
        <v>63</v>
      </c>
      <c r="I210" s="49">
        <f>VLOOKUP($A210,'Data Vlaue (Cr)'!$C:$FB,46)*100</f>
        <v>41.49</v>
      </c>
      <c r="J210" s="51">
        <f>VLOOKUP($A210,'Data Vlaue (Cr)'!$C:$FB,59)</f>
        <v>288</v>
      </c>
      <c r="K210" s="51">
        <f>VLOOKUP($A210,'Data Vlaue (Cr)'!$C:$FB,60)</f>
        <v>185</v>
      </c>
      <c r="L210" s="51">
        <f>VLOOKUP($A210,'Data Vlaue (Cr)'!$C:$FB,62)*100</f>
        <v>55.559999999999995</v>
      </c>
      <c r="M210" s="51">
        <f>VLOOKUP($A210,'Data Vlaue (Cr)'!$C:$FB,63)</f>
        <v>81</v>
      </c>
      <c r="N210" s="51">
        <f>VLOOKUP($A210,'Data Vlaue (Cr)'!$C:$FB,64)</f>
        <v>45</v>
      </c>
      <c r="O210" s="51">
        <f>VLOOKUP($A210,'Data Vlaue (Cr)'!$C:$FB,66)*100</f>
        <v>78.53</v>
      </c>
    </row>
    <row r="211" spans="1:15" x14ac:dyDescent="0.25">
      <c r="A211" s="101" t="str">
        <f>'Data Vlaue (Cr)'!C206</f>
        <v>TRENT</v>
      </c>
      <c r="B211" s="50">
        <f>VLOOKUP($A211,'Data Vlaue (Cr)'!$C:$FB,8)</f>
        <v>4107.7</v>
      </c>
      <c r="C211" s="50">
        <f>VLOOKUP($A211,'Data Vlaue (Cr)'!$C:$FB,11)*100</f>
        <v>0.6</v>
      </c>
      <c r="D211" s="50">
        <f>VLOOKUP($A211,'Data Vlaue (Cr)'!$C:$FB,143)</f>
        <v>4484.8500000000004</v>
      </c>
      <c r="E211" s="50">
        <f>VLOOKUP($A211,'Data Vlaue (Cr)'!$C:$FB,144)</f>
        <v>6423.69</v>
      </c>
      <c r="F211" s="50">
        <f>VLOOKUP($A211,'Data Vlaue (Cr)'!$C:$FB,146)*100</f>
        <v>-30.18</v>
      </c>
      <c r="G211" s="49">
        <f>VLOOKUP($A211,'Data Vlaue (Cr)'!$C:$FB,43)</f>
        <v>458</v>
      </c>
      <c r="H211" s="49">
        <f>VLOOKUP($A211,'Data Vlaue (Cr)'!$C:$FB,44)</f>
        <v>644</v>
      </c>
      <c r="I211" s="49">
        <f>VLOOKUP($A211,'Data Vlaue (Cr)'!$C:$FB,46)*100</f>
        <v>-28.939999999999998</v>
      </c>
      <c r="J211" s="51">
        <f>VLOOKUP($A211,'Data Vlaue (Cr)'!$C:$FB,59)</f>
        <v>2660</v>
      </c>
      <c r="K211" s="51">
        <f>VLOOKUP($A211,'Data Vlaue (Cr)'!$C:$FB,60)</f>
        <v>3904</v>
      </c>
      <c r="L211" s="51">
        <f>VLOOKUP($A211,'Data Vlaue (Cr)'!$C:$FB,62)*100</f>
        <v>-31.869999999999997</v>
      </c>
      <c r="M211" s="51">
        <f>VLOOKUP($A211,'Data Vlaue (Cr)'!$C:$FB,63)</f>
        <v>1273</v>
      </c>
      <c r="N211" s="51">
        <f>VLOOKUP($A211,'Data Vlaue (Cr)'!$C:$FB,64)</f>
        <v>1845</v>
      </c>
      <c r="O211" s="51">
        <f>VLOOKUP($A211,'Data Vlaue (Cr)'!$C:$FB,66)*100</f>
        <v>-31.009999999999998</v>
      </c>
    </row>
    <row r="212" spans="1:15" x14ac:dyDescent="0.25">
      <c r="A212" s="101" t="str">
        <f>'Data Vlaue (Cr)'!C207</f>
        <v>TVSMOTOR</v>
      </c>
      <c r="B212" s="50">
        <f>VLOOKUP($A212,'Data Vlaue (Cr)'!$C:$FB,8)</f>
        <v>3735.8</v>
      </c>
      <c r="C212" s="50">
        <f>VLOOKUP($A212,'Data Vlaue (Cr)'!$C:$FB,11)*100</f>
        <v>-0.57000000000000006</v>
      </c>
      <c r="D212" s="50">
        <f>VLOOKUP($A212,'Data Vlaue (Cr)'!$C:$FB,143)</f>
        <v>1167.74</v>
      </c>
      <c r="E212" s="50">
        <f>VLOOKUP($A212,'Data Vlaue (Cr)'!$C:$FB,144)</f>
        <v>1118.26</v>
      </c>
      <c r="F212" s="50">
        <f>VLOOKUP($A212,'Data Vlaue (Cr)'!$C:$FB,146)*100</f>
        <v>4.42</v>
      </c>
      <c r="G212" s="49">
        <f>VLOOKUP($A212,'Data Vlaue (Cr)'!$C:$FB,43)</f>
        <v>462</v>
      </c>
      <c r="H212" s="49">
        <f>VLOOKUP($A212,'Data Vlaue (Cr)'!$C:$FB,44)</f>
        <v>207</v>
      </c>
      <c r="I212" s="49">
        <f>VLOOKUP($A212,'Data Vlaue (Cr)'!$C:$FB,46)*100</f>
        <v>122.97</v>
      </c>
      <c r="J212" s="51">
        <f>VLOOKUP($A212,'Data Vlaue (Cr)'!$C:$FB,59)</f>
        <v>422</v>
      </c>
      <c r="K212" s="51">
        <f>VLOOKUP($A212,'Data Vlaue (Cr)'!$C:$FB,60)</f>
        <v>568</v>
      </c>
      <c r="L212" s="51">
        <f>VLOOKUP($A212,'Data Vlaue (Cr)'!$C:$FB,62)*100</f>
        <v>-25.759999999999998</v>
      </c>
      <c r="M212" s="51">
        <f>VLOOKUP($A212,'Data Vlaue (Cr)'!$C:$FB,63)</f>
        <v>263</v>
      </c>
      <c r="N212" s="51">
        <f>VLOOKUP($A212,'Data Vlaue (Cr)'!$C:$FB,64)</f>
        <v>309</v>
      </c>
      <c r="O212" s="51">
        <f>VLOOKUP($A212,'Data Vlaue (Cr)'!$C:$FB,66)*100</f>
        <v>-14.99</v>
      </c>
    </row>
    <row r="213" spans="1:15" x14ac:dyDescent="0.25">
      <c r="A213" s="101" t="str">
        <f>'Data Vlaue (Cr)'!C208</f>
        <v>ULTRACEMCO</v>
      </c>
      <c r="B213" s="50">
        <f>VLOOKUP($A213,'Data Vlaue (Cr)'!$C:$FB,8)</f>
        <v>11886</v>
      </c>
      <c r="C213" s="50">
        <f>VLOOKUP($A213,'Data Vlaue (Cr)'!$C:$FB,11)*100</f>
        <v>0.51</v>
      </c>
      <c r="D213" s="50">
        <f>VLOOKUP($A213,'Data Vlaue (Cr)'!$C:$FB,143)</f>
        <v>1954.86</v>
      </c>
      <c r="E213" s="50">
        <f>VLOOKUP($A213,'Data Vlaue (Cr)'!$C:$FB,144)</f>
        <v>1630.11</v>
      </c>
      <c r="F213" s="50">
        <f>VLOOKUP($A213,'Data Vlaue (Cr)'!$C:$FB,146)*100</f>
        <v>19.919999999999998</v>
      </c>
      <c r="G213" s="49">
        <f>VLOOKUP($A213,'Data Vlaue (Cr)'!$C:$FB,43)</f>
        <v>483</v>
      </c>
      <c r="H213" s="49">
        <f>VLOOKUP($A213,'Data Vlaue (Cr)'!$C:$FB,44)</f>
        <v>442</v>
      </c>
      <c r="I213" s="49">
        <f>VLOOKUP($A213,'Data Vlaue (Cr)'!$C:$FB,46)*100</f>
        <v>9.19</v>
      </c>
      <c r="J213" s="51">
        <f>VLOOKUP($A213,'Data Vlaue (Cr)'!$C:$FB,59)</f>
        <v>1000</v>
      </c>
      <c r="K213" s="51">
        <f>VLOOKUP($A213,'Data Vlaue (Cr)'!$C:$FB,60)</f>
        <v>787</v>
      </c>
      <c r="L213" s="51">
        <f>VLOOKUP($A213,'Data Vlaue (Cr)'!$C:$FB,62)*100</f>
        <v>27.029999999999998</v>
      </c>
      <c r="M213" s="51">
        <f>VLOOKUP($A213,'Data Vlaue (Cr)'!$C:$FB,63)</f>
        <v>468</v>
      </c>
      <c r="N213" s="51">
        <f>VLOOKUP($A213,'Data Vlaue (Cr)'!$C:$FB,64)</f>
        <v>397</v>
      </c>
      <c r="O213" s="51">
        <f>VLOOKUP($A213,'Data Vlaue (Cr)'!$C:$FB,66)*100</f>
        <v>17.84</v>
      </c>
    </row>
    <row r="214" spans="1:15" x14ac:dyDescent="0.25">
      <c r="A214" s="101" t="str">
        <f>'Data Vlaue (Cr)'!C209</f>
        <v>UNIONBANK</v>
      </c>
      <c r="B214" s="50">
        <f>VLOOKUP($A214,'Data Vlaue (Cr)'!$C:$FB,8)</f>
        <v>188.91</v>
      </c>
      <c r="C214" s="50">
        <f>VLOOKUP($A214,'Data Vlaue (Cr)'!$C:$FB,11)*100</f>
        <v>0.22</v>
      </c>
      <c r="D214" s="50">
        <f>VLOOKUP($A214,'Data Vlaue (Cr)'!$C:$FB,143)</f>
        <v>1074.72</v>
      </c>
      <c r="E214" s="50">
        <f>VLOOKUP($A214,'Data Vlaue (Cr)'!$C:$FB,144)</f>
        <v>1309.95</v>
      </c>
      <c r="F214" s="50">
        <f>VLOOKUP($A214,'Data Vlaue (Cr)'!$C:$FB,146)*100</f>
        <v>-17.96</v>
      </c>
      <c r="G214" s="49">
        <f>VLOOKUP($A214,'Data Vlaue (Cr)'!$C:$FB,43)</f>
        <v>329</v>
      </c>
      <c r="H214" s="49">
        <f>VLOOKUP($A214,'Data Vlaue (Cr)'!$C:$FB,44)</f>
        <v>415</v>
      </c>
      <c r="I214" s="49">
        <f>VLOOKUP($A214,'Data Vlaue (Cr)'!$C:$FB,46)*100</f>
        <v>-20.74</v>
      </c>
      <c r="J214" s="51">
        <f>VLOOKUP($A214,'Data Vlaue (Cr)'!$C:$FB,59)</f>
        <v>470</v>
      </c>
      <c r="K214" s="51">
        <f>VLOOKUP($A214,'Data Vlaue (Cr)'!$C:$FB,60)</f>
        <v>535</v>
      </c>
      <c r="L214" s="51">
        <f>VLOOKUP($A214,'Data Vlaue (Cr)'!$C:$FB,62)*100</f>
        <v>-12.24</v>
      </c>
      <c r="M214" s="51">
        <f>VLOOKUP($A214,'Data Vlaue (Cr)'!$C:$FB,63)</f>
        <v>264</v>
      </c>
      <c r="N214" s="51">
        <f>VLOOKUP($A214,'Data Vlaue (Cr)'!$C:$FB,64)</f>
        <v>341</v>
      </c>
      <c r="O214" s="51">
        <f>VLOOKUP($A214,'Data Vlaue (Cr)'!$C:$FB,66)*100</f>
        <v>-22.36</v>
      </c>
    </row>
    <row r="215" spans="1:15" x14ac:dyDescent="0.25">
      <c r="A215" s="101" t="str">
        <f>'Data Vlaue (Cr)'!C210</f>
        <v>UNITDSPR</v>
      </c>
      <c r="B215" s="50">
        <f>VLOOKUP($A215,'Data Vlaue (Cr)'!$C:$FB,8)</f>
        <v>1302.9000000000001</v>
      </c>
      <c r="C215" s="50">
        <f>VLOOKUP($A215,'Data Vlaue (Cr)'!$C:$FB,11)*100</f>
        <v>3.8600000000000003</v>
      </c>
      <c r="D215" s="50">
        <f>VLOOKUP($A215,'Data Vlaue (Cr)'!$C:$FB,143)</f>
        <v>2957.92</v>
      </c>
      <c r="E215" s="50">
        <f>VLOOKUP($A215,'Data Vlaue (Cr)'!$C:$FB,144)</f>
        <v>877.52</v>
      </c>
      <c r="F215" s="50">
        <f>VLOOKUP($A215,'Data Vlaue (Cr)'!$C:$FB,146)*100</f>
        <v>237.08</v>
      </c>
      <c r="G215" s="49">
        <f>VLOOKUP($A215,'Data Vlaue (Cr)'!$C:$FB,43)</f>
        <v>417</v>
      </c>
      <c r="H215" s="49">
        <f>VLOOKUP($A215,'Data Vlaue (Cr)'!$C:$FB,44)</f>
        <v>220</v>
      </c>
      <c r="I215" s="49">
        <f>VLOOKUP($A215,'Data Vlaue (Cr)'!$C:$FB,46)*100</f>
        <v>89.64</v>
      </c>
      <c r="J215" s="51">
        <f>VLOOKUP($A215,'Data Vlaue (Cr)'!$C:$FB,59)</f>
        <v>1965</v>
      </c>
      <c r="K215" s="51">
        <f>VLOOKUP($A215,'Data Vlaue (Cr)'!$C:$FB,60)</f>
        <v>534</v>
      </c>
      <c r="L215" s="51">
        <f>VLOOKUP($A215,'Data Vlaue (Cr)'!$C:$FB,62)*100</f>
        <v>267.58000000000004</v>
      </c>
      <c r="M215" s="51">
        <f>VLOOKUP($A215,'Data Vlaue (Cr)'!$C:$FB,63)</f>
        <v>537</v>
      </c>
      <c r="N215" s="51">
        <f>VLOOKUP($A215,'Data Vlaue (Cr)'!$C:$FB,64)</f>
        <v>129</v>
      </c>
      <c r="O215" s="51">
        <f>VLOOKUP($A215,'Data Vlaue (Cr)'!$C:$FB,66)*100</f>
        <v>316.75</v>
      </c>
    </row>
    <row r="216" spans="1:15" x14ac:dyDescent="0.25">
      <c r="A216" s="101" t="str">
        <f>'Data Vlaue (Cr)'!C211</f>
        <v>UNOMINDA</v>
      </c>
      <c r="B216" s="50">
        <f>VLOOKUP($A216,'Data Vlaue (Cr)'!$C:$FB,8)</f>
        <v>1097.8</v>
      </c>
      <c r="C216" s="50">
        <f>VLOOKUP($A216,'Data Vlaue (Cr)'!$C:$FB,11)*100</f>
        <v>-1.05</v>
      </c>
      <c r="D216" s="50">
        <f>VLOOKUP($A216,'Data Vlaue (Cr)'!$C:$FB,143)</f>
        <v>231.34</v>
      </c>
      <c r="E216" s="50">
        <f>VLOOKUP($A216,'Data Vlaue (Cr)'!$C:$FB,144)</f>
        <v>191.1</v>
      </c>
      <c r="F216" s="50">
        <f>VLOOKUP($A216,'Data Vlaue (Cr)'!$C:$FB,146)*100</f>
        <v>21.05</v>
      </c>
      <c r="G216" s="49">
        <f>VLOOKUP($A216,'Data Vlaue (Cr)'!$C:$FB,43)</f>
        <v>51</v>
      </c>
      <c r="H216" s="49">
        <f>VLOOKUP($A216,'Data Vlaue (Cr)'!$C:$FB,44)</f>
        <v>71</v>
      </c>
      <c r="I216" s="49">
        <f>VLOOKUP($A216,'Data Vlaue (Cr)'!$C:$FB,46)*100</f>
        <v>-27.98</v>
      </c>
      <c r="J216" s="51">
        <f>VLOOKUP($A216,'Data Vlaue (Cr)'!$C:$FB,59)</f>
        <v>141</v>
      </c>
      <c r="K216" s="51">
        <f>VLOOKUP($A216,'Data Vlaue (Cr)'!$C:$FB,60)</f>
        <v>93</v>
      </c>
      <c r="L216" s="51">
        <f>VLOOKUP($A216,'Data Vlaue (Cr)'!$C:$FB,62)*100</f>
        <v>51.1</v>
      </c>
      <c r="M216" s="51">
        <f>VLOOKUP($A216,'Data Vlaue (Cr)'!$C:$FB,63)</f>
        <v>31</v>
      </c>
      <c r="N216" s="51">
        <f>VLOOKUP($A216,'Data Vlaue (Cr)'!$C:$FB,64)</f>
        <v>21</v>
      </c>
      <c r="O216" s="51">
        <f>VLOOKUP($A216,'Data Vlaue (Cr)'!$C:$FB,66)*100</f>
        <v>52.05</v>
      </c>
    </row>
    <row r="217" spans="1:15" x14ac:dyDescent="0.25">
      <c r="A217" s="101" t="str">
        <f>'Data Vlaue (Cr)'!C212</f>
        <v>UPL</v>
      </c>
      <c r="B217" s="50">
        <f>VLOOKUP($A217,'Data Vlaue (Cr)'!$C:$FB,8)</f>
        <v>664.7</v>
      </c>
      <c r="C217" s="50">
        <f>VLOOKUP($A217,'Data Vlaue (Cr)'!$C:$FB,11)*100</f>
        <v>0.72</v>
      </c>
      <c r="D217" s="50">
        <f>VLOOKUP($A217,'Data Vlaue (Cr)'!$C:$FB,143)</f>
        <v>999.64</v>
      </c>
      <c r="E217" s="50">
        <f>VLOOKUP($A217,'Data Vlaue (Cr)'!$C:$FB,144)</f>
        <v>1496</v>
      </c>
      <c r="F217" s="50">
        <f>VLOOKUP($A217,'Data Vlaue (Cr)'!$C:$FB,146)*100</f>
        <v>-33.18</v>
      </c>
      <c r="G217" s="49">
        <f>VLOOKUP($A217,'Data Vlaue (Cr)'!$C:$FB,43)</f>
        <v>184</v>
      </c>
      <c r="H217" s="49">
        <f>VLOOKUP($A217,'Data Vlaue (Cr)'!$C:$FB,44)</f>
        <v>306</v>
      </c>
      <c r="I217" s="49">
        <f>VLOOKUP($A217,'Data Vlaue (Cr)'!$C:$FB,46)*100</f>
        <v>-39.979999999999997</v>
      </c>
      <c r="J217" s="51">
        <f>VLOOKUP($A217,'Data Vlaue (Cr)'!$C:$FB,59)</f>
        <v>467</v>
      </c>
      <c r="K217" s="51">
        <f>VLOOKUP($A217,'Data Vlaue (Cr)'!$C:$FB,60)</f>
        <v>785</v>
      </c>
      <c r="L217" s="51">
        <f>VLOOKUP($A217,'Data Vlaue (Cr)'!$C:$FB,62)*100</f>
        <v>-40.47</v>
      </c>
      <c r="M217" s="51">
        <f>VLOOKUP($A217,'Data Vlaue (Cr)'!$C:$FB,63)</f>
        <v>338</v>
      </c>
      <c r="N217" s="51">
        <f>VLOOKUP($A217,'Data Vlaue (Cr)'!$C:$FB,64)</f>
        <v>394</v>
      </c>
      <c r="O217" s="51">
        <f>VLOOKUP($A217,'Data Vlaue (Cr)'!$C:$FB,66)*100</f>
        <v>-14.149999999999999</v>
      </c>
    </row>
    <row r="218" spans="1:15" x14ac:dyDescent="0.25">
      <c r="A218" s="101" t="str">
        <f>'Data Vlaue (Cr)'!C213</f>
        <v>VBL</v>
      </c>
      <c r="B218" s="50">
        <f>VLOOKUP($A218,'Data Vlaue (Cr)'!$C:$FB,8)</f>
        <v>473.9</v>
      </c>
      <c r="C218" s="50">
        <f>VLOOKUP($A218,'Data Vlaue (Cr)'!$C:$FB,11)*100</f>
        <v>2.93</v>
      </c>
      <c r="D218" s="50">
        <f>VLOOKUP($A218,'Data Vlaue (Cr)'!$C:$FB,143)</f>
        <v>3107.66</v>
      </c>
      <c r="E218" s="50">
        <f>VLOOKUP($A218,'Data Vlaue (Cr)'!$C:$FB,144)</f>
        <v>2708.19</v>
      </c>
      <c r="F218" s="50">
        <f>VLOOKUP($A218,'Data Vlaue (Cr)'!$C:$FB,146)*100</f>
        <v>14.75</v>
      </c>
      <c r="G218" s="49">
        <f>VLOOKUP($A218,'Data Vlaue (Cr)'!$C:$FB,43)</f>
        <v>725</v>
      </c>
      <c r="H218" s="49">
        <f>VLOOKUP($A218,'Data Vlaue (Cr)'!$C:$FB,44)</f>
        <v>603</v>
      </c>
      <c r="I218" s="49">
        <f>VLOOKUP($A218,'Data Vlaue (Cr)'!$C:$FB,46)*100</f>
        <v>20.25</v>
      </c>
      <c r="J218" s="51">
        <f>VLOOKUP($A218,'Data Vlaue (Cr)'!$C:$FB,59)</f>
        <v>1625</v>
      </c>
      <c r="K218" s="51">
        <f>VLOOKUP($A218,'Data Vlaue (Cr)'!$C:$FB,60)</f>
        <v>1445</v>
      </c>
      <c r="L218" s="51">
        <f>VLOOKUP($A218,'Data Vlaue (Cr)'!$C:$FB,62)*100</f>
        <v>12.5</v>
      </c>
      <c r="M218" s="51">
        <f>VLOOKUP($A218,'Data Vlaue (Cr)'!$C:$FB,63)</f>
        <v>731</v>
      </c>
      <c r="N218" s="51">
        <f>VLOOKUP($A218,'Data Vlaue (Cr)'!$C:$FB,64)</f>
        <v>704</v>
      </c>
      <c r="O218" s="51">
        <f>VLOOKUP($A218,'Data Vlaue (Cr)'!$C:$FB,66)*100</f>
        <v>3.7900000000000005</v>
      </c>
    </row>
    <row r="219" spans="1:15" x14ac:dyDescent="0.25">
      <c r="A219" s="101" t="str">
        <f>'Data Vlaue (Cr)'!C214</f>
        <v>VEDL</v>
      </c>
      <c r="B219" s="50">
        <f>VLOOKUP($A219,'Data Vlaue (Cr)'!$C:$FB,8)</f>
        <v>787.5</v>
      </c>
      <c r="C219" s="50">
        <f>VLOOKUP($A219,'Data Vlaue (Cr)'!$C:$FB,11)*100</f>
        <v>0.59</v>
      </c>
      <c r="D219" s="50">
        <f>VLOOKUP($A219,'Data Vlaue (Cr)'!$C:$FB,143)</f>
        <v>7146.54</v>
      </c>
      <c r="E219" s="50">
        <f>VLOOKUP($A219,'Data Vlaue (Cr)'!$C:$FB,144)</f>
        <v>9018.44</v>
      </c>
      <c r="F219" s="50">
        <f>VLOOKUP($A219,'Data Vlaue (Cr)'!$C:$FB,146)*100</f>
        <v>-20.76</v>
      </c>
      <c r="G219" s="49">
        <f>VLOOKUP($A219,'Data Vlaue (Cr)'!$C:$FB,43)</f>
        <v>880</v>
      </c>
      <c r="H219" s="49">
        <f>VLOOKUP($A219,'Data Vlaue (Cr)'!$C:$FB,44)</f>
        <v>986</v>
      </c>
      <c r="I219" s="49">
        <f>VLOOKUP($A219,'Data Vlaue (Cr)'!$C:$FB,46)*100</f>
        <v>-10.66</v>
      </c>
      <c r="J219" s="51">
        <f>VLOOKUP($A219,'Data Vlaue (Cr)'!$C:$FB,59)</f>
        <v>3681</v>
      </c>
      <c r="K219" s="51">
        <f>VLOOKUP($A219,'Data Vlaue (Cr)'!$C:$FB,60)</f>
        <v>4925</v>
      </c>
      <c r="L219" s="51">
        <f>VLOOKUP($A219,'Data Vlaue (Cr)'!$C:$FB,62)*100</f>
        <v>-25.259999999999998</v>
      </c>
      <c r="M219" s="51">
        <f>VLOOKUP($A219,'Data Vlaue (Cr)'!$C:$FB,63)</f>
        <v>2560</v>
      </c>
      <c r="N219" s="51">
        <f>VLOOKUP($A219,'Data Vlaue (Cr)'!$C:$FB,64)</f>
        <v>3097</v>
      </c>
      <c r="O219" s="51">
        <f>VLOOKUP($A219,'Data Vlaue (Cr)'!$C:$FB,66)*100</f>
        <v>-17.34</v>
      </c>
    </row>
    <row r="220" spans="1:15" x14ac:dyDescent="0.25">
      <c r="A220" s="101" t="str">
        <f>'Data Vlaue (Cr)'!C215</f>
        <v>VMM</v>
      </c>
      <c r="B220" s="50">
        <f>VLOOKUP($A220,'Data Vlaue (Cr)'!$C:$FB,8)</f>
        <v>118.95</v>
      </c>
      <c r="C220" s="50">
        <f>VLOOKUP($A220,'Data Vlaue (Cr)'!$C:$FB,11)*100</f>
        <v>1.1900000000000002</v>
      </c>
      <c r="D220" s="50">
        <f>VLOOKUP($A220,'Data Vlaue (Cr)'!$C:$FB,143)</f>
        <v>335.93</v>
      </c>
      <c r="E220" s="50">
        <f>VLOOKUP($A220,'Data Vlaue (Cr)'!$C:$FB,144)</f>
        <v>90.34</v>
      </c>
      <c r="F220" s="50">
        <f>VLOOKUP($A220,'Data Vlaue (Cr)'!$C:$FB,146)*100</f>
        <v>271.85000000000002</v>
      </c>
      <c r="G220" s="49">
        <f>VLOOKUP($A220,'Data Vlaue (Cr)'!$C:$FB,43)</f>
        <v>153</v>
      </c>
      <c r="H220" s="49">
        <f>VLOOKUP($A220,'Data Vlaue (Cr)'!$C:$FB,44)</f>
        <v>51</v>
      </c>
      <c r="I220" s="49">
        <f>VLOOKUP($A220,'Data Vlaue (Cr)'!$C:$FB,46)*100</f>
        <v>196.42</v>
      </c>
      <c r="J220" s="51">
        <f>VLOOKUP($A220,'Data Vlaue (Cr)'!$C:$FB,59)</f>
        <v>152</v>
      </c>
      <c r="K220" s="51">
        <f>VLOOKUP($A220,'Data Vlaue (Cr)'!$C:$FB,60)</f>
        <v>27</v>
      </c>
      <c r="L220" s="51">
        <f>VLOOKUP($A220,'Data Vlaue (Cr)'!$C:$FB,62)*100</f>
        <v>465.09999999999997</v>
      </c>
      <c r="M220" s="51">
        <f>VLOOKUP($A220,'Data Vlaue (Cr)'!$C:$FB,63)</f>
        <v>26</v>
      </c>
      <c r="N220" s="51">
        <f>VLOOKUP($A220,'Data Vlaue (Cr)'!$C:$FB,64)</f>
        <v>13</v>
      </c>
      <c r="O220" s="51">
        <f>VLOOKUP($A220,'Data Vlaue (Cr)'!$C:$FB,66)*100</f>
        <v>105.86</v>
      </c>
    </row>
    <row r="221" spans="1:15" x14ac:dyDescent="0.25">
      <c r="A221" s="101" t="str">
        <f>'Data Vlaue (Cr)'!C216</f>
        <v>VOLTAS</v>
      </c>
      <c r="B221" s="50">
        <f>VLOOKUP($A221,'Data Vlaue (Cr)'!$C:$FB,8)</f>
        <v>1440.1</v>
      </c>
      <c r="C221" s="50">
        <f>VLOOKUP($A221,'Data Vlaue (Cr)'!$C:$FB,11)*100</f>
        <v>2.2200000000000002</v>
      </c>
      <c r="D221" s="50">
        <f>VLOOKUP($A221,'Data Vlaue (Cr)'!$C:$FB,143)</f>
        <v>2170.27</v>
      </c>
      <c r="E221" s="50">
        <f>VLOOKUP($A221,'Data Vlaue (Cr)'!$C:$FB,144)</f>
        <v>1893.82</v>
      </c>
      <c r="F221" s="50">
        <f>VLOOKUP($A221,'Data Vlaue (Cr)'!$C:$FB,146)*100</f>
        <v>14.6</v>
      </c>
      <c r="G221" s="49">
        <f>VLOOKUP($A221,'Data Vlaue (Cr)'!$C:$FB,43)</f>
        <v>274</v>
      </c>
      <c r="H221" s="49">
        <f>VLOOKUP($A221,'Data Vlaue (Cr)'!$C:$FB,44)</f>
        <v>314</v>
      </c>
      <c r="I221" s="49">
        <f>VLOOKUP($A221,'Data Vlaue (Cr)'!$C:$FB,46)*100</f>
        <v>-12.83</v>
      </c>
      <c r="J221" s="51">
        <f>VLOOKUP($A221,'Data Vlaue (Cr)'!$C:$FB,59)</f>
        <v>1248</v>
      </c>
      <c r="K221" s="51">
        <f>VLOOKUP($A221,'Data Vlaue (Cr)'!$C:$FB,60)</f>
        <v>1051</v>
      </c>
      <c r="L221" s="51">
        <f>VLOOKUP($A221,'Data Vlaue (Cr)'!$C:$FB,62)*100</f>
        <v>18.77</v>
      </c>
      <c r="M221" s="51">
        <f>VLOOKUP($A221,'Data Vlaue (Cr)'!$C:$FB,63)</f>
        <v>644</v>
      </c>
      <c r="N221" s="51">
        <f>VLOOKUP($A221,'Data Vlaue (Cr)'!$C:$FB,64)</f>
        <v>545</v>
      </c>
      <c r="O221" s="51">
        <f>VLOOKUP($A221,'Data Vlaue (Cr)'!$C:$FB,66)*100</f>
        <v>18.04</v>
      </c>
    </row>
    <row r="222" spans="1:15" x14ac:dyDescent="0.25">
      <c r="A222" s="101" t="str">
        <f>'Data Vlaue (Cr)'!C217</f>
        <v>WAAREEENER</v>
      </c>
      <c r="B222" s="50">
        <f>VLOOKUP($A222,'Data Vlaue (Cr)'!$C:$FB,8)</f>
        <v>3466.2</v>
      </c>
      <c r="C222" s="50">
        <f>VLOOKUP($A222,'Data Vlaue (Cr)'!$C:$FB,11)*100</f>
        <v>0.8</v>
      </c>
      <c r="D222" s="50">
        <f>VLOOKUP($A222,'Data Vlaue (Cr)'!$C:$FB,143)</f>
        <v>4355.2700000000004</v>
      </c>
      <c r="E222" s="50">
        <f>VLOOKUP($A222,'Data Vlaue (Cr)'!$C:$FB,144)</f>
        <v>2169.7199999999998</v>
      </c>
      <c r="F222" s="50">
        <f>VLOOKUP($A222,'Data Vlaue (Cr)'!$C:$FB,146)*100</f>
        <v>100.73</v>
      </c>
      <c r="G222" s="49">
        <f>VLOOKUP($A222,'Data Vlaue (Cr)'!$C:$FB,43)</f>
        <v>663</v>
      </c>
      <c r="H222" s="49">
        <f>VLOOKUP($A222,'Data Vlaue (Cr)'!$C:$FB,44)</f>
        <v>310</v>
      </c>
      <c r="I222" s="49">
        <f>VLOOKUP($A222,'Data Vlaue (Cr)'!$C:$FB,46)*100</f>
        <v>113.74</v>
      </c>
      <c r="J222" s="51">
        <f>VLOOKUP($A222,'Data Vlaue (Cr)'!$C:$FB,59)</f>
        <v>2437</v>
      </c>
      <c r="K222" s="51">
        <f>VLOOKUP($A222,'Data Vlaue (Cr)'!$C:$FB,60)</f>
        <v>1098</v>
      </c>
      <c r="L222" s="51">
        <f>VLOOKUP($A222,'Data Vlaue (Cr)'!$C:$FB,62)*100</f>
        <v>122.02</v>
      </c>
      <c r="M222" s="51">
        <f>VLOOKUP($A222,'Data Vlaue (Cr)'!$C:$FB,63)</f>
        <v>1205</v>
      </c>
      <c r="N222" s="51">
        <f>VLOOKUP($A222,'Data Vlaue (Cr)'!$C:$FB,64)</f>
        <v>793</v>
      </c>
      <c r="O222" s="51">
        <f>VLOOKUP($A222,'Data Vlaue (Cr)'!$C:$FB,66)*100</f>
        <v>51.93</v>
      </c>
    </row>
    <row r="223" spans="1:15" x14ac:dyDescent="0.25">
      <c r="A223" s="101" t="str">
        <f>'Data Vlaue (Cr)'!C218</f>
        <v>WIPRO</v>
      </c>
      <c r="B223" s="50">
        <f>VLOOKUP($A223,'Data Vlaue (Cr)'!$C:$FB,8)</f>
        <v>204.32</v>
      </c>
      <c r="C223" s="50">
        <f>VLOOKUP($A223,'Data Vlaue (Cr)'!$C:$FB,11)*100</f>
        <v>-2.83</v>
      </c>
      <c r="D223" s="50">
        <f>VLOOKUP($A223,'Data Vlaue (Cr)'!$C:$FB,143)</f>
        <v>16616.830000000002</v>
      </c>
      <c r="E223" s="50">
        <f>VLOOKUP($A223,'Data Vlaue (Cr)'!$C:$FB,144)</f>
        <v>9151.76</v>
      </c>
      <c r="F223" s="50">
        <f>VLOOKUP($A223,'Data Vlaue (Cr)'!$C:$FB,146)*100</f>
        <v>81.569999999999993</v>
      </c>
      <c r="G223" s="49">
        <f>VLOOKUP($A223,'Data Vlaue (Cr)'!$C:$FB,43)</f>
        <v>2309</v>
      </c>
      <c r="H223" s="49">
        <f>VLOOKUP($A223,'Data Vlaue (Cr)'!$C:$FB,44)</f>
        <v>1331</v>
      </c>
      <c r="I223" s="49">
        <f>VLOOKUP($A223,'Data Vlaue (Cr)'!$C:$FB,46)*100</f>
        <v>73.45</v>
      </c>
      <c r="J223" s="51">
        <f>VLOOKUP($A223,'Data Vlaue (Cr)'!$C:$FB,59)</f>
        <v>9146</v>
      </c>
      <c r="K223" s="51">
        <f>VLOOKUP($A223,'Data Vlaue (Cr)'!$C:$FB,60)</f>
        <v>5114</v>
      </c>
      <c r="L223" s="51">
        <f>VLOOKUP($A223,'Data Vlaue (Cr)'!$C:$FB,62)*100</f>
        <v>78.84</v>
      </c>
      <c r="M223" s="51">
        <f>VLOOKUP($A223,'Data Vlaue (Cr)'!$C:$FB,63)</f>
        <v>4715</v>
      </c>
      <c r="N223" s="51">
        <f>VLOOKUP($A223,'Data Vlaue (Cr)'!$C:$FB,64)</f>
        <v>2252</v>
      </c>
      <c r="O223" s="51">
        <f>VLOOKUP($A223,'Data Vlaue (Cr)'!$C:$FB,66)*100</f>
        <v>109.42</v>
      </c>
    </row>
    <row r="224" spans="1:15" x14ac:dyDescent="0.25">
      <c r="A224" s="101" t="str">
        <f>'Data Vlaue (Cr)'!C219</f>
        <v>YESBANK</v>
      </c>
      <c r="B224" s="50">
        <f>VLOOKUP($A224,'Data Vlaue (Cr)'!$C:$FB,8)</f>
        <v>20.190000000000001</v>
      </c>
      <c r="C224" s="50">
        <f>VLOOKUP($A224,'Data Vlaue (Cr)'!$C:$FB,11)*100</f>
        <v>1.2</v>
      </c>
      <c r="D224" s="50">
        <f>VLOOKUP($A224,'Data Vlaue (Cr)'!$C:$FB,143)</f>
        <v>3873.05</v>
      </c>
      <c r="E224" s="50">
        <f>VLOOKUP($A224,'Data Vlaue (Cr)'!$C:$FB,144)</f>
        <v>2805.96</v>
      </c>
      <c r="F224" s="50">
        <f>VLOOKUP($A224,'Data Vlaue (Cr)'!$C:$FB,146)*100</f>
        <v>38.03</v>
      </c>
      <c r="G224" s="49">
        <f>VLOOKUP($A224,'Data Vlaue (Cr)'!$C:$FB,43)</f>
        <v>568</v>
      </c>
      <c r="H224" s="49">
        <f>VLOOKUP($A224,'Data Vlaue (Cr)'!$C:$FB,44)</f>
        <v>554</v>
      </c>
      <c r="I224" s="49">
        <f>VLOOKUP($A224,'Data Vlaue (Cr)'!$C:$FB,46)*100</f>
        <v>2.4899999999999998</v>
      </c>
      <c r="J224" s="51">
        <f>VLOOKUP($A224,'Data Vlaue (Cr)'!$C:$FB,59)</f>
        <v>2559</v>
      </c>
      <c r="K224" s="51">
        <f>VLOOKUP($A224,'Data Vlaue (Cr)'!$C:$FB,60)</f>
        <v>1651</v>
      </c>
      <c r="L224" s="51">
        <f>VLOOKUP($A224,'Data Vlaue (Cr)'!$C:$FB,62)*100</f>
        <v>55.05</v>
      </c>
      <c r="M224" s="51">
        <f>VLOOKUP($A224,'Data Vlaue (Cr)'!$C:$FB,63)</f>
        <v>528</v>
      </c>
      <c r="N224" s="51">
        <f>VLOOKUP($A224,'Data Vlaue (Cr)'!$C:$FB,64)</f>
        <v>559</v>
      </c>
      <c r="O224" s="51">
        <f>VLOOKUP($A224,'Data Vlaue (Cr)'!$C:$FB,66)*100</f>
        <v>-5.5100000000000007</v>
      </c>
    </row>
    <row r="225" spans="1:15" x14ac:dyDescent="0.25">
      <c r="A225" s="101" t="str">
        <f>'Data Vlaue (Cr)'!C220</f>
        <v>ZYDUSLIFE</v>
      </c>
      <c r="B225" s="50">
        <f>VLOOKUP($A225,'Data Vlaue (Cr)'!$C:$FB,8)</f>
        <v>943.95</v>
      </c>
      <c r="C225" s="50">
        <f>VLOOKUP($A225,'Data Vlaue (Cr)'!$C:$FB,11)*100</f>
        <v>0.52</v>
      </c>
      <c r="D225" s="50">
        <f>VLOOKUP($A225,'Data Vlaue (Cr)'!$C:$FB,143)</f>
        <v>549.94000000000005</v>
      </c>
      <c r="E225" s="50">
        <f>VLOOKUP($A225,'Data Vlaue (Cr)'!$C:$FB,144)</f>
        <v>460.29</v>
      </c>
      <c r="F225" s="50">
        <f>VLOOKUP($A225,'Data Vlaue (Cr)'!$C:$FB,146)*100</f>
        <v>19.48</v>
      </c>
      <c r="G225" s="49">
        <f>VLOOKUP($A225,'Data Vlaue (Cr)'!$C:$FB,43)</f>
        <v>77</v>
      </c>
      <c r="H225" s="49">
        <f>VLOOKUP($A225,'Data Vlaue (Cr)'!$C:$FB,44)</f>
        <v>131</v>
      </c>
      <c r="I225" s="49">
        <f>VLOOKUP($A225,'Data Vlaue (Cr)'!$C:$FB,46)*100</f>
        <v>-40.97</v>
      </c>
      <c r="J225" s="51">
        <f>VLOOKUP($A225,'Data Vlaue (Cr)'!$C:$FB,59)</f>
        <v>344</v>
      </c>
      <c r="K225" s="51">
        <f>VLOOKUP($A225,'Data Vlaue (Cr)'!$C:$FB,60)</f>
        <v>252</v>
      </c>
      <c r="L225" s="51">
        <f>VLOOKUP($A225,'Data Vlaue (Cr)'!$C:$FB,62)*100</f>
        <v>36.770000000000003</v>
      </c>
      <c r="M225" s="51">
        <f>VLOOKUP($A225,'Data Vlaue (Cr)'!$C:$FB,63)</f>
        <v>125</v>
      </c>
      <c r="N225" s="51">
        <f>VLOOKUP($A225,'Data Vlaue (Cr)'!$C:$FB,64)</f>
        <v>75</v>
      </c>
      <c r="O225" s="51">
        <f>VLOOKUP($A225,'Data Vlaue (Cr)'!$C:$FB,66)*100</f>
        <v>67.430000000000007</v>
      </c>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12163201.860000001</v>
      </c>
      <c r="E232" s="131">
        <f>SUM(E7:E231)</f>
        <v>8087624.6099999985</v>
      </c>
      <c r="F232" s="132">
        <f>(D232-E232)/E232</f>
        <v>0.50392759883547611</v>
      </c>
      <c r="G232" s="131">
        <f>SUM(G7:G231)</f>
        <v>112303</v>
      </c>
      <c r="H232" s="131">
        <f>SUM(H7:H231)</f>
        <v>115491</v>
      </c>
      <c r="I232" s="132">
        <f>(G232-H232)/H232</f>
        <v>-2.7603882553618897E-2</v>
      </c>
      <c r="J232" s="131">
        <f>SUM(J7:J231)</f>
        <v>6611146</v>
      </c>
      <c r="K232" s="131">
        <f>SUM(K7:K231)</f>
        <v>4092180</v>
      </c>
      <c r="L232" s="132">
        <f>(J232-K232)/K232</f>
        <v>0.61555601171013985</v>
      </c>
      <c r="M232" s="131">
        <f>SUM(M7:M231)</f>
        <v>5461852</v>
      </c>
      <c r="N232" s="131">
        <f>SUM(N7:N231)</f>
        <v>3909662</v>
      </c>
      <c r="O232" s="132">
        <f>(M232-N232)/N232</f>
        <v>0.39701385951010598</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33"/>
  <sheetViews>
    <sheetView workbookViewId="0">
      <pane ySplit="6" topLeftCell="A195" activePane="bottomLeft" state="frozen"/>
      <selection pane="bottomLeft" activeCell="A7" sqref="A7:A225"/>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2" t="s">
        <v>315</v>
      </c>
      <c r="B3" s="299"/>
      <c r="C3" s="299"/>
      <c r="D3" s="299"/>
      <c r="E3" s="299"/>
      <c r="F3" s="299"/>
      <c r="G3" s="299"/>
      <c r="H3" s="299"/>
      <c r="I3" s="299"/>
      <c r="J3" s="299"/>
      <c r="K3" s="299"/>
      <c r="L3" s="299"/>
      <c r="M3" s="299"/>
      <c r="N3" s="299"/>
      <c r="O3" s="300"/>
    </row>
    <row r="4" spans="1:15" x14ac:dyDescent="0.25">
      <c r="A4" s="303" t="s">
        <v>330</v>
      </c>
      <c r="B4" s="303" t="s">
        <v>308</v>
      </c>
      <c r="C4" s="303"/>
      <c r="D4" s="303" t="s">
        <v>361</v>
      </c>
      <c r="E4" s="303"/>
      <c r="F4" s="303"/>
      <c r="G4" s="303"/>
      <c r="H4" s="303"/>
      <c r="I4" s="303"/>
      <c r="J4" s="303"/>
      <c r="K4" s="303"/>
      <c r="L4" s="303"/>
      <c r="M4" s="303"/>
      <c r="N4" s="303"/>
      <c r="O4" s="303"/>
    </row>
    <row r="5" spans="1:15" x14ac:dyDescent="0.25">
      <c r="A5" s="304"/>
      <c r="B5" s="304" t="s">
        <v>312</v>
      </c>
      <c r="C5" s="304"/>
      <c r="D5" s="304" t="s">
        <v>315</v>
      </c>
      <c r="E5" s="304"/>
      <c r="F5" s="304"/>
      <c r="G5" s="304" t="s">
        <v>362</v>
      </c>
      <c r="H5" s="304"/>
      <c r="I5" s="304"/>
      <c r="J5" s="304" t="s">
        <v>363</v>
      </c>
      <c r="K5" s="304"/>
      <c r="L5" s="304"/>
      <c r="M5" s="304" t="s">
        <v>364</v>
      </c>
      <c r="N5" s="304"/>
      <c r="O5" s="304"/>
    </row>
    <row r="6" spans="1:15" x14ac:dyDescent="0.25">
      <c r="A6" s="34" t="s">
        <v>318</v>
      </c>
      <c r="B6" s="21">
        <f>'Total Value'!B6</f>
        <v>46129</v>
      </c>
      <c r="C6" s="34" t="s">
        <v>328</v>
      </c>
      <c r="D6" s="21">
        <f>B6</f>
        <v>46129</v>
      </c>
      <c r="E6" s="34" t="s">
        <v>322</v>
      </c>
      <c r="F6" s="34" t="s">
        <v>328</v>
      </c>
      <c r="G6" s="21">
        <f>D6</f>
        <v>46129</v>
      </c>
      <c r="H6" s="34" t="s">
        <v>322</v>
      </c>
      <c r="I6" s="34" t="s">
        <v>328</v>
      </c>
      <c r="J6" s="21">
        <f>D6</f>
        <v>46129</v>
      </c>
      <c r="K6" s="34" t="s">
        <v>322</v>
      </c>
      <c r="L6" s="34" t="s">
        <v>328</v>
      </c>
      <c r="M6" s="21">
        <f>D6</f>
        <v>46129</v>
      </c>
      <c r="N6" s="34" t="s">
        <v>322</v>
      </c>
      <c r="O6" s="34" t="s">
        <v>328</v>
      </c>
    </row>
    <row r="7" spans="1:15" x14ac:dyDescent="0.25">
      <c r="A7" s="101" t="str">
        <f>'Data Vlaue (Cr)'!C2</f>
        <v>360ONE</v>
      </c>
      <c r="B7" s="50">
        <f>VLOOKUP($A7,'Data shares'!$C:$FB,7)</f>
        <v>1113.3</v>
      </c>
      <c r="C7" s="50">
        <f>VLOOKUP($A7,'Data shares'!$C:$FB,10)*100</f>
        <v>3.42</v>
      </c>
      <c r="D7" s="49">
        <f>VLOOKUP($A7,'Data shares'!$C:$FB,66)</f>
        <v>10467500</v>
      </c>
      <c r="E7" s="49">
        <f>VLOOKUP($A7,'Data shares'!$C:$FB,67)</f>
        <v>5524000</v>
      </c>
      <c r="F7" s="50">
        <f>VLOOKUP($A7,'Data shares'!$C:$FB,69)*100</f>
        <v>89.490000000000009</v>
      </c>
      <c r="G7" s="49">
        <f>VLOOKUP($A7,'Data shares'!$C:$FB,42)</f>
        <v>2520500</v>
      </c>
      <c r="H7" s="49">
        <f>VLOOKUP($A7,'Data shares'!$C:$FB,43)</f>
        <v>1270000</v>
      </c>
      <c r="I7" s="50">
        <f>VLOOKUP($A7,'Data shares'!$C:$FB,45)*100</f>
        <v>98.460000000000008</v>
      </c>
      <c r="J7" s="49">
        <f>VLOOKUP($A7,'Data shares'!$C:$FB,58)</f>
        <v>5152500</v>
      </c>
      <c r="K7" s="49">
        <f>VLOOKUP($A7,'Data shares'!$C:$FB,59)</f>
        <v>2148500</v>
      </c>
      <c r="L7" s="50">
        <f>VLOOKUP($A7,'Data shares'!$C:$FB,61)*100</f>
        <v>139.82000000000002</v>
      </c>
      <c r="M7" s="49">
        <f>VLOOKUP($A7,'Data shares'!$C:$FB,62)</f>
        <v>2794500</v>
      </c>
      <c r="N7" s="49">
        <f>VLOOKUP($A7,'Data shares'!$C:$FB,63)</f>
        <v>2105500</v>
      </c>
      <c r="O7" s="140">
        <f>VLOOKUP($A7,'Data shares'!$C:$FB,65)*100</f>
        <v>32.72</v>
      </c>
    </row>
    <row r="8" spans="1:15" x14ac:dyDescent="0.25">
      <c r="A8" s="101" t="str">
        <f>'Data Vlaue (Cr)'!C3</f>
        <v>ABB</v>
      </c>
      <c r="B8" s="50">
        <f>VLOOKUP($A8,'Data shares'!$C:$FB,7)</f>
        <v>7029.5</v>
      </c>
      <c r="C8" s="50">
        <f>VLOOKUP($A8,'Data shares'!$C:$FB,10)*100</f>
        <v>2.12</v>
      </c>
      <c r="D8" s="49">
        <f>VLOOKUP($A8,'Data shares'!$C:$FB,66)</f>
        <v>6812125</v>
      </c>
      <c r="E8" s="49">
        <f>VLOOKUP($A8,'Data shares'!$C:$FB,67)</f>
        <v>4500125</v>
      </c>
      <c r="F8" s="50">
        <f>VLOOKUP($A8,'Data shares'!$C:$FB,69)*100</f>
        <v>51.38</v>
      </c>
      <c r="G8" s="49">
        <f>VLOOKUP($A8,'Data shares'!$C:$FB,42)</f>
        <v>624875</v>
      </c>
      <c r="H8" s="49">
        <f>VLOOKUP($A8,'Data shares'!$C:$FB,43)</f>
        <v>641750</v>
      </c>
      <c r="I8" s="50">
        <f>VLOOKUP($A8,'Data shares'!$C:$FB,45)*100</f>
        <v>-2.63</v>
      </c>
      <c r="J8" s="49">
        <f>VLOOKUP($A8,'Data shares'!$C:$FB,58)</f>
        <v>4190375</v>
      </c>
      <c r="K8" s="49">
        <f>VLOOKUP($A8,'Data shares'!$C:$FB,59)</f>
        <v>2119625</v>
      </c>
      <c r="L8" s="50">
        <f>VLOOKUP($A8,'Data shares'!$C:$FB,61)*100</f>
        <v>97.69</v>
      </c>
      <c r="M8" s="49">
        <f>VLOOKUP($A8,'Data shares'!$C:$FB,62)</f>
        <v>1996875</v>
      </c>
      <c r="N8" s="49">
        <f>VLOOKUP($A8,'Data shares'!$C:$FB,63)</f>
        <v>1738750</v>
      </c>
      <c r="O8" s="140">
        <f>VLOOKUP($A8,'Data shares'!$C:$FB,65)*100</f>
        <v>14.85</v>
      </c>
    </row>
    <row r="9" spans="1:15" x14ac:dyDescent="0.25">
      <c r="A9" s="101" t="str">
        <f>'Data Vlaue (Cr)'!C4</f>
        <v>ABCAPITAL</v>
      </c>
      <c r="B9" s="50">
        <f>VLOOKUP($A9,'Data shares'!$C:$FB,7)</f>
        <v>340.4</v>
      </c>
      <c r="C9" s="50">
        <f>VLOOKUP($A9,'Data shares'!$C:$FB,10)*100</f>
        <v>0.72</v>
      </c>
      <c r="D9" s="49">
        <f>VLOOKUP($A9,'Data shares'!$C:$FB,66)</f>
        <v>72828300</v>
      </c>
      <c r="E9" s="49">
        <f>VLOOKUP($A9,'Data shares'!$C:$FB,67)</f>
        <v>33752800</v>
      </c>
      <c r="F9" s="50">
        <f>VLOOKUP($A9,'Data shares'!$C:$FB,69)*100</f>
        <v>115.77</v>
      </c>
      <c r="G9" s="49">
        <f>VLOOKUP($A9,'Data shares'!$C:$FB,42)</f>
        <v>6472800</v>
      </c>
      <c r="H9" s="49">
        <f>VLOOKUP($A9,'Data shares'!$C:$FB,43)</f>
        <v>9222500</v>
      </c>
      <c r="I9" s="50">
        <f>VLOOKUP($A9,'Data shares'!$C:$FB,45)*100</f>
        <v>-29.82</v>
      </c>
      <c r="J9" s="49">
        <f>VLOOKUP($A9,'Data shares'!$C:$FB,58)</f>
        <v>53651700</v>
      </c>
      <c r="K9" s="49">
        <f>VLOOKUP($A9,'Data shares'!$C:$FB,59)</f>
        <v>15366700</v>
      </c>
      <c r="L9" s="50">
        <f>VLOOKUP($A9,'Data shares'!$C:$FB,61)*100</f>
        <v>249.14000000000001</v>
      </c>
      <c r="M9" s="49">
        <f>VLOOKUP($A9,'Data shares'!$C:$FB,62)</f>
        <v>12703800</v>
      </c>
      <c r="N9" s="49">
        <f>VLOOKUP($A9,'Data shares'!$C:$FB,63)</f>
        <v>9163600</v>
      </c>
      <c r="O9" s="140">
        <f>VLOOKUP($A9,'Data shares'!$C:$FB,65)*100</f>
        <v>38.629999999999995</v>
      </c>
    </row>
    <row r="10" spans="1:15" x14ac:dyDescent="0.25">
      <c r="A10" s="101" t="str">
        <f>'Data Vlaue (Cr)'!C5</f>
        <v>ADANIENSOL</v>
      </c>
      <c r="B10" s="50">
        <f>VLOOKUP($A10,'Data shares'!$C:$FB,7)</f>
        <v>1259.8</v>
      </c>
      <c r="C10" s="50">
        <f>VLOOKUP($A10,'Data shares'!$C:$FB,10)*100</f>
        <v>3.04</v>
      </c>
      <c r="D10" s="49">
        <f>VLOOKUP($A10,'Data shares'!$C:$FB,66)</f>
        <v>26327700</v>
      </c>
      <c r="E10" s="49">
        <f>VLOOKUP($A10,'Data shares'!$C:$FB,67)</f>
        <v>20003625</v>
      </c>
      <c r="F10" s="50">
        <f>VLOOKUP($A10,'Data shares'!$C:$FB,69)*100</f>
        <v>31.61</v>
      </c>
      <c r="G10" s="49">
        <f>VLOOKUP($A10,'Data shares'!$C:$FB,42)</f>
        <v>6612300</v>
      </c>
      <c r="H10" s="49">
        <f>VLOOKUP($A10,'Data shares'!$C:$FB,43)</f>
        <v>4284225</v>
      </c>
      <c r="I10" s="50">
        <f>VLOOKUP($A10,'Data shares'!$C:$FB,45)*100</f>
        <v>54.339999999999996</v>
      </c>
      <c r="J10" s="49">
        <f>VLOOKUP($A10,'Data shares'!$C:$FB,58)</f>
        <v>12719025</v>
      </c>
      <c r="K10" s="49">
        <f>VLOOKUP($A10,'Data shares'!$C:$FB,59)</f>
        <v>11061900</v>
      </c>
      <c r="L10" s="50">
        <f>VLOOKUP($A10,'Data shares'!$C:$FB,61)*100</f>
        <v>14.979999999999999</v>
      </c>
      <c r="M10" s="49">
        <f>VLOOKUP($A10,'Data shares'!$C:$FB,62)</f>
        <v>6996375</v>
      </c>
      <c r="N10" s="49">
        <f>VLOOKUP($A10,'Data shares'!$C:$FB,63)</f>
        <v>4657500</v>
      </c>
      <c r="O10" s="140">
        <f>VLOOKUP($A10,'Data shares'!$C:$FB,65)*100</f>
        <v>50.22</v>
      </c>
    </row>
    <row r="11" spans="1:15" x14ac:dyDescent="0.25">
      <c r="A11" s="101" t="str">
        <f>'Data Vlaue (Cr)'!C6</f>
        <v>ADANIENT</v>
      </c>
      <c r="B11" s="50">
        <f>VLOOKUP($A11,'Data shares'!$C:$FB,7)</f>
        <v>2218.3000000000002</v>
      </c>
      <c r="C11" s="50">
        <f>VLOOKUP($A11,'Data shares'!$C:$FB,10)*100</f>
        <v>0.66</v>
      </c>
      <c r="D11" s="49">
        <f>VLOOKUP($A11,'Data shares'!$C:$FB,66)</f>
        <v>24423978</v>
      </c>
      <c r="E11" s="49">
        <f>VLOOKUP($A11,'Data shares'!$C:$FB,67)</f>
        <v>21239115</v>
      </c>
      <c r="F11" s="50">
        <f>VLOOKUP($A11,'Data shares'!$C:$FB,69)*100</f>
        <v>15</v>
      </c>
      <c r="G11" s="49">
        <f>VLOOKUP($A11,'Data shares'!$C:$FB,42)</f>
        <v>3433608</v>
      </c>
      <c r="H11" s="49">
        <f>VLOOKUP($A11,'Data shares'!$C:$FB,43)</f>
        <v>3427428</v>
      </c>
      <c r="I11" s="50">
        <f>VLOOKUP($A11,'Data shares'!$C:$FB,45)*100</f>
        <v>0.18</v>
      </c>
      <c r="J11" s="49">
        <f>VLOOKUP($A11,'Data shares'!$C:$FB,58)</f>
        <v>14176302</v>
      </c>
      <c r="K11" s="49">
        <f>VLOOKUP($A11,'Data shares'!$C:$FB,59)</f>
        <v>12141537</v>
      </c>
      <c r="L11" s="50">
        <f>VLOOKUP($A11,'Data shares'!$C:$FB,61)*100</f>
        <v>16.760000000000002</v>
      </c>
      <c r="M11" s="49">
        <f>VLOOKUP($A11,'Data shares'!$C:$FB,62)</f>
        <v>6814068</v>
      </c>
      <c r="N11" s="49">
        <f>VLOOKUP($A11,'Data shares'!$C:$FB,63)</f>
        <v>5670150</v>
      </c>
      <c r="O11" s="140">
        <f>VLOOKUP($A11,'Data shares'!$C:$FB,65)*100</f>
        <v>20.169999999999998</v>
      </c>
    </row>
    <row r="12" spans="1:15" x14ac:dyDescent="0.25">
      <c r="A12" s="101" t="str">
        <f>'Data Vlaue (Cr)'!C7</f>
        <v>ADANIGREEN</v>
      </c>
      <c r="B12" s="50">
        <f>VLOOKUP($A12,'Data shares'!$C:$FB,7)</f>
        <v>1127.3</v>
      </c>
      <c r="C12" s="50">
        <f>VLOOKUP($A12,'Data shares'!$C:$FB,10)*100</f>
        <v>0.75</v>
      </c>
      <c r="D12" s="49">
        <f>VLOOKUP($A12,'Data shares'!$C:$FB,66)</f>
        <v>24160800</v>
      </c>
      <c r="E12" s="49">
        <f>VLOOKUP($A12,'Data shares'!$C:$FB,67)</f>
        <v>23554800</v>
      </c>
      <c r="F12" s="50">
        <f>VLOOKUP($A12,'Data shares'!$C:$FB,69)*100</f>
        <v>2.5700000000000003</v>
      </c>
      <c r="G12" s="49">
        <f>VLOOKUP($A12,'Data shares'!$C:$FB,42)</f>
        <v>3750000</v>
      </c>
      <c r="H12" s="49">
        <f>VLOOKUP($A12,'Data shares'!$C:$FB,43)</f>
        <v>3578400</v>
      </c>
      <c r="I12" s="50">
        <f>VLOOKUP($A12,'Data shares'!$C:$FB,45)*100</f>
        <v>4.8</v>
      </c>
      <c r="J12" s="49">
        <f>VLOOKUP($A12,'Data shares'!$C:$FB,58)</f>
        <v>13622400</v>
      </c>
      <c r="K12" s="49">
        <f>VLOOKUP($A12,'Data shares'!$C:$FB,59)</f>
        <v>13009200</v>
      </c>
      <c r="L12" s="50">
        <f>VLOOKUP($A12,'Data shares'!$C:$FB,61)*100</f>
        <v>4.71</v>
      </c>
      <c r="M12" s="49">
        <f>VLOOKUP($A12,'Data shares'!$C:$FB,62)</f>
        <v>6788400</v>
      </c>
      <c r="N12" s="49">
        <f>VLOOKUP($A12,'Data shares'!$C:$FB,63)</f>
        <v>6967200</v>
      </c>
      <c r="O12" s="140">
        <f>VLOOKUP($A12,'Data shares'!$C:$FB,65)*100</f>
        <v>-2.5700000000000003</v>
      </c>
    </row>
    <row r="13" spans="1:15" x14ac:dyDescent="0.25">
      <c r="A13" s="101" t="str">
        <f>'Data Vlaue (Cr)'!C8</f>
        <v>ADANIPORTS</v>
      </c>
      <c r="B13" s="50">
        <f>VLOOKUP($A13,'Data shares'!$C:$FB,7)</f>
        <v>1573.4</v>
      </c>
      <c r="C13" s="50">
        <f>VLOOKUP($A13,'Data shares'!$C:$FB,10)*100</f>
        <v>1.52</v>
      </c>
      <c r="D13" s="49">
        <f>VLOOKUP($A13,'Data shares'!$C:$FB,66)</f>
        <v>41377250</v>
      </c>
      <c r="E13" s="49">
        <f>VLOOKUP($A13,'Data shares'!$C:$FB,67)</f>
        <v>44639075</v>
      </c>
      <c r="F13" s="50">
        <f>VLOOKUP($A13,'Data shares'!$C:$FB,69)*100</f>
        <v>-7.31</v>
      </c>
      <c r="G13" s="49">
        <f>VLOOKUP($A13,'Data shares'!$C:$FB,42)</f>
        <v>3988100</v>
      </c>
      <c r="H13" s="49">
        <f>VLOOKUP($A13,'Data shares'!$C:$FB,43)</f>
        <v>5053525</v>
      </c>
      <c r="I13" s="50">
        <f>VLOOKUP($A13,'Data shares'!$C:$FB,45)*100</f>
        <v>-21.08</v>
      </c>
      <c r="J13" s="49">
        <f>VLOOKUP($A13,'Data shares'!$C:$FB,58)</f>
        <v>25247200</v>
      </c>
      <c r="K13" s="49">
        <f>VLOOKUP($A13,'Data shares'!$C:$FB,59)</f>
        <v>27591800</v>
      </c>
      <c r="L13" s="50">
        <f>VLOOKUP($A13,'Data shares'!$C:$FB,61)*100</f>
        <v>-8.5</v>
      </c>
      <c r="M13" s="49">
        <f>VLOOKUP($A13,'Data shares'!$C:$FB,62)</f>
        <v>12141950</v>
      </c>
      <c r="N13" s="49">
        <f>VLOOKUP($A13,'Data shares'!$C:$FB,63)</f>
        <v>11993750</v>
      </c>
      <c r="O13" s="140">
        <f>VLOOKUP($A13,'Data shares'!$C:$FB,65)*100</f>
        <v>1.24</v>
      </c>
    </row>
    <row r="14" spans="1:15" x14ac:dyDescent="0.25">
      <c r="A14" s="101" t="str">
        <f>'Data Vlaue (Cr)'!C9</f>
        <v>ADANIPOWER</v>
      </c>
      <c r="B14" s="50">
        <f>VLOOKUP($A14,'Data shares'!$C:$FB,7)</f>
        <v>198.5</v>
      </c>
      <c r="C14" s="50">
        <f>VLOOKUP($A14,'Data shares'!$C:$FB,10)*100</f>
        <v>2.75</v>
      </c>
      <c r="D14" s="49">
        <f>VLOOKUP($A14,'Data shares'!$C:$FB,66)</f>
        <v>240729050</v>
      </c>
      <c r="E14" s="49">
        <f>VLOOKUP($A14,'Data shares'!$C:$FB,67)</f>
        <v>190585300</v>
      </c>
      <c r="F14" s="50">
        <f>VLOOKUP($A14,'Data shares'!$C:$FB,69)*100</f>
        <v>26.31</v>
      </c>
      <c r="G14" s="49">
        <f>VLOOKUP($A14,'Data shares'!$C:$FB,42)</f>
        <v>62948600</v>
      </c>
      <c r="H14" s="49">
        <f>VLOOKUP($A14,'Data shares'!$C:$FB,43)</f>
        <v>44822300</v>
      </c>
      <c r="I14" s="50">
        <f>VLOOKUP($A14,'Data shares'!$C:$FB,45)*100</f>
        <v>40.44</v>
      </c>
      <c r="J14" s="49">
        <f>VLOOKUP($A14,'Data shares'!$C:$FB,58)</f>
        <v>129862550</v>
      </c>
      <c r="K14" s="49">
        <f>VLOOKUP($A14,'Data shares'!$C:$FB,59)</f>
        <v>108338900</v>
      </c>
      <c r="L14" s="50">
        <f>VLOOKUP($A14,'Data shares'!$C:$FB,61)*100</f>
        <v>19.869999999999997</v>
      </c>
      <c r="M14" s="49">
        <f>VLOOKUP($A14,'Data shares'!$C:$FB,62)</f>
        <v>47917900</v>
      </c>
      <c r="N14" s="49">
        <f>VLOOKUP($A14,'Data shares'!$C:$FB,63)</f>
        <v>37424100</v>
      </c>
      <c r="O14" s="140">
        <f>VLOOKUP($A14,'Data shares'!$C:$FB,65)*100</f>
        <v>28.04</v>
      </c>
    </row>
    <row r="15" spans="1:15" x14ac:dyDescent="0.25">
      <c r="A15" s="101" t="str">
        <f>'Data Vlaue (Cr)'!C10</f>
        <v>ALKEM</v>
      </c>
      <c r="B15" s="50">
        <f>VLOOKUP($A15,'Data shares'!$C:$FB,7)</f>
        <v>5582</v>
      </c>
      <c r="C15" s="50">
        <f>VLOOKUP($A15,'Data shares'!$C:$FB,10)*100</f>
        <v>0.22</v>
      </c>
      <c r="D15" s="49">
        <f>VLOOKUP($A15,'Data shares'!$C:$FB,66)</f>
        <v>479000</v>
      </c>
      <c r="E15" s="49">
        <f>VLOOKUP($A15,'Data shares'!$C:$FB,67)</f>
        <v>717125</v>
      </c>
      <c r="F15" s="50">
        <f>VLOOKUP($A15,'Data shares'!$C:$FB,69)*100</f>
        <v>-33.21</v>
      </c>
      <c r="G15" s="49">
        <f>VLOOKUP($A15,'Data shares'!$C:$FB,42)</f>
        <v>103875</v>
      </c>
      <c r="H15" s="49">
        <f>VLOOKUP($A15,'Data shares'!$C:$FB,43)</f>
        <v>172125</v>
      </c>
      <c r="I15" s="50">
        <f>VLOOKUP($A15,'Data shares'!$C:$FB,45)*100</f>
        <v>-39.65</v>
      </c>
      <c r="J15" s="49">
        <f>VLOOKUP($A15,'Data shares'!$C:$FB,58)</f>
        <v>282250</v>
      </c>
      <c r="K15" s="49">
        <f>VLOOKUP($A15,'Data shares'!$C:$FB,59)</f>
        <v>399375</v>
      </c>
      <c r="L15" s="50">
        <f>VLOOKUP($A15,'Data shares'!$C:$FB,61)*100</f>
        <v>-29.330000000000002</v>
      </c>
      <c r="M15" s="49">
        <f>VLOOKUP($A15,'Data shares'!$C:$FB,62)</f>
        <v>92875</v>
      </c>
      <c r="N15" s="49">
        <f>VLOOKUP($A15,'Data shares'!$C:$FB,63)</f>
        <v>145625</v>
      </c>
      <c r="O15" s="140">
        <f>VLOOKUP($A15,'Data shares'!$C:$FB,65)*100</f>
        <v>-36.22</v>
      </c>
    </row>
    <row r="16" spans="1:15" x14ac:dyDescent="0.25">
      <c r="A16" s="101" t="str">
        <f>'Data Vlaue (Cr)'!C11</f>
        <v>AMBER</v>
      </c>
      <c r="B16" s="50">
        <f>VLOOKUP($A16,'Data shares'!$C:$FB,7)</f>
        <v>7958.5</v>
      </c>
      <c r="C16" s="50">
        <f>VLOOKUP($A16,'Data shares'!$C:$FB,10)*100</f>
        <v>3.16</v>
      </c>
      <c r="D16" s="49">
        <f>VLOOKUP($A16,'Data shares'!$C:$FB,66)</f>
        <v>4127900</v>
      </c>
      <c r="E16" s="49">
        <f>VLOOKUP($A16,'Data shares'!$C:$FB,67)</f>
        <v>5948600</v>
      </c>
      <c r="F16" s="50">
        <f>VLOOKUP($A16,'Data shares'!$C:$FB,69)*100</f>
        <v>-30.61</v>
      </c>
      <c r="G16" s="49">
        <f>VLOOKUP($A16,'Data shares'!$C:$FB,42)</f>
        <v>436400</v>
      </c>
      <c r="H16" s="49">
        <f>VLOOKUP($A16,'Data shares'!$C:$FB,43)</f>
        <v>575800</v>
      </c>
      <c r="I16" s="50">
        <f>VLOOKUP($A16,'Data shares'!$C:$FB,45)*100</f>
        <v>-24.21</v>
      </c>
      <c r="J16" s="49">
        <f>VLOOKUP($A16,'Data shares'!$C:$FB,58)</f>
        <v>2382800</v>
      </c>
      <c r="K16" s="49">
        <f>VLOOKUP($A16,'Data shares'!$C:$FB,59)</f>
        <v>3735800</v>
      </c>
      <c r="L16" s="50">
        <f>VLOOKUP($A16,'Data shares'!$C:$FB,61)*100</f>
        <v>-36.22</v>
      </c>
      <c r="M16" s="49">
        <f>VLOOKUP($A16,'Data shares'!$C:$FB,62)</f>
        <v>1308700</v>
      </c>
      <c r="N16" s="49">
        <f>VLOOKUP($A16,'Data shares'!$C:$FB,63)</f>
        <v>1637000</v>
      </c>
      <c r="O16" s="140">
        <f>VLOOKUP($A16,'Data shares'!$C:$FB,65)*100</f>
        <v>-20.05</v>
      </c>
    </row>
    <row r="17" spans="1:15" x14ac:dyDescent="0.25">
      <c r="A17" s="101" t="str">
        <f>'Data Vlaue (Cr)'!C12</f>
        <v>AMBUJACEM</v>
      </c>
      <c r="B17" s="50">
        <f>VLOOKUP($A17,'Data shares'!$C:$FB,7)</f>
        <v>459</v>
      </c>
      <c r="C17" s="50">
        <f>VLOOKUP($A17,'Data shares'!$C:$FB,10)*100</f>
        <v>0.21</v>
      </c>
      <c r="D17" s="49">
        <f>VLOOKUP($A17,'Data shares'!$C:$FB,66)</f>
        <v>14400750</v>
      </c>
      <c r="E17" s="49">
        <f>VLOOKUP($A17,'Data shares'!$C:$FB,67)</f>
        <v>20598900</v>
      </c>
      <c r="F17" s="50">
        <f>VLOOKUP($A17,'Data shares'!$C:$FB,69)*100</f>
        <v>-30.09</v>
      </c>
      <c r="G17" s="49">
        <f>VLOOKUP($A17,'Data shares'!$C:$FB,42)</f>
        <v>4075050</v>
      </c>
      <c r="H17" s="49">
        <f>VLOOKUP($A17,'Data shares'!$C:$FB,43)</f>
        <v>4912950</v>
      </c>
      <c r="I17" s="50">
        <f>VLOOKUP($A17,'Data shares'!$C:$FB,45)*100</f>
        <v>-17.05</v>
      </c>
      <c r="J17" s="49">
        <f>VLOOKUP($A17,'Data shares'!$C:$FB,58)</f>
        <v>6624450</v>
      </c>
      <c r="K17" s="49">
        <f>VLOOKUP($A17,'Data shares'!$C:$FB,59)</f>
        <v>10096800</v>
      </c>
      <c r="L17" s="50">
        <f>VLOOKUP($A17,'Data shares'!$C:$FB,61)*100</f>
        <v>-34.39</v>
      </c>
      <c r="M17" s="49">
        <f>VLOOKUP($A17,'Data shares'!$C:$FB,62)</f>
        <v>3701250</v>
      </c>
      <c r="N17" s="49">
        <f>VLOOKUP($A17,'Data shares'!$C:$FB,63)</f>
        <v>5589150</v>
      </c>
      <c r="O17" s="140">
        <f>VLOOKUP($A17,'Data shares'!$C:$FB,65)*100</f>
        <v>-33.78</v>
      </c>
    </row>
    <row r="18" spans="1:15" x14ac:dyDescent="0.25">
      <c r="A18" s="101" t="str">
        <f>'Data Vlaue (Cr)'!C13</f>
        <v>ANGELONE</v>
      </c>
      <c r="B18" s="50">
        <f>VLOOKUP($A18,'Data shares'!$C:$FB,7)</f>
        <v>322.47000000000003</v>
      </c>
      <c r="C18" s="50">
        <f>VLOOKUP($A18,'Data shares'!$C:$FB,10)*100</f>
        <v>10.199999999999999</v>
      </c>
      <c r="D18" s="49">
        <f>VLOOKUP($A18,'Data shares'!$C:$FB,66)</f>
        <v>688607500</v>
      </c>
      <c r="E18" s="49">
        <f>VLOOKUP($A18,'Data shares'!$C:$FB,67)</f>
        <v>139002500</v>
      </c>
      <c r="F18" s="50">
        <f>VLOOKUP($A18,'Data shares'!$C:$FB,69)*100</f>
        <v>395.39</v>
      </c>
      <c r="G18" s="49">
        <f>VLOOKUP($A18,'Data shares'!$C:$FB,42)</f>
        <v>59080000</v>
      </c>
      <c r="H18" s="49">
        <f>VLOOKUP($A18,'Data shares'!$C:$FB,43)</f>
        <v>25310000</v>
      </c>
      <c r="I18" s="50">
        <f>VLOOKUP($A18,'Data shares'!$C:$FB,45)*100</f>
        <v>133.43</v>
      </c>
      <c r="J18" s="49">
        <f>VLOOKUP($A18,'Data shares'!$C:$FB,58)</f>
        <v>424155000</v>
      </c>
      <c r="K18" s="49">
        <f>VLOOKUP($A18,'Data shares'!$C:$FB,59)</f>
        <v>63770000</v>
      </c>
      <c r="L18" s="50">
        <f>VLOOKUP($A18,'Data shares'!$C:$FB,61)*100</f>
        <v>565.13</v>
      </c>
      <c r="M18" s="49">
        <f>VLOOKUP($A18,'Data shares'!$C:$FB,62)</f>
        <v>205372500</v>
      </c>
      <c r="N18" s="49">
        <f>VLOOKUP($A18,'Data shares'!$C:$FB,63)</f>
        <v>49922500</v>
      </c>
      <c r="O18" s="140">
        <f>VLOOKUP($A18,'Data shares'!$C:$FB,65)*100</f>
        <v>311.38</v>
      </c>
    </row>
    <row r="19" spans="1:15" x14ac:dyDescent="0.25">
      <c r="A19" s="101" t="str">
        <f>'Data Vlaue (Cr)'!C14</f>
        <v>APLAPOLLO</v>
      </c>
      <c r="B19" s="50">
        <f>VLOOKUP($A19,'Data shares'!$C:$FB,7)</f>
        <v>2105.6999999999998</v>
      </c>
      <c r="C19" s="50">
        <f>VLOOKUP($A19,'Data shares'!$C:$FB,10)*100</f>
        <v>2.9499999999999997</v>
      </c>
      <c r="D19" s="49">
        <f>VLOOKUP($A19,'Data shares'!$C:$FB,66)</f>
        <v>5713400</v>
      </c>
      <c r="E19" s="49">
        <f>VLOOKUP($A19,'Data shares'!$C:$FB,67)</f>
        <v>3523100</v>
      </c>
      <c r="F19" s="50">
        <f>VLOOKUP($A19,'Data shares'!$C:$FB,69)*100</f>
        <v>62.17</v>
      </c>
      <c r="G19" s="49">
        <f>VLOOKUP($A19,'Data shares'!$C:$FB,42)</f>
        <v>752500</v>
      </c>
      <c r="H19" s="49">
        <f>VLOOKUP($A19,'Data shares'!$C:$FB,43)</f>
        <v>1419600</v>
      </c>
      <c r="I19" s="50">
        <f>VLOOKUP($A19,'Data shares'!$C:$FB,45)*100</f>
        <v>-46.989999999999995</v>
      </c>
      <c r="J19" s="49">
        <f>VLOOKUP($A19,'Data shares'!$C:$FB,58)</f>
        <v>3880100</v>
      </c>
      <c r="K19" s="49">
        <f>VLOOKUP($A19,'Data shares'!$C:$FB,59)</f>
        <v>1612100</v>
      </c>
      <c r="L19" s="50">
        <f>VLOOKUP($A19,'Data shares'!$C:$FB,61)*100</f>
        <v>140.69</v>
      </c>
      <c r="M19" s="49">
        <f>VLOOKUP($A19,'Data shares'!$C:$FB,62)</f>
        <v>1080800</v>
      </c>
      <c r="N19" s="49">
        <f>VLOOKUP($A19,'Data shares'!$C:$FB,63)</f>
        <v>491400</v>
      </c>
      <c r="O19" s="140">
        <f>VLOOKUP($A19,'Data shares'!$C:$FB,65)*100</f>
        <v>119.94</v>
      </c>
    </row>
    <row r="20" spans="1:15" x14ac:dyDescent="0.25">
      <c r="A20" s="101" t="str">
        <f>'Data Vlaue (Cr)'!C15</f>
        <v>APOLLOHOSP</v>
      </c>
      <c r="B20" s="50">
        <f>VLOOKUP($A20,'Data shares'!$C:$FB,7)</f>
        <v>7699</v>
      </c>
      <c r="C20" s="50">
        <f>VLOOKUP($A20,'Data shares'!$C:$FB,10)*100</f>
        <v>1.9300000000000002</v>
      </c>
      <c r="D20" s="49">
        <f>VLOOKUP($A20,'Data shares'!$C:$FB,66)</f>
        <v>4238875</v>
      </c>
      <c r="E20" s="49">
        <f>VLOOKUP($A20,'Data shares'!$C:$FB,67)</f>
        <v>3909750</v>
      </c>
      <c r="F20" s="50">
        <f>VLOOKUP($A20,'Data shares'!$C:$FB,69)*100</f>
        <v>8.42</v>
      </c>
      <c r="G20" s="49">
        <f>VLOOKUP($A20,'Data shares'!$C:$FB,42)</f>
        <v>314625</v>
      </c>
      <c r="H20" s="49">
        <f>VLOOKUP($A20,'Data shares'!$C:$FB,43)</f>
        <v>453375</v>
      </c>
      <c r="I20" s="50">
        <f>VLOOKUP($A20,'Data shares'!$C:$FB,45)*100</f>
        <v>-30.599999999999998</v>
      </c>
      <c r="J20" s="49">
        <f>VLOOKUP($A20,'Data shares'!$C:$FB,58)</f>
        <v>2859875</v>
      </c>
      <c r="K20" s="49">
        <f>VLOOKUP($A20,'Data shares'!$C:$FB,59)</f>
        <v>2192750</v>
      </c>
      <c r="L20" s="50">
        <f>VLOOKUP($A20,'Data shares'!$C:$FB,61)*100</f>
        <v>30.42</v>
      </c>
      <c r="M20" s="49">
        <f>VLOOKUP($A20,'Data shares'!$C:$FB,62)</f>
        <v>1064375</v>
      </c>
      <c r="N20" s="49">
        <f>VLOOKUP($A20,'Data shares'!$C:$FB,63)</f>
        <v>1263625</v>
      </c>
      <c r="O20" s="140">
        <f>VLOOKUP($A20,'Data shares'!$C:$FB,65)*100</f>
        <v>-15.770000000000001</v>
      </c>
    </row>
    <row r="21" spans="1:15" x14ac:dyDescent="0.25">
      <c r="A21" s="101" t="str">
        <f>'Data Vlaue (Cr)'!C16</f>
        <v>ASHOKLEY</v>
      </c>
      <c r="B21" s="50">
        <f>VLOOKUP($A21,'Data shares'!$C:$FB,7)</f>
        <v>174.78</v>
      </c>
      <c r="C21" s="50">
        <f>VLOOKUP($A21,'Data shares'!$C:$FB,10)*100</f>
        <v>-1.0999999999999999</v>
      </c>
      <c r="D21" s="49">
        <f>VLOOKUP($A21,'Data shares'!$C:$FB,66)</f>
        <v>152315000</v>
      </c>
      <c r="E21" s="49">
        <f>VLOOKUP($A21,'Data shares'!$C:$FB,67)</f>
        <v>129295000</v>
      </c>
      <c r="F21" s="50">
        <f>VLOOKUP($A21,'Data shares'!$C:$FB,69)*100</f>
        <v>17.8</v>
      </c>
      <c r="G21" s="49">
        <f>VLOOKUP($A21,'Data shares'!$C:$FB,42)</f>
        <v>32935000</v>
      </c>
      <c r="H21" s="49">
        <f>VLOOKUP($A21,'Data shares'!$C:$FB,43)</f>
        <v>23415000</v>
      </c>
      <c r="I21" s="50">
        <f>VLOOKUP($A21,'Data shares'!$C:$FB,45)*100</f>
        <v>40.660000000000004</v>
      </c>
      <c r="J21" s="49">
        <f>VLOOKUP($A21,'Data shares'!$C:$FB,58)</f>
        <v>76005000</v>
      </c>
      <c r="K21" s="49">
        <f>VLOOKUP($A21,'Data shares'!$C:$FB,59)</f>
        <v>63725000</v>
      </c>
      <c r="L21" s="50">
        <f>VLOOKUP($A21,'Data shares'!$C:$FB,61)*100</f>
        <v>19.27</v>
      </c>
      <c r="M21" s="49">
        <f>VLOOKUP($A21,'Data shares'!$C:$FB,62)</f>
        <v>43375000</v>
      </c>
      <c r="N21" s="49">
        <f>VLOOKUP($A21,'Data shares'!$C:$FB,63)</f>
        <v>42155000</v>
      </c>
      <c r="O21" s="140">
        <f>VLOOKUP($A21,'Data shares'!$C:$FB,65)*100</f>
        <v>2.8899999999999997</v>
      </c>
    </row>
    <row r="22" spans="1:15" x14ac:dyDescent="0.25">
      <c r="A22" s="101" t="str">
        <f>'Data Vlaue (Cr)'!C17</f>
        <v>ASIANPAINT</v>
      </c>
      <c r="B22" s="50">
        <f>VLOOKUP($A22,'Data shares'!$C:$FB,7)</f>
        <v>2464</v>
      </c>
      <c r="C22" s="50">
        <f>VLOOKUP($A22,'Data shares'!$C:$FB,10)*100</f>
        <v>0.97</v>
      </c>
      <c r="D22" s="49">
        <f>VLOOKUP($A22,'Data shares'!$C:$FB,66)</f>
        <v>18909250</v>
      </c>
      <c r="E22" s="49">
        <f>VLOOKUP($A22,'Data shares'!$C:$FB,67)</f>
        <v>11771750</v>
      </c>
      <c r="F22" s="50">
        <f>VLOOKUP($A22,'Data shares'!$C:$FB,69)*100</f>
        <v>60.629999999999995</v>
      </c>
      <c r="G22" s="49">
        <f>VLOOKUP($A22,'Data shares'!$C:$FB,42)</f>
        <v>3243750</v>
      </c>
      <c r="H22" s="49">
        <f>VLOOKUP($A22,'Data shares'!$C:$FB,43)</f>
        <v>1398750</v>
      </c>
      <c r="I22" s="50">
        <f>VLOOKUP($A22,'Data shares'!$C:$FB,45)*100</f>
        <v>131.9</v>
      </c>
      <c r="J22" s="49">
        <f>VLOOKUP($A22,'Data shares'!$C:$FB,58)</f>
        <v>9214250</v>
      </c>
      <c r="K22" s="49">
        <f>VLOOKUP($A22,'Data shares'!$C:$FB,59)</f>
        <v>5703750</v>
      </c>
      <c r="L22" s="50">
        <f>VLOOKUP($A22,'Data shares'!$C:$FB,61)*100</f>
        <v>61.550000000000004</v>
      </c>
      <c r="M22" s="49">
        <f>VLOOKUP($A22,'Data shares'!$C:$FB,62)</f>
        <v>6451250</v>
      </c>
      <c r="N22" s="49">
        <f>VLOOKUP($A22,'Data shares'!$C:$FB,63)</f>
        <v>4669250</v>
      </c>
      <c r="O22" s="140">
        <f>VLOOKUP($A22,'Data shares'!$C:$FB,65)*100</f>
        <v>38.159999999999997</v>
      </c>
    </row>
    <row r="23" spans="1:15" x14ac:dyDescent="0.25">
      <c r="A23" s="101" t="str">
        <f>'Data Vlaue (Cr)'!C18</f>
        <v>ASTRAL</v>
      </c>
      <c r="B23" s="50">
        <f>VLOOKUP($A23,'Data shares'!$C:$FB,7)</f>
        <v>1605</v>
      </c>
      <c r="C23" s="50">
        <f>VLOOKUP($A23,'Data shares'!$C:$FB,10)*100</f>
        <v>1.67</v>
      </c>
      <c r="D23" s="49">
        <f>VLOOKUP($A23,'Data shares'!$C:$FB,66)</f>
        <v>17834275</v>
      </c>
      <c r="E23" s="49">
        <f>VLOOKUP($A23,'Data shares'!$C:$FB,67)</f>
        <v>36042975</v>
      </c>
      <c r="F23" s="50">
        <f>VLOOKUP($A23,'Data shares'!$C:$FB,69)*100</f>
        <v>-50.519999999999996</v>
      </c>
      <c r="G23" s="49">
        <f>VLOOKUP($A23,'Data shares'!$C:$FB,42)</f>
        <v>3668175</v>
      </c>
      <c r="H23" s="49">
        <f>VLOOKUP($A23,'Data shares'!$C:$FB,43)</f>
        <v>6125100</v>
      </c>
      <c r="I23" s="50">
        <f>VLOOKUP($A23,'Data shares'!$C:$FB,45)*100</f>
        <v>-40.11</v>
      </c>
      <c r="J23" s="49">
        <f>VLOOKUP($A23,'Data shares'!$C:$FB,58)</f>
        <v>9523400</v>
      </c>
      <c r="K23" s="49">
        <f>VLOOKUP($A23,'Data shares'!$C:$FB,59)</f>
        <v>19350250</v>
      </c>
      <c r="L23" s="50">
        <f>VLOOKUP($A23,'Data shares'!$C:$FB,61)*100</f>
        <v>-50.78</v>
      </c>
      <c r="M23" s="49">
        <f>VLOOKUP($A23,'Data shares'!$C:$FB,62)</f>
        <v>4642700</v>
      </c>
      <c r="N23" s="49">
        <f>VLOOKUP($A23,'Data shares'!$C:$FB,63)</f>
        <v>10567625</v>
      </c>
      <c r="O23" s="140">
        <f>VLOOKUP($A23,'Data shares'!$C:$FB,65)*100</f>
        <v>-56.07</v>
      </c>
    </row>
    <row r="24" spans="1:15" x14ac:dyDescent="0.25">
      <c r="A24" s="101" t="str">
        <f>'Data Vlaue (Cr)'!C19</f>
        <v>AUBANK</v>
      </c>
      <c r="B24" s="50">
        <f>VLOOKUP($A24,'Data shares'!$C:$FB,7)</f>
        <v>990.6</v>
      </c>
      <c r="C24" s="50">
        <f>VLOOKUP($A24,'Data shares'!$C:$FB,10)*100</f>
        <v>0.67999999999999994</v>
      </c>
      <c r="D24" s="49">
        <f>VLOOKUP($A24,'Data shares'!$C:$FB,66)</f>
        <v>11682000</v>
      </c>
      <c r="E24" s="49">
        <f>VLOOKUP($A24,'Data shares'!$C:$FB,67)</f>
        <v>11947000</v>
      </c>
      <c r="F24" s="50">
        <f>VLOOKUP($A24,'Data shares'!$C:$FB,69)*100</f>
        <v>-2.2200000000000002</v>
      </c>
      <c r="G24" s="49">
        <f>VLOOKUP($A24,'Data shares'!$C:$FB,42)</f>
        <v>3023000</v>
      </c>
      <c r="H24" s="49">
        <f>VLOOKUP($A24,'Data shares'!$C:$FB,43)</f>
        <v>3167000</v>
      </c>
      <c r="I24" s="50">
        <f>VLOOKUP($A24,'Data shares'!$C:$FB,45)*100</f>
        <v>-4.55</v>
      </c>
      <c r="J24" s="49">
        <f>VLOOKUP($A24,'Data shares'!$C:$FB,58)</f>
        <v>4955000</v>
      </c>
      <c r="K24" s="49">
        <f>VLOOKUP($A24,'Data shares'!$C:$FB,59)</f>
        <v>4697000</v>
      </c>
      <c r="L24" s="50">
        <f>VLOOKUP($A24,'Data shares'!$C:$FB,61)*100</f>
        <v>5.4899999999999993</v>
      </c>
      <c r="M24" s="49">
        <f>VLOOKUP($A24,'Data shares'!$C:$FB,62)</f>
        <v>3704000</v>
      </c>
      <c r="N24" s="49">
        <f>VLOOKUP($A24,'Data shares'!$C:$FB,63)</f>
        <v>4083000</v>
      </c>
      <c r="O24" s="140">
        <f>VLOOKUP($A24,'Data shares'!$C:$FB,65)*100</f>
        <v>-9.2799999999999994</v>
      </c>
    </row>
    <row r="25" spans="1:15" x14ac:dyDescent="0.25">
      <c r="A25" s="101" t="str">
        <f>'Data Vlaue (Cr)'!C20</f>
        <v>AUROPHARMA</v>
      </c>
      <c r="B25" s="50">
        <f>VLOOKUP($A25,'Data shares'!$C:$FB,7)</f>
        <v>1386</v>
      </c>
      <c r="C25" s="50">
        <f>VLOOKUP($A25,'Data shares'!$C:$FB,10)*100</f>
        <v>-0.04</v>
      </c>
      <c r="D25" s="49">
        <f>VLOOKUP($A25,'Data shares'!$C:$FB,66)</f>
        <v>7662600</v>
      </c>
      <c r="E25" s="49">
        <f>VLOOKUP($A25,'Data shares'!$C:$FB,67)</f>
        <v>8284650</v>
      </c>
      <c r="F25" s="50">
        <f>VLOOKUP($A25,'Data shares'!$C:$FB,69)*100</f>
        <v>-7.51</v>
      </c>
      <c r="G25" s="49">
        <f>VLOOKUP($A25,'Data shares'!$C:$FB,42)</f>
        <v>1499850</v>
      </c>
      <c r="H25" s="49">
        <f>VLOOKUP($A25,'Data shares'!$C:$FB,43)</f>
        <v>2057000</v>
      </c>
      <c r="I25" s="50">
        <f>VLOOKUP($A25,'Data shares'!$C:$FB,45)*100</f>
        <v>-27.089999999999996</v>
      </c>
      <c r="J25" s="49">
        <f>VLOOKUP($A25,'Data shares'!$C:$FB,58)</f>
        <v>3700400</v>
      </c>
      <c r="K25" s="49">
        <f>VLOOKUP($A25,'Data shares'!$C:$FB,59)</f>
        <v>3967150</v>
      </c>
      <c r="L25" s="50">
        <f>VLOOKUP($A25,'Data shares'!$C:$FB,61)*100</f>
        <v>-6.72</v>
      </c>
      <c r="M25" s="49">
        <f>VLOOKUP($A25,'Data shares'!$C:$FB,62)</f>
        <v>2462350</v>
      </c>
      <c r="N25" s="49">
        <f>VLOOKUP($A25,'Data shares'!$C:$FB,63)</f>
        <v>2260500</v>
      </c>
      <c r="O25" s="140">
        <f>VLOOKUP($A25,'Data shares'!$C:$FB,65)*100</f>
        <v>8.93</v>
      </c>
    </row>
    <row r="26" spans="1:15" x14ac:dyDescent="0.25">
      <c r="A26" s="101" t="str">
        <f>'Data Vlaue (Cr)'!C21</f>
        <v>AXISBANK</v>
      </c>
      <c r="B26" s="50">
        <f>VLOOKUP($A26,'Data shares'!$C:$FB,7)</f>
        <v>1359.1</v>
      </c>
      <c r="C26" s="50">
        <f>VLOOKUP($A26,'Data shares'!$C:$FB,10)*100</f>
        <v>0.70000000000000007</v>
      </c>
      <c r="D26" s="49">
        <f>VLOOKUP($A26,'Data shares'!$C:$FB,66)</f>
        <v>34241250</v>
      </c>
      <c r="E26" s="49">
        <f>VLOOKUP($A26,'Data shares'!$C:$FB,67)</f>
        <v>38991250</v>
      </c>
      <c r="F26" s="50">
        <f>VLOOKUP($A26,'Data shares'!$C:$FB,69)*100</f>
        <v>-12.18</v>
      </c>
      <c r="G26" s="49">
        <f>VLOOKUP($A26,'Data shares'!$C:$FB,42)</f>
        <v>7070000</v>
      </c>
      <c r="H26" s="49">
        <f>VLOOKUP($A26,'Data shares'!$C:$FB,43)</f>
        <v>8125625</v>
      </c>
      <c r="I26" s="50">
        <f>VLOOKUP($A26,'Data shares'!$C:$FB,45)*100</f>
        <v>-12.989999999999998</v>
      </c>
      <c r="J26" s="49">
        <f>VLOOKUP($A26,'Data shares'!$C:$FB,58)</f>
        <v>16048125</v>
      </c>
      <c r="K26" s="49">
        <f>VLOOKUP($A26,'Data shares'!$C:$FB,59)</f>
        <v>16450000</v>
      </c>
      <c r="L26" s="50">
        <f>VLOOKUP($A26,'Data shares'!$C:$FB,61)*100</f>
        <v>-2.44</v>
      </c>
      <c r="M26" s="49">
        <f>VLOOKUP($A26,'Data shares'!$C:$FB,62)</f>
        <v>11123125</v>
      </c>
      <c r="N26" s="49">
        <f>VLOOKUP($A26,'Data shares'!$C:$FB,63)</f>
        <v>14415625</v>
      </c>
      <c r="O26" s="140">
        <f>VLOOKUP($A26,'Data shares'!$C:$FB,65)*100</f>
        <v>-22.84</v>
      </c>
    </row>
    <row r="27" spans="1:15" x14ac:dyDescent="0.25">
      <c r="A27" s="101" t="str">
        <f>'Data Vlaue (Cr)'!C22</f>
        <v>BAJAJ-AUTO</v>
      </c>
      <c r="B27" s="50">
        <f>VLOOKUP($A27,'Data shares'!$C:$FB,7)</f>
        <v>9773.5</v>
      </c>
      <c r="C27" s="50">
        <f>VLOOKUP($A27,'Data shares'!$C:$FB,10)*100</f>
        <v>-0.52</v>
      </c>
      <c r="D27" s="49">
        <f>VLOOKUP($A27,'Data shares'!$C:$FB,66)</f>
        <v>2426100</v>
      </c>
      <c r="E27" s="49">
        <f>VLOOKUP($A27,'Data shares'!$C:$FB,67)</f>
        <v>3010275</v>
      </c>
      <c r="F27" s="50">
        <f>VLOOKUP($A27,'Data shares'!$C:$FB,69)*100</f>
        <v>-19.41</v>
      </c>
      <c r="G27" s="49">
        <f>VLOOKUP($A27,'Data shares'!$C:$FB,42)</f>
        <v>314025</v>
      </c>
      <c r="H27" s="49">
        <f>VLOOKUP($A27,'Data shares'!$C:$FB,43)</f>
        <v>495375</v>
      </c>
      <c r="I27" s="50">
        <f>VLOOKUP($A27,'Data shares'!$C:$FB,45)*100</f>
        <v>-36.61</v>
      </c>
      <c r="J27" s="49">
        <f>VLOOKUP($A27,'Data shares'!$C:$FB,58)</f>
        <v>1262475</v>
      </c>
      <c r="K27" s="49">
        <f>VLOOKUP($A27,'Data shares'!$C:$FB,59)</f>
        <v>1581300</v>
      </c>
      <c r="L27" s="50">
        <f>VLOOKUP($A27,'Data shares'!$C:$FB,61)*100</f>
        <v>-20.16</v>
      </c>
      <c r="M27" s="49">
        <f>VLOOKUP($A27,'Data shares'!$C:$FB,62)</f>
        <v>849600</v>
      </c>
      <c r="N27" s="49">
        <f>VLOOKUP($A27,'Data shares'!$C:$FB,63)</f>
        <v>933600</v>
      </c>
      <c r="O27" s="140">
        <f>VLOOKUP($A27,'Data shares'!$C:$FB,65)*100</f>
        <v>-9</v>
      </c>
    </row>
    <row r="28" spans="1:15" x14ac:dyDescent="0.25">
      <c r="A28" s="101" t="str">
        <f>'Data Vlaue (Cr)'!C23</f>
        <v>BAJAJFINSV</v>
      </c>
      <c r="B28" s="50">
        <f>VLOOKUP($A28,'Data shares'!$C:$FB,7)</f>
        <v>1838.9</v>
      </c>
      <c r="C28" s="50">
        <f>VLOOKUP($A28,'Data shares'!$C:$FB,10)*100</f>
        <v>0.49</v>
      </c>
      <c r="D28" s="49">
        <f>VLOOKUP($A28,'Data shares'!$C:$FB,66)</f>
        <v>3670250</v>
      </c>
      <c r="E28" s="49">
        <f>VLOOKUP($A28,'Data shares'!$C:$FB,67)</f>
        <v>8345250</v>
      </c>
      <c r="F28" s="50">
        <f>VLOOKUP($A28,'Data shares'!$C:$FB,69)*100</f>
        <v>-56.02</v>
      </c>
      <c r="G28" s="49">
        <f>VLOOKUP($A28,'Data shares'!$C:$FB,42)</f>
        <v>448250</v>
      </c>
      <c r="H28" s="49">
        <f>VLOOKUP($A28,'Data shares'!$C:$FB,43)</f>
        <v>1354750</v>
      </c>
      <c r="I28" s="50">
        <f>VLOOKUP($A28,'Data shares'!$C:$FB,45)*100</f>
        <v>-66.91</v>
      </c>
      <c r="J28" s="49">
        <f>VLOOKUP($A28,'Data shares'!$C:$FB,58)</f>
        <v>1944000</v>
      </c>
      <c r="K28" s="49">
        <f>VLOOKUP($A28,'Data shares'!$C:$FB,59)</f>
        <v>4842000</v>
      </c>
      <c r="L28" s="50">
        <f>VLOOKUP($A28,'Data shares'!$C:$FB,61)*100</f>
        <v>-59.85</v>
      </c>
      <c r="M28" s="49">
        <f>VLOOKUP($A28,'Data shares'!$C:$FB,62)</f>
        <v>1278000</v>
      </c>
      <c r="N28" s="49">
        <f>VLOOKUP($A28,'Data shares'!$C:$FB,63)</f>
        <v>2148500</v>
      </c>
      <c r="O28" s="140">
        <f>VLOOKUP($A28,'Data shares'!$C:$FB,65)*100</f>
        <v>-40.520000000000003</v>
      </c>
    </row>
    <row r="29" spans="1:15" x14ac:dyDescent="0.25">
      <c r="A29" s="101" t="str">
        <f>'Data Vlaue (Cr)'!C24</f>
        <v>BAJAJHLDNG</v>
      </c>
      <c r="B29" s="50">
        <f>VLOOKUP($A29,'Data shares'!$C:$FB,7)</f>
        <v>10355.5</v>
      </c>
      <c r="C29" s="50">
        <f>VLOOKUP($A29,'Data shares'!$C:$FB,10)*100</f>
        <v>1.47</v>
      </c>
      <c r="D29" s="49">
        <f>VLOOKUP($A29,'Data shares'!$C:$FB,66)</f>
        <v>252400</v>
      </c>
      <c r="E29" s="49">
        <f>VLOOKUP($A29,'Data shares'!$C:$FB,67)</f>
        <v>322900</v>
      </c>
      <c r="F29" s="50">
        <f>VLOOKUP($A29,'Data shares'!$C:$FB,69)*100</f>
        <v>-21.83</v>
      </c>
      <c r="G29" s="49">
        <f>VLOOKUP($A29,'Data shares'!$C:$FB,42)</f>
        <v>27600</v>
      </c>
      <c r="H29" s="49">
        <f>VLOOKUP($A29,'Data shares'!$C:$FB,43)</f>
        <v>60500</v>
      </c>
      <c r="I29" s="50">
        <f>VLOOKUP($A29,'Data shares'!$C:$FB,45)*100</f>
        <v>-54.379999999999995</v>
      </c>
      <c r="J29" s="49">
        <f>VLOOKUP($A29,'Data shares'!$C:$FB,58)</f>
        <v>90100</v>
      </c>
      <c r="K29" s="49">
        <f>VLOOKUP($A29,'Data shares'!$C:$FB,59)</f>
        <v>226200</v>
      </c>
      <c r="L29" s="50">
        <f>VLOOKUP($A29,'Data shares'!$C:$FB,61)*100</f>
        <v>-60.17</v>
      </c>
      <c r="M29" s="49">
        <f>VLOOKUP($A29,'Data shares'!$C:$FB,62)</f>
        <v>134700</v>
      </c>
      <c r="N29" s="49">
        <f>VLOOKUP($A29,'Data shares'!$C:$FB,63)</f>
        <v>36200</v>
      </c>
      <c r="O29" s="140">
        <f>VLOOKUP($A29,'Data shares'!$C:$FB,65)*100</f>
        <v>272.10000000000002</v>
      </c>
    </row>
    <row r="30" spans="1:15" x14ac:dyDescent="0.25">
      <c r="A30" s="101" t="str">
        <f>'Data Vlaue (Cr)'!C25</f>
        <v>BAJFINANCE</v>
      </c>
      <c r="B30" s="50">
        <f>VLOOKUP($A30,'Data shares'!$C:$FB,7)</f>
        <v>908.25</v>
      </c>
      <c r="C30" s="50">
        <f>VLOOKUP($A30,'Data shares'!$C:$FB,10)*100</f>
        <v>0.26</v>
      </c>
      <c r="D30" s="49">
        <f>VLOOKUP($A30,'Data shares'!$C:$FB,66)</f>
        <v>27449250</v>
      </c>
      <c r="E30" s="49">
        <f>VLOOKUP($A30,'Data shares'!$C:$FB,67)</f>
        <v>56044500</v>
      </c>
      <c r="F30" s="50">
        <f>VLOOKUP($A30,'Data shares'!$C:$FB,69)*100</f>
        <v>-51.019999999999996</v>
      </c>
      <c r="G30" s="49">
        <f>VLOOKUP($A30,'Data shares'!$C:$FB,42)</f>
        <v>4827750</v>
      </c>
      <c r="H30" s="49">
        <f>VLOOKUP($A30,'Data shares'!$C:$FB,43)</f>
        <v>10329750</v>
      </c>
      <c r="I30" s="50">
        <f>VLOOKUP($A30,'Data shares'!$C:$FB,45)*100</f>
        <v>-53.26</v>
      </c>
      <c r="J30" s="49">
        <f>VLOOKUP($A30,'Data shares'!$C:$FB,58)</f>
        <v>13919250</v>
      </c>
      <c r="K30" s="49">
        <f>VLOOKUP($A30,'Data shares'!$C:$FB,59)</f>
        <v>29202750</v>
      </c>
      <c r="L30" s="50">
        <f>VLOOKUP($A30,'Data shares'!$C:$FB,61)*100</f>
        <v>-52.339999999999996</v>
      </c>
      <c r="M30" s="49">
        <f>VLOOKUP($A30,'Data shares'!$C:$FB,62)</f>
        <v>8702250</v>
      </c>
      <c r="N30" s="49">
        <f>VLOOKUP($A30,'Data shares'!$C:$FB,63)</f>
        <v>16512000</v>
      </c>
      <c r="O30" s="140">
        <f>VLOOKUP($A30,'Data shares'!$C:$FB,65)*100</f>
        <v>-47.3</v>
      </c>
    </row>
    <row r="31" spans="1:15" x14ac:dyDescent="0.25">
      <c r="A31" s="101" t="str">
        <f>'Data Vlaue (Cr)'!C26</f>
        <v>BANDHANBNK</v>
      </c>
      <c r="B31" s="50">
        <f>VLOOKUP($A31,'Data shares'!$C:$FB,7)</f>
        <v>174.47</v>
      </c>
      <c r="C31" s="50">
        <f>VLOOKUP($A31,'Data shares'!$C:$FB,10)*100</f>
        <v>0.16999999999999998</v>
      </c>
      <c r="D31" s="49">
        <f>VLOOKUP($A31,'Data shares'!$C:$FB,66)</f>
        <v>42001200</v>
      </c>
      <c r="E31" s="49">
        <f>VLOOKUP($A31,'Data shares'!$C:$FB,67)</f>
        <v>44218800</v>
      </c>
      <c r="F31" s="50">
        <f>VLOOKUP($A31,'Data shares'!$C:$FB,69)*100</f>
        <v>-5.0200000000000005</v>
      </c>
      <c r="G31" s="49">
        <f>VLOOKUP($A31,'Data shares'!$C:$FB,42)</f>
        <v>25804800</v>
      </c>
      <c r="H31" s="49">
        <f>VLOOKUP($A31,'Data shares'!$C:$FB,43)</f>
        <v>13838400</v>
      </c>
      <c r="I31" s="50">
        <f>VLOOKUP($A31,'Data shares'!$C:$FB,45)*100</f>
        <v>86.47</v>
      </c>
      <c r="J31" s="49">
        <f>VLOOKUP($A31,'Data shares'!$C:$FB,58)</f>
        <v>9324000</v>
      </c>
      <c r="K31" s="49">
        <f>VLOOKUP($A31,'Data shares'!$C:$FB,59)</f>
        <v>17355600</v>
      </c>
      <c r="L31" s="50">
        <f>VLOOKUP($A31,'Data shares'!$C:$FB,61)*100</f>
        <v>-46.28</v>
      </c>
      <c r="M31" s="49">
        <f>VLOOKUP($A31,'Data shares'!$C:$FB,62)</f>
        <v>6872400</v>
      </c>
      <c r="N31" s="49">
        <f>VLOOKUP($A31,'Data shares'!$C:$FB,63)</f>
        <v>13024800</v>
      </c>
      <c r="O31" s="140">
        <f>VLOOKUP($A31,'Data shares'!$C:$FB,65)*100</f>
        <v>-47.24</v>
      </c>
    </row>
    <row r="32" spans="1:15" x14ac:dyDescent="0.25">
      <c r="A32" s="101" t="str">
        <f>'Data Vlaue (Cr)'!C27</f>
        <v>BANKBARODA</v>
      </c>
      <c r="B32" s="50">
        <f>VLOOKUP($A32,'Data shares'!$C:$FB,7)</f>
        <v>280.44</v>
      </c>
      <c r="C32" s="50">
        <f>VLOOKUP($A32,'Data shares'!$C:$FB,10)*100</f>
        <v>0.38</v>
      </c>
      <c r="D32" s="49">
        <f>VLOOKUP($A32,'Data shares'!$C:$FB,66)</f>
        <v>84333600</v>
      </c>
      <c r="E32" s="49">
        <f>VLOOKUP($A32,'Data shares'!$C:$FB,67)</f>
        <v>66257100</v>
      </c>
      <c r="F32" s="50">
        <f>VLOOKUP($A32,'Data shares'!$C:$FB,69)*100</f>
        <v>27.279999999999998</v>
      </c>
      <c r="G32" s="49">
        <f>VLOOKUP($A32,'Data shares'!$C:$FB,42)</f>
        <v>27006525</v>
      </c>
      <c r="H32" s="49">
        <f>VLOOKUP($A32,'Data shares'!$C:$FB,43)</f>
        <v>15177825</v>
      </c>
      <c r="I32" s="50">
        <f>VLOOKUP($A32,'Data shares'!$C:$FB,45)*100</f>
        <v>77.929999999999993</v>
      </c>
      <c r="J32" s="49">
        <f>VLOOKUP($A32,'Data shares'!$C:$FB,58)</f>
        <v>33546825</v>
      </c>
      <c r="K32" s="49">
        <f>VLOOKUP($A32,'Data shares'!$C:$FB,59)</f>
        <v>31253625</v>
      </c>
      <c r="L32" s="50">
        <f>VLOOKUP($A32,'Data shares'!$C:$FB,61)*100</f>
        <v>7.3400000000000007</v>
      </c>
      <c r="M32" s="49">
        <f>VLOOKUP($A32,'Data shares'!$C:$FB,62)</f>
        <v>23780250</v>
      </c>
      <c r="N32" s="49">
        <f>VLOOKUP($A32,'Data shares'!$C:$FB,63)</f>
        <v>19825650</v>
      </c>
      <c r="O32" s="140">
        <f>VLOOKUP($A32,'Data shares'!$C:$FB,65)*100</f>
        <v>19.950000000000003</v>
      </c>
    </row>
    <row r="33" spans="1:15" x14ac:dyDescent="0.25">
      <c r="A33" s="101" t="str">
        <f>'Data Vlaue (Cr)'!C28</f>
        <v>BANKINDIA</v>
      </c>
      <c r="B33" s="50">
        <f>VLOOKUP($A33,'Data shares'!$C:$FB,7)</f>
        <v>148.1</v>
      </c>
      <c r="C33" s="50">
        <f>VLOOKUP($A33,'Data shares'!$C:$FB,10)*100</f>
        <v>-0.51</v>
      </c>
      <c r="D33" s="49">
        <f>VLOOKUP($A33,'Data shares'!$C:$FB,66)</f>
        <v>49228400</v>
      </c>
      <c r="E33" s="49">
        <f>VLOOKUP($A33,'Data shares'!$C:$FB,67)</f>
        <v>50096800</v>
      </c>
      <c r="F33" s="50">
        <f>VLOOKUP($A33,'Data shares'!$C:$FB,69)*100</f>
        <v>-1.73</v>
      </c>
      <c r="G33" s="49">
        <f>VLOOKUP($A33,'Data shares'!$C:$FB,42)</f>
        <v>13993200</v>
      </c>
      <c r="H33" s="49">
        <f>VLOOKUP($A33,'Data shares'!$C:$FB,43)</f>
        <v>14071200</v>
      </c>
      <c r="I33" s="50">
        <f>VLOOKUP($A33,'Data shares'!$C:$FB,45)*100</f>
        <v>-0.54999999999999993</v>
      </c>
      <c r="J33" s="49">
        <f>VLOOKUP($A33,'Data shares'!$C:$FB,58)</f>
        <v>23868000</v>
      </c>
      <c r="K33" s="49">
        <f>VLOOKUP($A33,'Data shares'!$C:$FB,59)</f>
        <v>22141600</v>
      </c>
      <c r="L33" s="50">
        <f>VLOOKUP($A33,'Data shares'!$C:$FB,61)*100</f>
        <v>7.8</v>
      </c>
      <c r="M33" s="49">
        <f>VLOOKUP($A33,'Data shares'!$C:$FB,62)</f>
        <v>11367200</v>
      </c>
      <c r="N33" s="49">
        <f>VLOOKUP($A33,'Data shares'!$C:$FB,63)</f>
        <v>13884000</v>
      </c>
      <c r="O33" s="140">
        <f>VLOOKUP($A33,'Data shares'!$C:$FB,65)*100</f>
        <v>-18.13</v>
      </c>
    </row>
    <row r="34" spans="1:15" x14ac:dyDescent="0.25">
      <c r="A34" s="101" t="str">
        <f>'Data Vlaue (Cr)'!C29</f>
        <v>BANKNIFTY</v>
      </c>
      <c r="B34" s="50">
        <f>VLOOKUP($A34,'Data shares'!$C:$FB,7)</f>
        <v>56565.7</v>
      </c>
      <c r="C34" s="50">
        <f>VLOOKUP($A34,'Data shares'!$C:$FB,10)*100</f>
        <v>0.85000000000000009</v>
      </c>
      <c r="D34" s="49">
        <f>VLOOKUP($A34,'Data shares'!$C:$FB,66)</f>
        <v>77146710</v>
      </c>
      <c r="E34" s="49">
        <f>VLOOKUP($A34,'Data shares'!$C:$FB,67)</f>
        <v>78456330</v>
      </c>
      <c r="F34" s="50">
        <f>VLOOKUP($A34,'Data shares'!$C:$FB,69)*100</f>
        <v>-1.67</v>
      </c>
      <c r="G34" s="49">
        <f>VLOOKUP($A34,'Data shares'!$C:$FB,42)</f>
        <v>763170</v>
      </c>
      <c r="H34" s="49">
        <f>VLOOKUP($A34,'Data shares'!$C:$FB,43)</f>
        <v>933180</v>
      </c>
      <c r="I34" s="50">
        <f>VLOOKUP($A34,'Data shares'!$C:$FB,45)*100</f>
        <v>-18.22</v>
      </c>
      <c r="J34" s="49">
        <f>VLOOKUP($A34,'Data shares'!$C:$FB,58)</f>
        <v>40643610</v>
      </c>
      <c r="K34" s="49">
        <f>VLOOKUP($A34,'Data shares'!$C:$FB,59)</f>
        <v>39677310</v>
      </c>
      <c r="L34" s="50">
        <f>VLOOKUP($A34,'Data shares'!$C:$FB,61)*100</f>
        <v>2.44</v>
      </c>
      <c r="M34" s="49">
        <f>VLOOKUP($A34,'Data shares'!$C:$FB,62)</f>
        <v>35739930</v>
      </c>
      <c r="N34" s="49">
        <f>VLOOKUP($A34,'Data shares'!$C:$FB,63)</f>
        <v>37845840</v>
      </c>
      <c r="O34" s="140">
        <f>VLOOKUP($A34,'Data shares'!$C:$FB,65)*100</f>
        <v>-5.56</v>
      </c>
    </row>
    <row r="35" spans="1:15" x14ac:dyDescent="0.25">
      <c r="A35" s="101" t="str">
        <f>'Data Vlaue (Cr)'!C30</f>
        <v>BDL</v>
      </c>
      <c r="B35" s="50">
        <f>VLOOKUP($A35,'Data shares'!$C:$FB,7)</f>
        <v>1380.7</v>
      </c>
      <c r="C35" s="50">
        <f>VLOOKUP($A35,'Data shares'!$C:$FB,10)*100</f>
        <v>1.5699999999999998</v>
      </c>
      <c r="D35" s="49">
        <f>VLOOKUP($A35,'Data shares'!$C:$FB,66)</f>
        <v>10328150</v>
      </c>
      <c r="E35" s="49">
        <f>VLOOKUP($A35,'Data shares'!$C:$FB,67)</f>
        <v>8837500</v>
      </c>
      <c r="F35" s="50">
        <f>VLOOKUP($A35,'Data shares'!$C:$FB,69)*100</f>
        <v>16.869999999999997</v>
      </c>
      <c r="G35" s="49">
        <f>VLOOKUP($A35,'Data shares'!$C:$FB,42)</f>
        <v>1185800</v>
      </c>
      <c r="H35" s="49">
        <f>VLOOKUP($A35,'Data shares'!$C:$FB,43)</f>
        <v>1647800</v>
      </c>
      <c r="I35" s="50">
        <f>VLOOKUP($A35,'Data shares'!$C:$FB,45)*100</f>
        <v>-28.04</v>
      </c>
      <c r="J35" s="49">
        <f>VLOOKUP($A35,'Data shares'!$C:$FB,58)</f>
        <v>6002500</v>
      </c>
      <c r="K35" s="49">
        <f>VLOOKUP($A35,'Data shares'!$C:$FB,59)</f>
        <v>4857650</v>
      </c>
      <c r="L35" s="50">
        <f>VLOOKUP($A35,'Data shares'!$C:$FB,61)*100</f>
        <v>23.57</v>
      </c>
      <c r="M35" s="49">
        <f>VLOOKUP($A35,'Data shares'!$C:$FB,62)</f>
        <v>3139850</v>
      </c>
      <c r="N35" s="49">
        <f>VLOOKUP($A35,'Data shares'!$C:$FB,63)</f>
        <v>2332050</v>
      </c>
      <c r="O35" s="140">
        <f>VLOOKUP($A35,'Data shares'!$C:$FB,65)*100</f>
        <v>34.64</v>
      </c>
    </row>
    <row r="36" spans="1:15" x14ac:dyDescent="0.25">
      <c r="A36" s="101" t="str">
        <f>'Data Vlaue (Cr)'!C31</f>
        <v>BEL</v>
      </c>
      <c r="B36" s="50">
        <f>VLOOKUP($A36,'Data shares'!$C:$FB,7)</f>
        <v>462.75</v>
      </c>
      <c r="C36" s="50">
        <f>VLOOKUP($A36,'Data shares'!$C:$FB,10)*100</f>
        <v>1.5599999999999998</v>
      </c>
      <c r="D36" s="49">
        <f>VLOOKUP($A36,'Data shares'!$C:$FB,66)</f>
        <v>128812875</v>
      </c>
      <c r="E36" s="49">
        <f>VLOOKUP($A36,'Data shares'!$C:$FB,67)</f>
        <v>118390425</v>
      </c>
      <c r="F36" s="50">
        <f>VLOOKUP($A36,'Data shares'!$C:$FB,69)*100</f>
        <v>8.7999999999999989</v>
      </c>
      <c r="G36" s="49">
        <f>VLOOKUP($A36,'Data shares'!$C:$FB,42)</f>
        <v>12468750</v>
      </c>
      <c r="H36" s="49">
        <f>VLOOKUP($A36,'Data shares'!$C:$FB,43)</f>
        <v>14604825</v>
      </c>
      <c r="I36" s="50">
        <f>VLOOKUP($A36,'Data shares'!$C:$FB,45)*100</f>
        <v>-14.63</v>
      </c>
      <c r="J36" s="49">
        <f>VLOOKUP($A36,'Data shares'!$C:$FB,58)</f>
        <v>77725200</v>
      </c>
      <c r="K36" s="49">
        <f>VLOOKUP($A36,'Data shares'!$C:$FB,59)</f>
        <v>70823925</v>
      </c>
      <c r="L36" s="50">
        <f>VLOOKUP($A36,'Data shares'!$C:$FB,61)*100</f>
        <v>9.74</v>
      </c>
      <c r="M36" s="49">
        <f>VLOOKUP($A36,'Data shares'!$C:$FB,62)</f>
        <v>38618925</v>
      </c>
      <c r="N36" s="49">
        <f>VLOOKUP($A36,'Data shares'!$C:$FB,63)</f>
        <v>32961675</v>
      </c>
      <c r="O36" s="140">
        <f>VLOOKUP($A36,'Data shares'!$C:$FB,65)*100</f>
        <v>17.16</v>
      </c>
    </row>
    <row r="37" spans="1:15" x14ac:dyDescent="0.25">
      <c r="A37" s="101" t="str">
        <f>'Data Vlaue (Cr)'!C32</f>
        <v>BHARATFORG</v>
      </c>
      <c r="B37" s="50">
        <f>VLOOKUP($A37,'Data shares'!$C:$FB,7)</f>
        <v>1860.5</v>
      </c>
      <c r="C37" s="50">
        <f>VLOOKUP($A37,'Data shares'!$C:$FB,10)*100</f>
        <v>0.25</v>
      </c>
      <c r="D37" s="49">
        <f>VLOOKUP($A37,'Data shares'!$C:$FB,66)</f>
        <v>7707000</v>
      </c>
      <c r="E37" s="49">
        <f>VLOOKUP($A37,'Data shares'!$C:$FB,67)</f>
        <v>6984500</v>
      </c>
      <c r="F37" s="50">
        <f>VLOOKUP($A37,'Data shares'!$C:$FB,69)*100</f>
        <v>10.34</v>
      </c>
      <c r="G37" s="49">
        <f>VLOOKUP($A37,'Data shares'!$C:$FB,42)</f>
        <v>1484500</v>
      </c>
      <c r="H37" s="49">
        <f>VLOOKUP($A37,'Data shares'!$C:$FB,43)</f>
        <v>1634000</v>
      </c>
      <c r="I37" s="50">
        <f>VLOOKUP($A37,'Data shares'!$C:$FB,45)*100</f>
        <v>-9.15</v>
      </c>
      <c r="J37" s="49">
        <f>VLOOKUP($A37,'Data shares'!$C:$FB,58)</f>
        <v>3798000</v>
      </c>
      <c r="K37" s="49">
        <f>VLOOKUP($A37,'Data shares'!$C:$FB,59)</f>
        <v>3500000</v>
      </c>
      <c r="L37" s="50">
        <f>VLOOKUP($A37,'Data shares'!$C:$FB,61)*100</f>
        <v>8.51</v>
      </c>
      <c r="M37" s="49">
        <f>VLOOKUP($A37,'Data shares'!$C:$FB,62)</f>
        <v>2424500</v>
      </c>
      <c r="N37" s="49">
        <f>VLOOKUP($A37,'Data shares'!$C:$FB,63)</f>
        <v>1850500</v>
      </c>
      <c r="O37" s="140">
        <f>VLOOKUP($A37,'Data shares'!$C:$FB,65)*100</f>
        <v>31.019999999999996</v>
      </c>
    </row>
    <row r="38" spans="1:15" x14ac:dyDescent="0.25">
      <c r="A38" s="101" t="str">
        <f>'Data Vlaue (Cr)'!C33</f>
        <v>BHARTIARTL</v>
      </c>
      <c r="B38" s="50">
        <f>VLOOKUP($A38,'Data shares'!$C:$FB,7)</f>
        <v>1846.9</v>
      </c>
      <c r="C38" s="50">
        <f>VLOOKUP($A38,'Data shares'!$C:$FB,10)*100</f>
        <v>0.33999999999999997</v>
      </c>
      <c r="D38" s="49">
        <f>VLOOKUP($A38,'Data shares'!$C:$FB,66)</f>
        <v>26877400</v>
      </c>
      <c r="E38" s="49">
        <f>VLOOKUP($A38,'Data shares'!$C:$FB,67)</f>
        <v>42978000</v>
      </c>
      <c r="F38" s="50">
        <f>VLOOKUP($A38,'Data shares'!$C:$FB,69)*100</f>
        <v>-37.46</v>
      </c>
      <c r="G38" s="49">
        <f>VLOOKUP($A38,'Data shares'!$C:$FB,42)</f>
        <v>3909250</v>
      </c>
      <c r="H38" s="49">
        <f>VLOOKUP($A38,'Data shares'!$C:$FB,43)</f>
        <v>7742975</v>
      </c>
      <c r="I38" s="50">
        <f>VLOOKUP($A38,'Data shares'!$C:$FB,45)*100</f>
        <v>-49.51</v>
      </c>
      <c r="J38" s="49">
        <f>VLOOKUP($A38,'Data shares'!$C:$FB,58)</f>
        <v>15595200</v>
      </c>
      <c r="K38" s="49">
        <f>VLOOKUP($A38,'Data shares'!$C:$FB,59)</f>
        <v>24614025</v>
      </c>
      <c r="L38" s="50">
        <f>VLOOKUP($A38,'Data shares'!$C:$FB,61)*100</f>
        <v>-36.64</v>
      </c>
      <c r="M38" s="49">
        <f>VLOOKUP($A38,'Data shares'!$C:$FB,62)</f>
        <v>7372950</v>
      </c>
      <c r="N38" s="49">
        <f>VLOOKUP($A38,'Data shares'!$C:$FB,63)</f>
        <v>10621000</v>
      </c>
      <c r="O38" s="140">
        <f>VLOOKUP($A38,'Data shares'!$C:$FB,65)*100</f>
        <v>-30.580000000000002</v>
      </c>
    </row>
    <row r="39" spans="1:15" x14ac:dyDescent="0.25">
      <c r="A39" s="101" t="str">
        <f>'Data Vlaue (Cr)'!C34</f>
        <v>BHEL</v>
      </c>
      <c r="B39" s="50">
        <f>VLOOKUP($A39,'Data shares'!$C:$FB,7)</f>
        <v>316.79000000000002</v>
      </c>
      <c r="C39" s="50">
        <f>VLOOKUP($A39,'Data shares'!$C:$FB,10)*100</f>
        <v>2.4299999999999997</v>
      </c>
      <c r="D39" s="49">
        <f>VLOOKUP($A39,'Data shares'!$C:$FB,66)</f>
        <v>274824375</v>
      </c>
      <c r="E39" s="49">
        <f>VLOOKUP($A39,'Data shares'!$C:$FB,67)</f>
        <v>261040500</v>
      </c>
      <c r="F39" s="50">
        <f>VLOOKUP($A39,'Data shares'!$C:$FB,69)*100</f>
        <v>5.28</v>
      </c>
      <c r="G39" s="49">
        <f>VLOOKUP($A39,'Data shares'!$C:$FB,42)</f>
        <v>37033500</v>
      </c>
      <c r="H39" s="49">
        <f>VLOOKUP($A39,'Data shares'!$C:$FB,43)</f>
        <v>50124375</v>
      </c>
      <c r="I39" s="50">
        <f>VLOOKUP($A39,'Data shares'!$C:$FB,45)*100</f>
        <v>-26.119999999999997</v>
      </c>
      <c r="J39" s="49">
        <f>VLOOKUP($A39,'Data shares'!$C:$FB,58)</f>
        <v>148863750</v>
      </c>
      <c r="K39" s="49">
        <f>VLOOKUP($A39,'Data shares'!$C:$FB,59)</f>
        <v>147183750</v>
      </c>
      <c r="L39" s="50">
        <f>VLOOKUP($A39,'Data shares'!$C:$FB,61)*100</f>
        <v>1.1400000000000001</v>
      </c>
      <c r="M39" s="49">
        <f>VLOOKUP($A39,'Data shares'!$C:$FB,62)</f>
        <v>88927125</v>
      </c>
      <c r="N39" s="49">
        <f>VLOOKUP($A39,'Data shares'!$C:$FB,63)</f>
        <v>63732375</v>
      </c>
      <c r="O39" s="140">
        <f>VLOOKUP($A39,'Data shares'!$C:$FB,65)*100</f>
        <v>39.53</v>
      </c>
    </row>
    <row r="40" spans="1:15" x14ac:dyDescent="0.25">
      <c r="A40" s="101" t="str">
        <f>'Data Vlaue (Cr)'!C35</f>
        <v>BIOCON</v>
      </c>
      <c r="B40" s="50">
        <f>VLOOKUP($A40,'Data shares'!$C:$FB,7)</f>
        <v>358.1</v>
      </c>
      <c r="C40" s="50">
        <f>VLOOKUP($A40,'Data shares'!$C:$FB,10)*100</f>
        <v>2.1</v>
      </c>
      <c r="D40" s="49">
        <f>VLOOKUP($A40,'Data shares'!$C:$FB,66)</f>
        <v>83432500</v>
      </c>
      <c r="E40" s="49">
        <f>VLOOKUP($A40,'Data shares'!$C:$FB,67)</f>
        <v>31670000</v>
      </c>
      <c r="F40" s="50">
        <f>VLOOKUP($A40,'Data shares'!$C:$FB,69)*100</f>
        <v>163.44</v>
      </c>
      <c r="G40" s="49">
        <f>VLOOKUP($A40,'Data shares'!$C:$FB,42)</f>
        <v>9135000</v>
      </c>
      <c r="H40" s="49">
        <f>VLOOKUP($A40,'Data shares'!$C:$FB,43)</f>
        <v>5522500</v>
      </c>
      <c r="I40" s="50">
        <f>VLOOKUP($A40,'Data shares'!$C:$FB,45)*100</f>
        <v>65.41</v>
      </c>
      <c r="J40" s="49">
        <f>VLOOKUP($A40,'Data shares'!$C:$FB,58)</f>
        <v>60077500</v>
      </c>
      <c r="K40" s="49">
        <f>VLOOKUP($A40,'Data shares'!$C:$FB,59)</f>
        <v>18965000</v>
      </c>
      <c r="L40" s="50">
        <f>VLOOKUP($A40,'Data shares'!$C:$FB,61)*100</f>
        <v>216.78000000000003</v>
      </c>
      <c r="M40" s="49">
        <f>VLOOKUP($A40,'Data shares'!$C:$FB,62)</f>
        <v>14220000</v>
      </c>
      <c r="N40" s="49">
        <f>VLOOKUP($A40,'Data shares'!$C:$FB,63)</f>
        <v>7182500</v>
      </c>
      <c r="O40" s="140">
        <f>VLOOKUP($A40,'Data shares'!$C:$FB,65)*100</f>
        <v>97.98</v>
      </c>
    </row>
    <row r="41" spans="1:15" x14ac:dyDescent="0.25">
      <c r="A41" s="101" t="str">
        <f>'Data Vlaue (Cr)'!C36</f>
        <v>BLUESTARCO</v>
      </c>
      <c r="B41" s="50">
        <f>VLOOKUP($A41,'Data shares'!$C:$FB,7)</f>
        <v>1866.1</v>
      </c>
      <c r="C41" s="50">
        <f>VLOOKUP($A41,'Data shares'!$C:$FB,10)*100</f>
        <v>0.91</v>
      </c>
      <c r="D41" s="49">
        <f>VLOOKUP($A41,'Data shares'!$C:$FB,66)</f>
        <v>4043325</v>
      </c>
      <c r="E41" s="49">
        <f>VLOOKUP($A41,'Data shares'!$C:$FB,67)</f>
        <v>10647000</v>
      </c>
      <c r="F41" s="50">
        <f>VLOOKUP($A41,'Data shares'!$C:$FB,69)*100</f>
        <v>-62.019999999999996</v>
      </c>
      <c r="G41" s="49">
        <f>VLOOKUP($A41,'Data shares'!$C:$FB,42)</f>
        <v>1398150</v>
      </c>
      <c r="H41" s="49">
        <f>VLOOKUP($A41,'Data shares'!$C:$FB,43)</f>
        <v>1784575</v>
      </c>
      <c r="I41" s="50">
        <f>VLOOKUP($A41,'Data shares'!$C:$FB,45)*100</f>
        <v>-21.65</v>
      </c>
      <c r="J41" s="49">
        <f>VLOOKUP($A41,'Data shares'!$C:$FB,58)</f>
        <v>1745250</v>
      </c>
      <c r="K41" s="49">
        <f>VLOOKUP($A41,'Data shares'!$C:$FB,59)</f>
        <v>6842225</v>
      </c>
      <c r="L41" s="50">
        <f>VLOOKUP($A41,'Data shares'!$C:$FB,61)*100</f>
        <v>-74.489999999999995</v>
      </c>
      <c r="M41" s="49">
        <f>VLOOKUP($A41,'Data shares'!$C:$FB,62)</f>
        <v>899925</v>
      </c>
      <c r="N41" s="49">
        <f>VLOOKUP($A41,'Data shares'!$C:$FB,63)</f>
        <v>2020200</v>
      </c>
      <c r="O41" s="140">
        <f>VLOOKUP($A41,'Data shares'!$C:$FB,65)*100</f>
        <v>-55.45</v>
      </c>
    </row>
    <row r="42" spans="1:15" x14ac:dyDescent="0.25">
      <c r="A42" s="101" t="str">
        <f>'Data Vlaue (Cr)'!C37</f>
        <v>BOSCHLTD</v>
      </c>
      <c r="B42" s="50">
        <f>VLOOKUP($A42,'Data shares'!$C:$FB,7)</f>
        <v>37505</v>
      </c>
      <c r="C42" s="50">
        <f>VLOOKUP($A42,'Data shares'!$C:$FB,10)*100</f>
        <v>0.16999999999999998</v>
      </c>
      <c r="D42" s="49">
        <f>VLOOKUP($A42,'Data shares'!$C:$FB,66)</f>
        <v>871700</v>
      </c>
      <c r="E42" s="49">
        <f>VLOOKUP($A42,'Data shares'!$C:$FB,67)</f>
        <v>539250</v>
      </c>
      <c r="F42" s="50">
        <f>VLOOKUP($A42,'Data shares'!$C:$FB,69)*100</f>
        <v>61.650000000000006</v>
      </c>
      <c r="G42" s="49">
        <f>VLOOKUP($A42,'Data shares'!$C:$FB,42)</f>
        <v>28300</v>
      </c>
      <c r="H42" s="49">
        <f>VLOOKUP($A42,'Data shares'!$C:$FB,43)</f>
        <v>41925</v>
      </c>
      <c r="I42" s="50">
        <f>VLOOKUP($A42,'Data shares'!$C:$FB,45)*100</f>
        <v>-32.5</v>
      </c>
      <c r="J42" s="49">
        <f>VLOOKUP($A42,'Data shares'!$C:$FB,58)</f>
        <v>177175</v>
      </c>
      <c r="K42" s="49">
        <f>VLOOKUP($A42,'Data shares'!$C:$FB,59)</f>
        <v>243125</v>
      </c>
      <c r="L42" s="50">
        <f>VLOOKUP($A42,'Data shares'!$C:$FB,61)*100</f>
        <v>-27.13</v>
      </c>
      <c r="M42" s="49">
        <f>VLOOKUP($A42,'Data shares'!$C:$FB,62)</f>
        <v>666225</v>
      </c>
      <c r="N42" s="49">
        <f>VLOOKUP($A42,'Data shares'!$C:$FB,63)</f>
        <v>254200</v>
      </c>
      <c r="O42" s="140">
        <f>VLOOKUP($A42,'Data shares'!$C:$FB,65)*100</f>
        <v>162.09</v>
      </c>
    </row>
    <row r="43" spans="1:15" x14ac:dyDescent="0.25">
      <c r="A43" s="101" t="str">
        <f>'Data Vlaue (Cr)'!C38</f>
        <v>BPCL</v>
      </c>
      <c r="B43" s="50">
        <f>VLOOKUP($A43,'Data shares'!$C:$FB,7)</f>
        <v>312.10000000000002</v>
      </c>
      <c r="C43" s="50">
        <f>VLOOKUP($A43,'Data shares'!$C:$FB,10)*100</f>
        <v>1.35</v>
      </c>
      <c r="D43" s="49">
        <f>VLOOKUP($A43,'Data shares'!$C:$FB,66)</f>
        <v>59779300</v>
      </c>
      <c r="E43" s="49">
        <f>VLOOKUP($A43,'Data shares'!$C:$FB,67)</f>
        <v>45820000</v>
      </c>
      <c r="F43" s="50">
        <f>VLOOKUP($A43,'Data shares'!$C:$FB,69)*100</f>
        <v>30.470000000000002</v>
      </c>
      <c r="G43" s="49">
        <f>VLOOKUP($A43,'Data shares'!$C:$FB,42)</f>
        <v>7886175</v>
      </c>
      <c r="H43" s="49">
        <f>VLOOKUP($A43,'Data shares'!$C:$FB,43)</f>
        <v>8105400</v>
      </c>
      <c r="I43" s="50">
        <f>VLOOKUP($A43,'Data shares'!$C:$FB,45)*100</f>
        <v>-2.7</v>
      </c>
      <c r="J43" s="49">
        <f>VLOOKUP($A43,'Data shares'!$C:$FB,58)</f>
        <v>35060200</v>
      </c>
      <c r="K43" s="49">
        <f>VLOOKUP($A43,'Data shares'!$C:$FB,59)</f>
        <v>23729625</v>
      </c>
      <c r="L43" s="50">
        <f>VLOOKUP($A43,'Data shares'!$C:$FB,61)*100</f>
        <v>47.75</v>
      </c>
      <c r="M43" s="49">
        <f>VLOOKUP($A43,'Data shares'!$C:$FB,62)</f>
        <v>16832925</v>
      </c>
      <c r="N43" s="49">
        <f>VLOOKUP($A43,'Data shares'!$C:$FB,63)</f>
        <v>13984975</v>
      </c>
      <c r="O43" s="140">
        <f>VLOOKUP($A43,'Data shares'!$C:$FB,65)*100</f>
        <v>20.36</v>
      </c>
    </row>
    <row r="44" spans="1:15" x14ac:dyDescent="0.25">
      <c r="A44" s="101" t="str">
        <f>'Data Vlaue (Cr)'!C39</f>
        <v>BRITANNIA</v>
      </c>
      <c r="B44" s="50">
        <f>VLOOKUP($A44,'Data shares'!$C:$FB,7)</f>
        <v>5735.5</v>
      </c>
      <c r="C44" s="50">
        <f>VLOOKUP($A44,'Data shares'!$C:$FB,10)*100</f>
        <v>2.68</v>
      </c>
      <c r="D44" s="49">
        <f>VLOOKUP($A44,'Data shares'!$C:$FB,66)</f>
        <v>3647000</v>
      </c>
      <c r="E44" s="49">
        <f>VLOOKUP($A44,'Data shares'!$C:$FB,67)</f>
        <v>2099625</v>
      </c>
      <c r="F44" s="50">
        <f>VLOOKUP($A44,'Data shares'!$C:$FB,69)*100</f>
        <v>73.7</v>
      </c>
      <c r="G44" s="49">
        <f>VLOOKUP($A44,'Data shares'!$C:$FB,42)</f>
        <v>437625</v>
      </c>
      <c r="H44" s="49">
        <f>VLOOKUP($A44,'Data shares'!$C:$FB,43)</f>
        <v>400875</v>
      </c>
      <c r="I44" s="50">
        <f>VLOOKUP($A44,'Data shares'!$C:$FB,45)*100</f>
        <v>9.17</v>
      </c>
      <c r="J44" s="49">
        <f>VLOOKUP($A44,'Data shares'!$C:$FB,58)</f>
        <v>2503000</v>
      </c>
      <c r="K44" s="49">
        <f>VLOOKUP($A44,'Data shares'!$C:$FB,59)</f>
        <v>1187125</v>
      </c>
      <c r="L44" s="50">
        <f>VLOOKUP($A44,'Data shares'!$C:$FB,61)*100</f>
        <v>110.85000000000001</v>
      </c>
      <c r="M44" s="49">
        <f>VLOOKUP($A44,'Data shares'!$C:$FB,62)</f>
        <v>706375</v>
      </c>
      <c r="N44" s="49">
        <f>VLOOKUP($A44,'Data shares'!$C:$FB,63)</f>
        <v>511625</v>
      </c>
      <c r="O44" s="140">
        <f>VLOOKUP($A44,'Data shares'!$C:$FB,65)*100</f>
        <v>38.06</v>
      </c>
    </row>
    <row r="45" spans="1:15" x14ac:dyDescent="0.25">
      <c r="A45" s="101" t="str">
        <f>'Data Vlaue (Cr)'!C40</f>
        <v>BSE</v>
      </c>
      <c r="B45" s="50">
        <f>VLOOKUP($A45,'Data shares'!$C:$FB,7)</f>
        <v>3531.5</v>
      </c>
      <c r="C45" s="50">
        <f>VLOOKUP($A45,'Data shares'!$C:$FB,10)*100</f>
        <v>2.46</v>
      </c>
      <c r="D45" s="49">
        <f>VLOOKUP($A45,'Data shares'!$C:$FB,66)</f>
        <v>64996500</v>
      </c>
      <c r="E45" s="49">
        <f>VLOOKUP($A45,'Data shares'!$C:$FB,67)</f>
        <v>33629250</v>
      </c>
      <c r="F45" s="50">
        <f>VLOOKUP($A45,'Data shares'!$C:$FB,69)*100</f>
        <v>93.27</v>
      </c>
      <c r="G45" s="49">
        <f>VLOOKUP($A45,'Data shares'!$C:$FB,42)</f>
        <v>5644875</v>
      </c>
      <c r="H45" s="49">
        <f>VLOOKUP($A45,'Data shares'!$C:$FB,43)</f>
        <v>3221625</v>
      </c>
      <c r="I45" s="50">
        <f>VLOOKUP($A45,'Data shares'!$C:$FB,45)*100</f>
        <v>75.22</v>
      </c>
      <c r="J45" s="49">
        <f>VLOOKUP($A45,'Data shares'!$C:$FB,58)</f>
        <v>33615750</v>
      </c>
      <c r="K45" s="49">
        <f>VLOOKUP($A45,'Data shares'!$C:$FB,59)</f>
        <v>16083000</v>
      </c>
      <c r="L45" s="50">
        <f>VLOOKUP($A45,'Data shares'!$C:$FB,61)*100</f>
        <v>109.01</v>
      </c>
      <c r="M45" s="49">
        <f>VLOOKUP($A45,'Data shares'!$C:$FB,62)</f>
        <v>25735875</v>
      </c>
      <c r="N45" s="49">
        <f>VLOOKUP($A45,'Data shares'!$C:$FB,63)</f>
        <v>14324625</v>
      </c>
      <c r="O45" s="140">
        <f>VLOOKUP($A45,'Data shares'!$C:$FB,65)*100</f>
        <v>79.66</v>
      </c>
    </row>
    <row r="46" spans="1:15" x14ac:dyDescent="0.25">
      <c r="A46" s="101" t="str">
        <f>'Data Vlaue (Cr)'!C41</f>
        <v>CAMS</v>
      </c>
      <c r="B46" s="50">
        <f>VLOOKUP($A46,'Data shares'!$C:$FB,7)</f>
        <v>750.15</v>
      </c>
      <c r="C46" s="50">
        <f>VLOOKUP($A46,'Data shares'!$C:$FB,10)*100</f>
        <v>1.59</v>
      </c>
      <c r="D46" s="49">
        <f>VLOOKUP($A46,'Data shares'!$C:$FB,66)</f>
        <v>12684750</v>
      </c>
      <c r="E46" s="49">
        <f>VLOOKUP($A46,'Data shares'!$C:$FB,67)</f>
        <v>7265250</v>
      </c>
      <c r="F46" s="50">
        <f>VLOOKUP($A46,'Data shares'!$C:$FB,69)*100</f>
        <v>74.59</v>
      </c>
      <c r="G46" s="49">
        <f>VLOOKUP($A46,'Data shares'!$C:$FB,42)</f>
        <v>2547000</v>
      </c>
      <c r="H46" s="49">
        <f>VLOOKUP($A46,'Data shares'!$C:$FB,43)</f>
        <v>1593750</v>
      </c>
      <c r="I46" s="50">
        <f>VLOOKUP($A46,'Data shares'!$C:$FB,45)*100</f>
        <v>59.809999999999995</v>
      </c>
      <c r="J46" s="49">
        <f>VLOOKUP($A46,'Data shares'!$C:$FB,58)</f>
        <v>6810750</v>
      </c>
      <c r="K46" s="49">
        <f>VLOOKUP($A46,'Data shares'!$C:$FB,59)</f>
        <v>3742500</v>
      </c>
      <c r="L46" s="50">
        <f>VLOOKUP($A46,'Data shares'!$C:$FB,61)*100</f>
        <v>81.98</v>
      </c>
      <c r="M46" s="49">
        <f>VLOOKUP($A46,'Data shares'!$C:$FB,62)</f>
        <v>3327000</v>
      </c>
      <c r="N46" s="49">
        <f>VLOOKUP($A46,'Data shares'!$C:$FB,63)</f>
        <v>1929000</v>
      </c>
      <c r="O46" s="140">
        <f>VLOOKUP($A46,'Data shares'!$C:$FB,65)*100</f>
        <v>72.47</v>
      </c>
    </row>
    <row r="47" spans="1:15" x14ac:dyDescent="0.25">
      <c r="A47" s="101" t="str">
        <f>'Data Vlaue (Cr)'!C42</f>
        <v>CANBK</v>
      </c>
      <c r="B47" s="50">
        <f>VLOOKUP($A47,'Data shares'!$C:$FB,7)</f>
        <v>142.37</v>
      </c>
      <c r="C47" s="50">
        <f>VLOOKUP($A47,'Data shares'!$C:$FB,10)*100</f>
        <v>0.95</v>
      </c>
      <c r="D47" s="49">
        <f>VLOOKUP($A47,'Data shares'!$C:$FB,66)</f>
        <v>153555750</v>
      </c>
      <c r="E47" s="49">
        <f>VLOOKUP($A47,'Data shares'!$C:$FB,67)</f>
        <v>126474750</v>
      </c>
      <c r="F47" s="50">
        <f>VLOOKUP($A47,'Data shares'!$C:$FB,69)*100</f>
        <v>21.41</v>
      </c>
      <c r="G47" s="49">
        <f>VLOOKUP($A47,'Data shares'!$C:$FB,42)</f>
        <v>51306750</v>
      </c>
      <c r="H47" s="49">
        <f>VLOOKUP($A47,'Data shares'!$C:$FB,43)</f>
        <v>31394250</v>
      </c>
      <c r="I47" s="50">
        <f>VLOOKUP($A47,'Data shares'!$C:$FB,45)*100</f>
        <v>63.43</v>
      </c>
      <c r="J47" s="49">
        <f>VLOOKUP($A47,'Data shares'!$C:$FB,58)</f>
        <v>65164500</v>
      </c>
      <c r="K47" s="49">
        <f>VLOOKUP($A47,'Data shares'!$C:$FB,59)</f>
        <v>53217000</v>
      </c>
      <c r="L47" s="50">
        <f>VLOOKUP($A47,'Data shares'!$C:$FB,61)*100</f>
        <v>22.45</v>
      </c>
      <c r="M47" s="49">
        <f>VLOOKUP($A47,'Data shares'!$C:$FB,62)</f>
        <v>37084500</v>
      </c>
      <c r="N47" s="49">
        <f>VLOOKUP($A47,'Data shares'!$C:$FB,63)</f>
        <v>41863500</v>
      </c>
      <c r="O47" s="140">
        <f>VLOOKUP($A47,'Data shares'!$C:$FB,65)*100</f>
        <v>-11.42</v>
      </c>
    </row>
    <row r="48" spans="1:15" x14ac:dyDescent="0.25">
      <c r="A48" s="101" t="str">
        <f>'Data Vlaue (Cr)'!C43</f>
        <v>CDSL</v>
      </c>
      <c r="B48" s="50">
        <f>VLOOKUP($A48,'Data shares'!$C:$FB,7)</f>
        <v>1393.2</v>
      </c>
      <c r="C48" s="50">
        <f>VLOOKUP($A48,'Data shares'!$C:$FB,10)*100</f>
        <v>1.8599999999999999</v>
      </c>
      <c r="D48" s="49">
        <f>VLOOKUP($A48,'Data shares'!$C:$FB,66)</f>
        <v>19797525</v>
      </c>
      <c r="E48" s="49">
        <f>VLOOKUP($A48,'Data shares'!$C:$FB,67)</f>
        <v>14911675</v>
      </c>
      <c r="F48" s="50">
        <f>VLOOKUP($A48,'Data shares'!$C:$FB,69)*100</f>
        <v>32.769999999999996</v>
      </c>
      <c r="G48" s="49">
        <f>VLOOKUP($A48,'Data shares'!$C:$FB,42)</f>
        <v>2435325</v>
      </c>
      <c r="H48" s="49">
        <f>VLOOKUP($A48,'Data shares'!$C:$FB,43)</f>
        <v>2547425</v>
      </c>
      <c r="I48" s="50">
        <f>VLOOKUP($A48,'Data shares'!$C:$FB,45)*100</f>
        <v>-4.3999999999999995</v>
      </c>
      <c r="J48" s="49">
        <f>VLOOKUP($A48,'Data shares'!$C:$FB,58)</f>
        <v>11070350</v>
      </c>
      <c r="K48" s="49">
        <f>VLOOKUP($A48,'Data shares'!$C:$FB,59)</f>
        <v>7921575</v>
      </c>
      <c r="L48" s="50">
        <f>VLOOKUP($A48,'Data shares'!$C:$FB,61)*100</f>
        <v>39.75</v>
      </c>
      <c r="M48" s="49">
        <f>VLOOKUP($A48,'Data shares'!$C:$FB,62)</f>
        <v>6291850</v>
      </c>
      <c r="N48" s="49">
        <f>VLOOKUP($A48,'Data shares'!$C:$FB,63)</f>
        <v>4442675</v>
      </c>
      <c r="O48" s="140">
        <f>VLOOKUP($A48,'Data shares'!$C:$FB,65)*100</f>
        <v>41.620000000000005</v>
      </c>
    </row>
    <row r="49" spans="1:15" x14ac:dyDescent="0.25">
      <c r="A49" s="101" t="str">
        <f>'Data Vlaue (Cr)'!C44</f>
        <v>CGPOWER</v>
      </c>
      <c r="B49" s="50">
        <f>VLOOKUP($A49,'Data shares'!$C:$FB,7)</f>
        <v>774.8</v>
      </c>
      <c r="C49" s="50">
        <f>VLOOKUP($A49,'Data shares'!$C:$FB,10)*100</f>
        <v>2.5</v>
      </c>
      <c r="D49" s="49">
        <f>VLOOKUP($A49,'Data shares'!$C:$FB,66)</f>
        <v>21726000</v>
      </c>
      <c r="E49" s="49">
        <f>VLOOKUP($A49,'Data shares'!$C:$FB,67)</f>
        <v>22654200</v>
      </c>
      <c r="F49" s="50">
        <f>VLOOKUP($A49,'Data shares'!$C:$FB,69)*100</f>
        <v>-4.1000000000000005</v>
      </c>
      <c r="G49" s="49">
        <f>VLOOKUP($A49,'Data shares'!$C:$FB,42)</f>
        <v>3585300</v>
      </c>
      <c r="H49" s="49">
        <f>VLOOKUP($A49,'Data shares'!$C:$FB,43)</f>
        <v>6380950</v>
      </c>
      <c r="I49" s="50">
        <f>VLOOKUP($A49,'Data shares'!$C:$FB,45)*100</f>
        <v>-43.81</v>
      </c>
      <c r="J49" s="49">
        <f>VLOOKUP($A49,'Data shares'!$C:$FB,58)</f>
        <v>13750450</v>
      </c>
      <c r="K49" s="49">
        <f>VLOOKUP($A49,'Data shares'!$C:$FB,59)</f>
        <v>12432100</v>
      </c>
      <c r="L49" s="50">
        <f>VLOOKUP($A49,'Data shares'!$C:$FB,61)*100</f>
        <v>10.6</v>
      </c>
      <c r="M49" s="49">
        <f>VLOOKUP($A49,'Data shares'!$C:$FB,62)</f>
        <v>4390250</v>
      </c>
      <c r="N49" s="49">
        <f>VLOOKUP($A49,'Data shares'!$C:$FB,63)</f>
        <v>3841150</v>
      </c>
      <c r="O49" s="140">
        <f>VLOOKUP($A49,'Data shares'!$C:$FB,65)*100</f>
        <v>14.299999999999999</v>
      </c>
    </row>
    <row r="50" spans="1:15" x14ac:dyDescent="0.25">
      <c r="A50" s="101" t="str">
        <f>'Data Vlaue (Cr)'!C45</f>
        <v>CHOLAFIN</v>
      </c>
      <c r="B50" s="50">
        <f>VLOOKUP($A50,'Data shares'!$C:$FB,7)</f>
        <v>1579</v>
      </c>
      <c r="C50" s="50">
        <f>VLOOKUP($A50,'Data shares'!$C:$FB,10)*100</f>
        <v>0.57999999999999996</v>
      </c>
      <c r="D50" s="49">
        <f>VLOOKUP($A50,'Data shares'!$C:$FB,66)</f>
        <v>11315625</v>
      </c>
      <c r="E50" s="49">
        <f>VLOOKUP($A50,'Data shares'!$C:$FB,67)</f>
        <v>22619375</v>
      </c>
      <c r="F50" s="50">
        <f>VLOOKUP($A50,'Data shares'!$C:$FB,69)*100</f>
        <v>-49.97</v>
      </c>
      <c r="G50" s="49">
        <f>VLOOKUP($A50,'Data shares'!$C:$FB,42)</f>
        <v>3384375</v>
      </c>
      <c r="H50" s="49">
        <f>VLOOKUP($A50,'Data shares'!$C:$FB,43)</f>
        <v>3423750</v>
      </c>
      <c r="I50" s="50">
        <f>VLOOKUP($A50,'Data shares'!$C:$FB,45)*100</f>
        <v>-1.1499999999999999</v>
      </c>
      <c r="J50" s="49">
        <f>VLOOKUP($A50,'Data shares'!$C:$FB,58)</f>
        <v>4772500</v>
      </c>
      <c r="K50" s="49">
        <f>VLOOKUP($A50,'Data shares'!$C:$FB,59)</f>
        <v>12445000</v>
      </c>
      <c r="L50" s="50">
        <f>VLOOKUP($A50,'Data shares'!$C:$FB,61)*100</f>
        <v>-61.650000000000006</v>
      </c>
      <c r="M50" s="49">
        <f>VLOOKUP($A50,'Data shares'!$C:$FB,62)</f>
        <v>3158750</v>
      </c>
      <c r="N50" s="49">
        <f>VLOOKUP($A50,'Data shares'!$C:$FB,63)</f>
        <v>6750625</v>
      </c>
      <c r="O50" s="140">
        <f>VLOOKUP($A50,'Data shares'!$C:$FB,65)*100</f>
        <v>-53.21</v>
      </c>
    </row>
    <row r="51" spans="1:15" x14ac:dyDescent="0.25">
      <c r="A51" s="101" t="str">
        <f>'Data Vlaue (Cr)'!C46</f>
        <v>CIPLA</v>
      </c>
      <c r="B51" s="50">
        <f>VLOOKUP($A51,'Data shares'!$C:$FB,7)</f>
        <v>1240.8</v>
      </c>
      <c r="C51" s="50">
        <f>VLOOKUP($A51,'Data shares'!$C:$FB,10)*100</f>
        <v>0.84</v>
      </c>
      <c r="D51" s="49">
        <f>VLOOKUP($A51,'Data shares'!$C:$FB,66)</f>
        <v>9726375</v>
      </c>
      <c r="E51" s="49">
        <f>VLOOKUP($A51,'Data shares'!$C:$FB,67)</f>
        <v>7447125</v>
      </c>
      <c r="F51" s="50">
        <f>VLOOKUP($A51,'Data shares'!$C:$FB,69)*100</f>
        <v>30.61</v>
      </c>
      <c r="G51" s="49">
        <f>VLOOKUP($A51,'Data shares'!$C:$FB,42)</f>
        <v>1634625</v>
      </c>
      <c r="H51" s="49">
        <f>VLOOKUP($A51,'Data shares'!$C:$FB,43)</f>
        <v>1579500</v>
      </c>
      <c r="I51" s="50">
        <f>VLOOKUP($A51,'Data shares'!$C:$FB,45)*100</f>
        <v>3.49</v>
      </c>
      <c r="J51" s="49">
        <f>VLOOKUP($A51,'Data shares'!$C:$FB,58)</f>
        <v>5894625</v>
      </c>
      <c r="K51" s="49">
        <f>VLOOKUP($A51,'Data shares'!$C:$FB,59)</f>
        <v>4465875</v>
      </c>
      <c r="L51" s="50">
        <f>VLOOKUP($A51,'Data shares'!$C:$FB,61)*100</f>
        <v>31.990000000000002</v>
      </c>
      <c r="M51" s="49">
        <f>VLOOKUP($A51,'Data shares'!$C:$FB,62)</f>
        <v>2197125</v>
      </c>
      <c r="N51" s="49">
        <f>VLOOKUP($A51,'Data shares'!$C:$FB,63)</f>
        <v>1401750</v>
      </c>
      <c r="O51" s="140">
        <f>VLOOKUP($A51,'Data shares'!$C:$FB,65)*100</f>
        <v>56.74</v>
      </c>
    </row>
    <row r="52" spans="1:15" x14ac:dyDescent="0.25">
      <c r="A52" s="101" t="str">
        <f>'Data Vlaue (Cr)'!C47</f>
        <v>COALINDIA</v>
      </c>
      <c r="B52" s="50">
        <f>VLOOKUP($A52,'Data shares'!$C:$FB,7)</f>
        <v>438.75</v>
      </c>
      <c r="C52" s="50">
        <f>VLOOKUP($A52,'Data shares'!$C:$FB,10)*100</f>
        <v>1.39</v>
      </c>
      <c r="D52" s="49">
        <f>VLOOKUP($A52,'Data shares'!$C:$FB,66)</f>
        <v>95242500</v>
      </c>
      <c r="E52" s="49">
        <f>VLOOKUP($A52,'Data shares'!$C:$FB,67)</f>
        <v>62783100</v>
      </c>
      <c r="F52" s="50">
        <f>VLOOKUP($A52,'Data shares'!$C:$FB,69)*100</f>
        <v>51.7</v>
      </c>
      <c r="G52" s="49">
        <f>VLOOKUP($A52,'Data shares'!$C:$FB,42)</f>
        <v>13751100</v>
      </c>
      <c r="H52" s="49">
        <f>VLOOKUP($A52,'Data shares'!$C:$FB,43)</f>
        <v>8127000</v>
      </c>
      <c r="I52" s="50">
        <f>VLOOKUP($A52,'Data shares'!$C:$FB,45)*100</f>
        <v>69.199999999999989</v>
      </c>
      <c r="J52" s="49">
        <f>VLOOKUP($A52,'Data shares'!$C:$FB,58)</f>
        <v>50942250</v>
      </c>
      <c r="K52" s="49">
        <f>VLOOKUP($A52,'Data shares'!$C:$FB,59)</f>
        <v>38545200</v>
      </c>
      <c r="L52" s="50">
        <f>VLOOKUP($A52,'Data shares'!$C:$FB,61)*100</f>
        <v>32.159999999999997</v>
      </c>
      <c r="M52" s="49">
        <f>VLOOKUP($A52,'Data shares'!$C:$FB,62)</f>
        <v>30549150</v>
      </c>
      <c r="N52" s="49">
        <f>VLOOKUP($A52,'Data shares'!$C:$FB,63)</f>
        <v>16110900</v>
      </c>
      <c r="O52" s="140">
        <f>VLOOKUP($A52,'Data shares'!$C:$FB,65)*100</f>
        <v>89.62</v>
      </c>
    </row>
    <row r="53" spans="1:15" x14ac:dyDescent="0.25">
      <c r="A53" s="101" t="str">
        <f>'Data Vlaue (Cr)'!C48</f>
        <v>COCHINSHIP</v>
      </c>
      <c r="B53" s="50">
        <f>VLOOKUP($A53,'Data shares'!$C:$FB,7)</f>
        <v>1561.1</v>
      </c>
      <c r="C53" s="50">
        <f>VLOOKUP($A53,'Data shares'!$C:$FB,10)*100</f>
        <v>4.21</v>
      </c>
      <c r="D53" s="49">
        <f>VLOOKUP($A53,'Data shares'!$C:$FB,66)</f>
        <v>12188800</v>
      </c>
      <c r="E53" s="49">
        <f>VLOOKUP($A53,'Data shares'!$C:$FB,67)</f>
        <v>3476800</v>
      </c>
      <c r="F53" s="50">
        <f>VLOOKUP($A53,'Data shares'!$C:$FB,69)*100</f>
        <v>250.57999999999998</v>
      </c>
      <c r="G53" s="49">
        <f>VLOOKUP($A53,'Data shares'!$C:$FB,42)</f>
        <v>1715200</v>
      </c>
      <c r="H53" s="49">
        <f>VLOOKUP($A53,'Data shares'!$C:$FB,43)</f>
        <v>1026800</v>
      </c>
      <c r="I53" s="50">
        <f>VLOOKUP($A53,'Data shares'!$C:$FB,45)*100</f>
        <v>67.040000000000006</v>
      </c>
      <c r="J53" s="49">
        <f>VLOOKUP($A53,'Data shares'!$C:$FB,58)</f>
        <v>8815200</v>
      </c>
      <c r="K53" s="49">
        <f>VLOOKUP($A53,'Data shares'!$C:$FB,59)</f>
        <v>1506800</v>
      </c>
      <c r="L53" s="50">
        <f>VLOOKUP($A53,'Data shares'!$C:$FB,61)*100</f>
        <v>485.03</v>
      </c>
      <c r="M53" s="49">
        <f>VLOOKUP($A53,'Data shares'!$C:$FB,62)</f>
        <v>1658400</v>
      </c>
      <c r="N53" s="49">
        <f>VLOOKUP($A53,'Data shares'!$C:$FB,63)</f>
        <v>943200</v>
      </c>
      <c r="O53" s="140">
        <f>VLOOKUP($A53,'Data shares'!$C:$FB,65)*100</f>
        <v>75.83</v>
      </c>
    </row>
    <row r="54" spans="1:15" x14ac:dyDescent="0.25">
      <c r="A54" s="101" t="str">
        <f>'Data Vlaue (Cr)'!C49</f>
        <v>COFORGE</v>
      </c>
      <c r="B54" s="50">
        <f>VLOOKUP($A54,'Data shares'!$C:$FB,7)</f>
        <v>1316.8</v>
      </c>
      <c r="C54" s="50">
        <f>VLOOKUP($A54,'Data shares'!$C:$FB,10)*100</f>
        <v>0.27</v>
      </c>
      <c r="D54" s="49">
        <f>VLOOKUP($A54,'Data shares'!$C:$FB,66)</f>
        <v>12450750</v>
      </c>
      <c r="E54" s="49">
        <f>VLOOKUP($A54,'Data shares'!$C:$FB,67)</f>
        <v>29673375</v>
      </c>
      <c r="F54" s="50">
        <f>VLOOKUP($A54,'Data shares'!$C:$FB,69)*100</f>
        <v>-58.040000000000006</v>
      </c>
      <c r="G54" s="49">
        <f>VLOOKUP($A54,'Data shares'!$C:$FB,42)</f>
        <v>2322750</v>
      </c>
      <c r="H54" s="49">
        <f>VLOOKUP($A54,'Data shares'!$C:$FB,43)</f>
        <v>3785625</v>
      </c>
      <c r="I54" s="50">
        <f>VLOOKUP($A54,'Data shares'!$C:$FB,45)*100</f>
        <v>-38.64</v>
      </c>
      <c r="J54" s="49">
        <f>VLOOKUP($A54,'Data shares'!$C:$FB,58)</f>
        <v>6516375</v>
      </c>
      <c r="K54" s="49">
        <f>VLOOKUP($A54,'Data shares'!$C:$FB,59)</f>
        <v>17827500</v>
      </c>
      <c r="L54" s="50">
        <f>VLOOKUP($A54,'Data shares'!$C:$FB,61)*100</f>
        <v>-63.449999999999996</v>
      </c>
      <c r="M54" s="49">
        <f>VLOOKUP($A54,'Data shares'!$C:$FB,62)</f>
        <v>3611625</v>
      </c>
      <c r="N54" s="49">
        <f>VLOOKUP($A54,'Data shares'!$C:$FB,63)</f>
        <v>8060250</v>
      </c>
      <c r="O54" s="140">
        <f>VLOOKUP($A54,'Data shares'!$C:$FB,65)*100</f>
        <v>-55.19</v>
      </c>
    </row>
    <row r="55" spans="1:15" x14ac:dyDescent="0.25">
      <c r="A55" s="101" t="str">
        <f>'Data Vlaue (Cr)'!C50</f>
        <v>COLPAL</v>
      </c>
      <c r="B55" s="50">
        <f>VLOOKUP($A55,'Data shares'!$C:$FB,7)</f>
        <v>2106</v>
      </c>
      <c r="C55" s="50">
        <f>VLOOKUP($A55,'Data shares'!$C:$FB,10)*100</f>
        <v>6.5</v>
      </c>
      <c r="D55" s="49">
        <f>VLOOKUP($A55,'Data shares'!$C:$FB,66)</f>
        <v>41450850</v>
      </c>
      <c r="E55" s="49">
        <f>VLOOKUP($A55,'Data shares'!$C:$FB,67)</f>
        <v>5343975</v>
      </c>
      <c r="F55" s="50">
        <f>VLOOKUP($A55,'Data shares'!$C:$FB,69)*100</f>
        <v>675.66</v>
      </c>
      <c r="G55" s="49">
        <f>VLOOKUP($A55,'Data shares'!$C:$FB,42)</f>
        <v>3161025</v>
      </c>
      <c r="H55" s="49">
        <f>VLOOKUP($A55,'Data shares'!$C:$FB,43)</f>
        <v>1002825</v>
      </c>
      <c r="I55" s="50">
        <f>VLOOKUP($A55,'Data shares'!$C:$FB,45)*100</f>
        <v>215.20999999999998</v>
      </c>
      <c r="J55" s="49">
        <f>VLOOKUP($A55,'Data shares'!$C:$FB,58)</f>
        <v>27826875</v>
      </c>
      <c r="K55" s="49">
        <f>VLOOKUP($A55,'Data shares'!$C:$FB,59)</f>
        <v>3241800</v>
      </c>
      <c r="L55" s="50">
        <f>VLOOKUP($A55,'Data shares'!$C:$FB,61)*100</f>
        <v>758.38</v>
      </c>
      <c r="M55" s="49">
        <f>VLOOKUP($A55,'Data shares'!$C:$FB,62)</f>
        <v>10462950</v>
      </c>
      <c r="N55" s="49">
        <f>VLOOKUP($A55,'Data shares'!$C:$FB,63)</f>
        <v>1099350</v>
      </c>
      <c r="O55" s="140">
        <f>VLOOKUP($A55,'Data shares'!$C:$FB,65)*100</f>
        <v>851.74</v>
      </c>
    </row>
    <row r="56" spans="1:15" x14ac:dyDescent="0.25">
      <c r="A56" s="101" t="str">
        <f>'Data Vlaue (Cr)'!C51</f>
        <v>CONCOR</v>
      </c>
      <c r="B56" s="50">
        <f>VLOOKUP($A56,'Data shares'!$C:$FB,7)</f>
        <v>503.1</v>
      </c>
      <c r="C56" s="50">
        <f>VLOOKUP($A56,'Data shares'!$C:$FB,10)*100</f>
        <v>0.16999999999999998</v>
      </c>
      <c r="D56" s="49">
        <f>VLOOKUP($A56,'Data shares'!$C:$FB,66)</f>
        <v>14356250</v>
      </c>
      <c r="E56" s="49">
        <f>VLOOKUP($A56,'Data shares'!$C:$FB,67)</f>
        <v>19447500</v>
      </c>
      <c r="F56" s="50">
        <f>VLOOKUP($A56,'Data shares'!$C:$FB,69)*100</f>
        <v>-26.179999999999996</v>
      </c>
      <c r="G56" s="49">
        <f>VLOOKUP($A56,'Data shares'!$C:$FB,42)</f>
        <v>4518750</v>
      </c>
      <c r="H56" s="49">
        <f>VLOOKUP($A56,'Data shares'!$C:$FB,43)</f>
        <v>3801250</v>
      </c>
      <c r="I56" s="50">
        <f>VLOOKUP($A56,'Data shares'!$C:$FB,45)*100</f>
        <v>18.88</v>
      </c>
      <c r="J56" s="49">
        <f>VLOOKUP($A56,'Data shares'!$C:$FB,58)</f>
        <v>6961250</v>
      </c>
      <c r="K56" s="49">
        <f>VLOOKUP($A56,'Data shares'!$C:$FB,59)</f>
        <v>12557500</v>
      </c>
      <c r="L56" s="50">
        <f>VLOOKUP($A56,'Data shares'!$C:$FB,61)*100</f>
        <v>-44.57</v>
      </c>
      <c r="M56" s="49">
        <f>VLOOKUP($A56,'Data shares'!$C:$FB,62)</f>
        <v>2876250</v>
      </c>
      <c r="N56" s="49">
        <f>VLOOKUP($A56,'Data shares'!$C:$FB,63)</f>
        <v>3088750</v>
      </c>
      <c r="O56" s="140">
        <f>VLOOKUP($A56,'Data shares'!$C:$FB,65)*100</f>
        <v>-6.88</v>
      </c>
    </row>
    <row r="57" spans="1:15" x14ac:dyDescent="0.25">
      <c r="A57" s="101" t="str">
        <f>'Data Vlaue (Cr)'!C52</f>
        <v>CROMPTON</v>
      </c>
      <c r="B57" s="50">
        <f>VLOOKUP($A57,'Data shares'!$C:$FB,7)</f>
        <v>261.45</v>
      </c>
      <c r="C57" s="50">
        <f>VLOOKUP($A57,'Data shares'!$C:$FB,10)*100</f>
        <v>0.18</v>
      </c>
      <c r="D57" s="49">
        <f>VLOOKUP($A57,'Data shares'!$C:$FB,66)</f>
        <v>30367800</v>
      </c>
      <c r="E57" s="49">
        <f>VLOOKUP($A57,'Data shares'!$C:$FB,67)</f>
        <v>76298400</v>
      </c>
      <c r="F57" s="50">
        <f>VLOOKUP($A57,'Data shares'!$C:$FB,69)*100</f>
        <v>-60.199999999999996</v>
      </c>
      <c r="G57" s="49">
        <f>VLOOKUP($A57,'Data shares'!$C:$FB,42)</f>
        <v>5313600</v>
      </c>
      <c r="H57" s="49">
        <f>VLOOKUP($A57,'Data shares'!$C:$FB,43)</f>
        <v>10719000</v>
      </c>
      <c r="I57" s="50">
        <f>VLOOKUP($A57,'Data shares'!$C:$FB,45)*100</f>
        <v>-50.43</v>
      </c>
      <c r="J57" s="49">
        <f>VLOOKUP($A57,'Data shares'!$C:$FB,58)</f>
        <v>17375400</v>
      </c>
      <c r="K57" s="49">
        <f>VLOOKUP($A57,'Data shares'!$C:$FB,59)</f>
        <v>48846600</v>
      </c>
      <c r="L57" s="50">
        <f>VLOOKUP($A57,'Data shares'!$C:$FB,61)*100</f>
        <v>-64.429999999999993</v>
      </c>
      <c r="M57" s="49">
        <f>VLOOKUP($A57,'Data shares'!$C:$FB,62)</f>
        <v>7678800</v>
      </c>
      <c r="N57" s="49">
        <f>VLOOKUP($A57,'Data shares'!$C:$FB,63)</f>
        <v>16732800</v>
      </c>
      <c r="O57" s="140">
        <f>VLOOKUP($A57,'Data shares'!$C:$FB,65)*100</f>
        <v>-54.11</v>
      </c>
    </row>
    <row r="58" spans="1:15" x14ac:dyDescent="0.25">
      <c r="A58" s="101" t="str">
        <f>'Data Vlaue (Cr)'!C53</f>
        <v>CUMMINSIND</v>
      </c>
      <c r="B58" s="50">
        <f>VLOOKUP($A58,'Data shares'!$C:$FB,7)</f>
        <v>5140.8999999999996</v>
      </c>
      <c r="C58" s="50">
        <f>VLOOKUP($A58,'Data shares'!$C:$FB,10)*100</f>
        <v>2.04</v>
      </c>
      <c r="D58" s="49">
        <f>VLOOKUP($A58,'Data shares'!$C:$FB,66)</f>
        <v>7538400</v>
      </c>
      <c r="E58" s="49">
        <f>VLOOKUP($A58,'Data shares'!$C:$FB,67)</f>
        <v>3400400</v>
      </c>
      <c r="F58" s="50">
        <f>VLOOKUP($A58,'Data shares'!$C:$FB,69)*100</f>
        <v>121.69000000000001</v>
      </c>
      <c r="G58" s="49">
        <f>VLOOKUP($A58,'Data shares'!$C:$FB,42)</f>
        <v>1439400</v>
      </c>
      <c r="H58" s="49">
        <f>VLOOKUP($A58,'Data shares'!$C:$FB,43)</f>
        <v>604200</v>
      </c>
      <c r="I58" s="50">
        <f>VLOOKUP($A58,'Data shares'!$C:$FB,45)*100</f>
        <v>138.23000000000002</v>
      </c>
      <c r="J58" s="49">
        <f>VLOOKUP($A58,'Data shares'!$C:$FB,58)</f>
        <v>4791800</v>
      </c>
      <c r="K58" s="49">
        <f>VLOOKUP($A58,'Data shares'!$C:$FB,59)</f>
        <v>1916200</v>
      </c>
      <c r="L58" s="50">
        <f>VLOOKUP($A58,'Data shares'!$C:$FB,61)*100</f>
        <v>150.07</v>
      </c>
      <c r="M58" s="49">
        <f>VLOOKUP($A58,'Data shares'!$C:$FB,62)</f>
        <v>1307200</v>
      </c>
      <c r="N58" s="49">
        <f>VLOOKUP($A58,'Data shares'!$C:$FB,63)</f>
        <v>880000</v>
      </c>
      <c r="O58" s="140">
        <f>VLOOKUP($A58,'Data shares'!$C:$FB,65)*100</f>
        <v>48.55</v>
      </c>
    </row>
    <row r="59" spans="1:15" x14ac:dyDescent="0.25">
      <c r="A59" s="101" t="str">
        <f>'Data Vlaue (Cr)'!C54</f>
        <v>DABUR</v>
      </c>
      <c r="B59" s="50">
        <f>VLOOKUP($A59,'Data shares'!$C:$FB,7)</f>
        <v>442.85</v>
      </c>
      <c r="C59" s="50">
        <f>VLOOKUP($A59,'Data shares'!$C:$FB,10)*100</f>
        <v>3.58</v>
      </c>
      <c r="D59" s="49">
        <f>VLOOKUP($A59,'Data shares'!$C:$FB,66)</f>
        <v>58455000</v>
      </c>
      <c r="E59" s="49">
        <f>VLOOKUP($A59,'Data shares'!$C:$FB,67)</f>
        <v>28627500</v>
      </c>
      <c r="F59" s="50">
        <f>VLOOKUP($A59,'Data shares'!$C:$FB,69)*100</f>
        <v>104.19</v>
      </c>
      <c r="G59" s="49">
        <f>VLOOKUP($A59,'Data shares'!$C:$FB,42)</f>
        <v>8552500</v>
      </c>
      <c r="H59" s="49">
        <f>VLOOKUP($A59,'Data shares'!$C:$FB,43)</f>
        <v>9698750</v>
      </c>
      <c r="I59" s="50">
        <f>VLOOKUP($A59,'Data shares'!$C:$FB,45)*100</f>
        <v>-11.82</v>
      </c>
      <c r="J59" s="49">
        <f>VLOOKUP($A59,'Data shares'!$C:$FB,58)</f>
        <v>38317500</v>
      </c>
      <c r="K59" s="49">
        <f>VLOOKUP($A59,'Data shares'!$C:$FB,59)</f>
        <v>13418750</v>
      </c>
      <c r="L59" s="50">
        <f>VLOOKUP($A59,'Data shares'!$C:$FB,61)*100</f>
        <v>185.54999999999998</v>
      </c>
      <c r="M59" s="49">
        <f>VLOOKUP($A59,'Data shares'!$C:$FB,62)</f>
        <v>11585000</v>
      </c>
      <c r="N59" s="49">
        <f>VLOOKUP($A59,'Data shares'!$C:$FB,63)</f>
        <v>5510000</v>
      </c>
      <c r="O59" s="140">
        <f>VLOOKUP($A59,'Data shares'!$C:$FB,65)*100</f>
        <v>110.25</v>
      </c>
    </row>
    <row r="60" spans="1:15" x14ac:dyDescent="0.25">
      <c r="A60" s="101" t="str">
        <f>'Data Vlaue (Cr)'!C55</f>
        <v>DALBHARAT</v>
      </c>
      <c r="B60" s="50">
        <f>VLOOKUP($A60,'Data shares'!$C:$FB,7)</f>
        <v>1971.7</v>
      </c>
      <c r="C60" s="50">
        <f>VLOOKUP($A60,'Data shares'!$C:$FB,10)*100</f>
        <v>-0.15</v>
      </c>
      <c r="D60" s="49">
        <f>VLOOKUP($A60,'Data shares'!$C:$FB,66)</f>
        <v>1954225</v>
      </c>
      <c r="E60" s="49">
        <f>VLOOKUP($A60,'Data shares'!$C:$FB,67)</f>
        <v>1823250</v>
      </c>
      <c r="F60" s="50">
        <f>VLOOKUP($A60,'Data shares'!$C:$FB,69)*100</f>
        <v>7.1800000000000006</v>
      </c>
      <c r="G60" s="49">
        <f>VLOOKUP($A60,'Data shares'!$C:$FB,42)</f>
        <v>577850</v>
      </c>
      <c r="H60" s="49">
        <f>VLOOKUP($A60,'Data shares'!$C:$FB,43)</f>
        <v>408850</v>
      </c>
      <c r="I60" s="50">
        <f>VLOOKUP($A60,'Data shares'!$C:$FB,45)*100</f>
        <v>41.339999999999996</v>
      </c>
      <c r="J60" s="49">
        <f>VLOOKUP($A60,'Data shares'!$C:$FB,58)</f>
        <v>955825</v>
      </c>
      <c r="K60" s="49">
        <f>VLOOKUP($A60,'Data shares'!$C:$FB,59)</f>
        <v>991900</v>
      </c>
      <c r="L60" s="50">
        <f>VLOOKUP($A60,'Data shares'!$C:$FB,61)*100</f>
        <v>-3.64</v>
      </c>
      <c r="M60" s="49">
        <f>VLOOKUP($A60,'Data shares'!$C:$FB,62)</f>
        <v>420550</v>
      </c>
      <c r="N60" s="49">
        <f>VLOOKUP($A60,'Data shares'!$C:$FB,63)</f>
        <v>422500</v>
      </c>
      <c r="O60" s="140">
        <f>VLOOKUP($A60,'Data shares'!$C:$FB,65)*100</f>
        <v>-0.45999999999999996</v>
      </c>
    </row>
    <row r="61" spans="1:15" x14ac:dyDescent="0.25">
      <c r="A61" s="101" t="str">
        <f>'Data Vlaue (Cr)'!C56</f>
        <v>DELHIVERY</v>
      </c>
      <c r="B61" s="50">
        <f>VLOOKUP($A61,'Data shares'!$C:$FB,7)</f>
        <v>463</v>
      </c>
      <c r="C61" s="50">
        <f>VLOOKUP($A61,'Data shares'!$C:$FB,10)*100</f>
        <v>0.71000000000000008</v>
      </c>
      <c r="D61" s="49">
        <f>VLOOKUP($A61,'Data shares'!$C:$FB,66)</f>
        <v>45093900</v>
      </c>
      <c r="E61" s="49">
        <f>VLOOKUP($A61,'Data shares'!$C:$FB,67)</f>
        <v>19380500</v>
      </c>
      <c r="F61" s="50">
        <f>VLOOKUP($A61,'Data shares'!$C:$FB,69)*100</f>
        <v>132.68</v>
      </c>
      <c r="G61" s="49">
        <f>VLOOKUP($A61,'Data shares'!$C:$FB,42)</f>
        <v>7324750</v>
      </c>
      <c r="H61" s="49">
        <f>VLOOKUP($A61,'Data shares'!$C:$FB,43)</f>
        <v>5687575</v>
      </c>
      <c r="I61" s="50">
        <f>VLOOKUP($A61,'Data shares'!$C:$FB,45)*100</f>
        <v>28.79</v>
      </c>
      <c r="J61" s="49">
        <f>VLOOKUP($A61,'Data shares'!$C:$FB,58)</f>
        <v>31042000</v>
      </c>
      <c r="K61" s="49">
        <f>VLOOKUP($A61,'Data shares'!$C:$FB,59)</f>
        <v>10711150</v>
      </c>
      <c r="L61" s="50">
        <f>VLOOKUP($A61,'Data shares'!$C:$FB,61)*100</f>
        <v>189.81</v>
      </c>
      <c r="M61" s="49">
        <f>VLOOKUP($A61,'Data shares'!$C:$FB,62)</f>
        <v>6727150</v>
      </c>
      <c r="N61" s="49">
        <f>VLOOKUP($A61,'Data shares'!$C:$FB,63)</f>
        <v>2981775</v>
      </c>
      <c r="O61" s="140">
        <f>VLOOKUP($A61,'Data shares'!$C:$FB,65)*100</f>
        <v>125.61</v>
      </c>
    </row>
    <row r="62" spans="1:15" x14ac:dyDescent="0.25">
      <c r="A62" s="101" t="str">
        <f>'Data Vlaue (Cr)'!C57</f>
        <v>DIVISLAB</v>
      </c>
      <c r="B62" s="50">
        <f>VLOOKUP($A62,'Data shares'!$C:$FB,7)</f>
        <v>6229</v>
      </c>
      <c r="C62" s="50">
        <f>VLOOKUP($A62,'Data shares'!$C:$FB,10)*100</f>
        <v>-1.02</v>
      </c>
      <c r="D62" s="49">
        <f>VLOOKUP($A62,'Data shares'!$C:$FB,66)</f>
        <v>1821300</v>
      </c>
      <c r="E62" s="49">
        <f>VLOOKUP($A62,'Data shares'!$C:$FB,67)</f>
        <v>2842500</v>
      </c>
      <c r="F62" s="50">
        <f>VLOOKUP($A62,'Data shares'!$C:$FB,69)*100</f>
        <v>-35.93</v>
      </c>
      <c r="G62" s="49">
        <f>VLOOKUP($A62,'Data shares'!$C:$FB,42)</f>
        <v>196700</v>
      </c>
      <c r="H62" s="49">
        <f>VLOOKUP($A62,'Data shares'!$C:$FB,43)</f>
        <v>323700</v>
      </c>
      <c r="I62" s="50">
        <f>VLOOKUP($A62,'Data shares'!$C:$FB,45)*100</f>
        <v>-39.229999999999997</v>
      </c>
      <c r="J62" s="49">
        <f>VLOOKUP($A62,'Data shares'!$C:$FB,58)</f>
        <v>1035900</v>
      </c>
      <c r="K62" s="49">
        <f>VLOOKUP($A62,'Data shares'!$C:$FB,59)</f>
        <v>1717300</v>
      </c>
      <c r="L62" s="50">
        <f>VLOOKUP($A62,'Data shares'!$C:$FB,61)*100</f>
        <v>-39.68</v>
      </c>
      <c r="M62" s="49">
        <f>VLOOKUP($A62,'Data shares'!$C:$FB,62)</f>
        <v>588700</v>
      </c>
      <c r="N62" s="49">
        <f>VLOOKUP($A62,'Data shares'!$C:$FB,63)</f>
        <v>801500</v>
      </c>
      <c r="O62" s="140">
        <f>VLOOKUP($A62,'Data shares'!$C:$FB,65)*100</f>
        <v>-26.55</v>
      </c>
    </row>
    <row r="63" spans="1:15" x14ac:dyDescent="0.25">
      <c r="A63" s="101" t="str">
        <f>'Data Vlaue (Cr)'!C58</f>
        <v>DIXON</v>
      </c>
      <c r="B63" s="50">
        <f>VLOOKUP($A63,'Data shares'!$C:$FB,7)</f>
        <v>11371.5</v>
      </c>
      <c r="C63" s="50">
        <f>VLOOKUP($A63,'Data shares'!$C:$FB,10)*100</f>
        <v>0.75</v>
      </c>
      <c r="D63" s="49">
        <f>VLOOKUP($A63,'Data shares'!$C:$FB,66)</f>
        <v>6342150</v>
      </c>
      <c r="E63" s="49">
        <f>VLOOKUP($A63,'Data shares'!$C:$FB,67)</f>
        <v>9423950</v>
      </c>
      <c r="F63" s="50">
        <f>VLOOKUP($A63,'Data shares'!$C:$FB,69)*100</f>
        <v>-32.700000000000003</v>
      </c>
      <c r="G63" s="49">
        <f>VLOOKUP($A63,'Data shares'!$C:$FB,42)</f>
        <v>931050</v>
      </c>
      <c r="H63" s="49">
        <f>VLOOKUP($A63,'Data shares'!$C:$FB,43)</f>
        <v>1361450</v>
      </c>
      <c r="I63" s="50">
        <f>VLOOKUP($A63,'Data shares'!$C:$FB,45)*100</f>
        <v>-31.61</v>
      </c>
      <c r="J63" s="49">
        <f>VLOOKUP($A63,'Data shares'!$C:$FB,58)</f>
        <v>3475950</v>
      </c>
      <c r="K63" s="49">
        <f>VLOOKUP($A63,'Data shares'!$C:$FB,59)</f>
        <v>5824650</v>
      </c>
      <c r="L63" s="50">
        <f>VLOOKUP($A63,'Data shares'!$C:$FB,61)*100</f>
        <v>-40.32</v>
      </c>
      <c r="M63" s="49">
        <f>VLOOKUP($A63,'Data shares'!$C:$FB,62)</f>
        <v>1935150</v>
      </c>
      <c r="N63" s="49">
        <f>VLOOKUP($A63,'Data shares'!$C:$FB,63)</f>
        <v>2237850</v>
      </c>
      <c r="O63" s="140">
        <f>VLOOKUP($A63,'Data shares'!$C:$FB,65)*100</f>
        <v>-13.530000000000001</v>
      </c>
    </row>
    <row r="64" spans="1:15" x14ac:dyDescent="0.25">
      <c r="A64" s="101" t="str">
        <f>'Data Vlaue (Cr)'!C59</f>
        <v>DLF</v>
      </c>
      <c r="B64" s="50">
        <f>VLOOKUP($A64,'Data shares'!$C:$FB,7)</f>
        <v>601.75</v>
      </c>
      <c r="C64" s="50">
        <f>VLOOKUP($A64,'Data shares'!$C:$FB,10)*100</f>
        <v>2.04</v>
      </c>
      <c r="D64" s="49">
        <f>VLOOKUP($A64,'Data shares'!$C:$FB,66)</f>
        <v>41220300</v>
      </c>
      <c r="E64" s="49">
        <f>VLOOKUP($A64,'Data shares'!$C:$FB,67)</f>
        <v>25285425</v>
      </c>
      <c r="F64" s="50">
        <f>VLOOKUP($A64,'Data shares'!$C:$FB,69)*100</f>
        <v>63.019999999999996</v>
      </c>
      <c r="G64" s="49">
        <f>VLOOKUP($A64,'Data shares'!$C:$FB,42)</f>
        <v>9759750</v>
      </c>
      <c r="H64" s="49">
        <f>VLOOKUP($A64,'Data shares'!$C:$FB,43)</f>
        <v>5248650</v>
      </c>
      <c r="I64" s="50">
        <f>VLOOKUP($A64,'Data shares'!$C:$FB,45)*100</f>
        <v>85.95</v>
      </c>
      <c r="J64" s="49">
        <f>VLOOKUP($A64,'Data shares'!$C:$FB,58)</f>
        <v>17081625</v>
      </c>
      <c r="K64" s="49">
        <f>VLOOKUP($A64,'Data shares'!$C:$FB,59)</f>
        <v>10988175</v>
      </c>
      <c r="L64" s="50">
        <f>VLOOKUP($A64,'Data shares'!$C:$FB,61)*100</f>
        <v>55.45</v>
      </c>
      <c r="M64" s="49">
        <f>VLOOKUP($A64,'Data shares'!$C:$FB,62)</f>
        <v>14378925</v>
      </c>
      <c r="N64" s="49">
        <f>VLOOKUP($A64,'Data shares'!$C:$FB,63)</f>
        <v>9048600</v>
      </c>
      <c r="O64" s="140">
        <f>VLOOKUP($A64,'Data shares'!$C:$FB,65)*100</f>
        <v>58.91</v>
      </c>
    </row>
    <row r="65" spans="1:15" x14ac:dyDescent="0.25">
      <c r="A65" s="101" t="str">
        <f>'Data Vlaue (Cr)'!C60</f>
        <v>DMART</v>
      </c>
      <c r="B65" s="50">
        <f>VLOOKUP($A65,'Data shares'!$C:$FB,7)</f>
        <v>4628.5</v>
      </c>
      <c r="C65" s="50">
        <f>VLOOKUP($A65,'Data shares'!$C:$FB,10)*100</f>
        <v>4.5199999999999996</v>
      </c>
      <c r="D65" s="49">
        <f>VLOOKUP($A65,'Data shares'!$C:$FB,66)</f>
        <v>15516450</v>
      </c>
      <c r="E65" s="49">
        <f>VLOOKUP($A65,'Data shares'!$C:$FB,67)</f>
        <v>4711350</v>
      </c>
      <c r="F65" s="50">
        <f>VLOOKUP($A65,'Data shares'!$C:$FB,69)*100</f>
        <v>229.34</v>
      </c>
      <c r="G65" s="49">
        <f>VLOOKUP($A65,'Data shares'!$C:$FB,42)</f>
        <v>1454700</v>
      </c>
      <c r="H65" s="49">
        <f>VLOOKUP($A65,'Data shares'!$C:$FB,43)</f>
        <v>799050</v>
      </c>
      <c r="I65" s="50">
        <f>VLOOKUP($A65,'Data shares'!$C:$FB,45)*100</f>
        <v>82.05</v>
      </c>
      <c r="J65" s="49">
        <f>VLOOKUP($A65,'Data shares'!$C:$FB,58)</f>
        <v>9702750</v>
      </c>
      <c r="K65" s="49">
        <f>VLOOKUP($A65,'Data shares'!$C:$FB,59)</f>
        <v>2490450</v>
      </c>
      <c r="L65" s="50">
        <f>VLOOKUP($A65,'Data shares'!$C:$FB,61)*100</f>
        <v>289.59999999999997</v>
      </c>
      <c r="M65" s="49">
        <f>VLOOKUP($A65,'Data shares'!$C:$FB,62)</f>
        <v>4359000</v>
      </c>
      <c r="N65" s="49">
        <f>VLOOKUP($A65,'Data shares'!$C:$FB,63)</f>
        <v>1421850</v>
      </c>
      <c r="O65" s="140">
        <f>VLOOKUP($A65,'Data shares'!$C:$FB,65)*100</f>
        <v>206.57000000000002</v>
      </c>
    </row>
    <row r="66" spans="1:15" x14ac:dyDescent="0.25">
      <c r="A66" s="101" t="str">
        <f>'Data Vlaue (Cr)'!C61</f>
        <v>DRREDDY</v>
      </c>
      <c r="B66" s="50">
        <f>VLOOKUP($A66,'Data shares'!$C:$FB,7)</f>
        <v>1235.7</v>
      </c>
      <c r="C66" s="50">
        <f>VLOOKUP($A66,'Data shares'!$C:$FB,10)*100</f>
        <v>1.17</v>
      </c>
      <c r="D66" s="49">
        <f>VLOOKUP($A66,'Data shares'!$C:$FB,66)</f>
        <v>15924375</v>
      </c>
      <c r="E66" s="49">
        <f>VLOOKUP($A66,'Data shares'!$C:$FB,67)</f>
        <v>16599375</v>
      </c>
      <c r="F66" s="50">
        <f>VLOOKUP($A66,'Data shares'!$C:$FB,69)*100</f>
        <v>-4.07</v>
      </c>
      <c r="G66" s="49">
        <f>VLOOKUP($A66,'Data shares'!$C:$FB,42)</f>
        <v>2291875</v>
      </c>
      <c r="H66" s="49">
        <f>VLOOKUP($A66,'Data shares'!$C:$FB,43)</f>
        <v>2699375</v>
      </c>
      <c r="I66" s="50">
        <f>VLOOKUP($A66,'Data shares'!$C:$FB,45)*100</f>
        <v>-15.1</v>
      </c>
      <c r="J66" s="49">
        <f>VLOOKUP($A66,'Data shares'!$C:$FB,58)</f>
        <v>9595000</v>
      </c>
      <c r="K66" s="49">
        <f>VLOOKUP($A66,'Data shares'!$C:$FB,59)</f>
        <v>9176875</v>
      </c>
      <c r="L66" s="50">
        <f>VLOOKUP($A66,'Data shares'!$C:$FB,61)*100</f>
        <v>4.5600000000000005</v>
      </c>
      <c r="M66" s="49">
        <f>VLOOKUP($A66,'Data shares'!$C:$FB,62)</f>
        <v>4037500</v>
      </c>
      <c r="N66" s="49">
        <f>VLOOKUP($A66,'Data shares'!$C:$FB,63)</f>
        <v>4723125</v>
      </c>
      <c r="O66" s="140">
        <f>VLOOKUP($A66,'Data shares'!$C:$FB,65)*100</f>
        <v>-14.52</v>
      </c>
    </row>
    <row r="67" spans="1:15" x14ac:dyDescent="0.25">
      <c r="A67" s="101" t="str">
        <f>'Data Vlaue (Cr)'!C62</f>
        <v>EICHERMOT</v>
      </c>
      <c r="B67" s="50">
        <f>VLOOKUP($A67,'Data shares'!$C:$FB,7)</f>
        <v>7189.5</v>
      </c>
      <c r="C67" s="50">
        <f>VLOOKUP($A67,'Data shares'!$C:$FB,10)*100</f>
        <v>0.82000000000000006</v>
      </c>
      <c r="D67" s="49">
        <f>VLOOKUP($A67,'Data shares'!$C:$FB,66)</f>
        <v>4867500</v>
      </c>
      <c r="E67" s="49">
        <f>VLOOKUP($A67,'Data shares'!$C:$FB,67)</f>
        <v>5197000</v>
      </c>
      <c r="F67" s="50">
        <f>VLOOKUP($A67,'Data shares'!$C:$FB,69)*100</f>
        <v>-6.34</v>
      </c>
      <c r="G67" s="49">
        <f>VLOOKUP($A67,'Data shares'!$C:$FB,42)</f>
        <v>480300</v>
      </c>
      <c r="H67" s="49">
        <f>VLOOKUP($A67,'Data shares'!$C:$FB,43)</f>
        <v>960300</v>
      </c>
      <c r="I67" s="50">
        <f>VLOOKUP($A67,'Data shares'!$C:$FB,45)*100</f>
        <v>-49.980000000000004</v>
      </c>
      <c r="J67" s="49">
        <f>VLOOKUP($A67,'Data shares'!$C:$FB,58)</f>
        <v>3285900</v>
      </c>
      <c r="K67" s="49">
        <f>VLOOKUP($A67,'Data shares'!$C:$FB,59)</f>
        <v>2772600</v>
      </c>
      <c r="L67" s="50">
        <f>VLOOKUP($A67,'Data shares'!$C:$FB,61)*100</f>
        <v>18.509999999999998</v>
      </c>
      <c r="M67" s="49">
        <f>VLOOKUP($A67,'Data shares'!$C:$FB,62)</f>
        <v>1101300</v>
      </c>
      <c r="N67" s="49">
        <f>VLOOKUP($A67,'Data shares'!$C:$FB,63)</f>
        <v>1464100</v>
      </c>
      <c r="O67" s="140">
        <f>VLOOKUP($A67,'Data shares'!$C:$FB,65)*100</f>
        <v>-24.779999999999998</v>
      </c>
    </row>
    <row r="68" spans="1:15" x14ac:dyDescent="0.25">
      <c r="A68" s="101" t="str">
        <f>'Data Vlaue (Cr)'!C63</f>
        <v>ETERNAL</v>
      </c>
      <c r="B68" s="50">
        <f>VLOOKUP($A68,'Data shares'!$C:$FB,7)</f>
        <v>252.61</v>
      </c>
      <c r="C68" s="50">
        <f>VLOOKUP($A68,'Data shares'!$C:$FB,10)*100</f>
        <v>-0.04</v>
      </c>
      <c r="D68" s="49">
        <f>VLOOKUP($A68,'Data shares'!$C:$FB,66)</f>
        <v>164007600</v>
      </c>
      <c r="E68" s="49">
        <f>VLOOKUP($A68,'Data shares'!$C:$FB,67)</f>
        <v>210756750</v>
      </c>
      <c r="F68" s="50">
        <f>VLOOKUP($A68,'Data shares'!$C:$FB,69)*100</f>
        <v>-22.18</v>
      </c>
      <c r="G68" s="49">
        <f>VLOOKUP($A68,'Data shares'!$C:$FB,42)</f>
        <v>35817250</v>
      </c>
      <c r="H68" s="49">
        <f>VLOOKUP($A68,'Data shares'!$C:$FB,43)</f>
        <v>41974325</v>
      </c>
      <c r="I68" s="50">
        <f>VLOOKUP($A68,'Data shares'!$C:$FB,45)*100</f>
        <v>-14.67</v>
      </c>
      <c r="J68" s="49">
        <f>VLOOKUP($A68,'Data shares'!$C:$FB,58)</f>
        <v>86082650</v>
      </c>
      <c r="K68" s="49">
        <f>VLOOKUP($A68,'Data shares'!$C:$FB,59)</f>
        <v>117808925</v>
      </c>
      <c r="L68" s="50">
        <f>VLOOKUP($A68,'Data shares'!$C:$FB,61)*100</f>
        <v>-26.93</v>
      </c>
      <c r="M68" s="49">
        <f>VLOOKUP($A68,'Data shares'!$C:$FB,62)</f>
        <v>42107700</v>
      </c>
      <c r="N68" s="49">
        <f>VLOOKUP($A68,'Data shares'!$C:$FB,63)</f>
        <v>50973500</v>
      </c>
      <c r="O68" s="140">
        <f>VLOOKUP($A68,'Data shares'!$C:$FB,65)*100</f>
        <v>-17.39</v>
      </c>
    </row>
    <row r="69" spans="1:15" x14ac:dyDescent="0.25">
      <c r="A69" s="101" t="str">
        <f>'Data Vlaue (Cr)'!C64</f>
        <v>EXIDEIND</v>
      </c>
      <c r="B69" s="50">
        <f>VLOOKUP($A69,'Data shares'!$C:$FB,7)</f>
        <v>330</v>
      </c>
      <c r="C69" s="50">
        <f>VLOOKUP($A69,'Data shares'!$C:$FB,10)*100</f>
        <v>-0.42</v>
      </c>
      <c r="D69" s="49">
        <f>VLOOKUP($A69,'Data shares'!$C:$FB,66)</f>
        <v>12105000</v>
      </c>
      <c r="E69" s="49">
        <f>VLOOKUP($A69,'Data shares'!$C:$FB,67)</f>
        <v>12195000</v>
      </c>
      <c r="F69" s="50">
        <f>VLOOKUP($A69,'Data shares'!$C:$FB,69)*100</f>
        <v>-0.74</v>
      </c>
      <c r="G69" s="49">
        <f>VLOOKUP($A69,'Data shares'!$C:$FB,42)</f>
        <v>4354200</v>
      </c>
      <c r="H69" s="49">
        <f>VLOOKUP($A69,'Data shares'!$C:$FB,43)</f>
        <v>3425400</v>
      </c>
      <c r="I69" s="50">
        <f>VLOOKUP($A69,'Data shares'!$C:$FB,45)*100</f>
        <v>27.12</v>
      </c>
      <c r="J69" s="49">
        <f>VLOOKUP($A69,'Data shares'!$C:$FB,58)</f>
        <v>5094000</v>
      </c>
      <c r="K69" s="49">
        <f>VLOOKUP($A69,'Data shares'!$C:$FB,59)</f>
        <v>5351400</v>
      </c>
      <c r="L69" s="50">
        <f>VLOOKUP($A69,'Data shares'!$C:$FB,61)*100</f>
        <v>-4.8099999999999996</v>
      </c>
      <c r="M69" s="49">
        <f>VLOOKUP($A69,'Data shares'!$C:$FB,62)</f>
        <v>2656800</v>
      </c>
      <c r="N69" s="49">
        <f>VLOOKUP($A69,'Data shares'!$C:$FB,63)</f>
        <v>3418200</v>
      </c>
      <c r="O69" s="140">
        <f>VLOOKUP($A69,'Data shares'!$C:$FB,65)*100</f>
        <v>-22.27</v>
      </c>
    </row>
    <row r="70" spans="1:15" x14ac:dyDescent="0.25">
      <c r="A70" s="101" t="str">
        <f>'Data Vlaue (Cr)'!C65</f>
        <v>FEDERALBNK</v>
      </c>
      <c r="B70" s="50">
        <f>VLOOKUP($A70,'Data shares'!$C:$FB,7)</f>
        <v>293.75</v>
      </c>
      <c r="C70" s="50">
        <f>VLOOKUP($A70,'Data shares'!$C:$FB,10)*100</f>
        <v>3.29</v>
      </c>
      <c r="D70" s="49">
        <f>VLOOKUP($A70,'Data shares'!$C:$FB,66)</f>
        <v>123750000</v>
      </c>
      <c r="E70" s="49">
        <f>VLOOKUP($A70,'Data shares'!$C:$FB,67)</f>
        <v>106060000</v>
      </c>
      <c r="F70" s="50">
        <f>VLOOKUP($A70,'Data shares'!$C:$FB,69)*100</f>
        <v>16.68</v>
      </c>
      <c r="G70" s="49">
        <f>VLOOKUP($A70,'Data shares'!$C:$FB,42)</f>
        <v>19315000</v>
      </c>
      <c r="H70" s="49">
        <f>VLOOKUP($A70,'Data shares'!$C:$FB,43)</f>
        <v>17275000</v>
      </c>
      <c r="I70" s="50">
        <f>VLOOKUP($A70,'Data shares'!$C:$FB,45)*100</f>
        <v>11.81</v>
      </c>
      <c r="J70" s="49">
        <f>VLOOKUP($A70,'Data shares'!$C:$FB,58)</f>
        <v>67255000</v>
      </c>
      <c r="K70" s="49">
        <f>VLOOKUP($A70,'Data shares'!$C:$FB,59)</f>
        <v>58290000</v>
      </c>
      <c r="L70" s="50">
        <f>VLOOKUP($A70,'Data shares'!$C:$FB,61)*100</f>
        <v>15.379999999999999</v>
      </c>
      <c r="M70" s="49">
        <f>VLOOKUP($A70,'Data shares'!$C:$FB,62)</f>
        <v>37180000</v>
      </c>
      <c r="N70" s="49">
        <f>VLOOKUP($A70,'Data shares'!$C:$FB,63)</f>
        <v>30495000</v>
      </c>
      <c r="O70" s="140">
        <f>VLOOKUP($A70,'Data shares'!$C:$FB,65)*100</f>
        <v>21.92</v>
      </c>
    </row>
    <row r="71" spans="1:15" x14ac:dyDescent="0.25">
      <c r="A71" s="101" t="str">
        <f>'Data Vlaue (Cr)'!C66</f>
        <v>FINNIFTY</v>
      </c>
      <c r="B71" s="50">
        <f>VLOOKUP($A71,'Data shares'!$C:$FB,7)</f>
        <v>26521.25</v>
      </c>
      <c r="C71" s="50">
        <f>VLOOKUP($A71,'Data shares'!$C:$FB,10)*100</f>
        <v>0.67</v>
      </c>
      <c r="D71" s="49">
        <f>VLOOKUP($A71,'Data shares'!$C:$FB,66)</f>
        <v>931500</v>
      </c>
      <c r="E71" s="49">
        <f>VLOOKUP($A71,'Data shares'!$C:$FB,67)</f>
        <v>1113000</v>
      </c>
      <c r="F71" s="50">
        <f>VLOOKUP($A71,'Data shares'!$C:$FB,69)*100</f>
        <v>-16.309999999999999</v>
      </c>
      <c r="G71" s="49">
        <f>VLOOKUP($A71,'Data shares'!$C:$FB,42)</f>
        <v>13200</v>
      </c>
      <c r="H71" s="49">
        <f>VLOOKUP($A71,'Data shares'!$C:$FB,43)</f>
        <v>11100</v>
      </c>
      <c r="I71" s="50">
        <f>VLOOKUP($A71,'Data shares'!$C:$FB,45)*100</f>
        <v>18.920000000000002</v>
      </c>
      <c r="J71" s="49">
        <f>VLOOKUP($A71,'Data shares'!$C:$FB,58)</f>
        <v>612900</v>
      </c>
      <c r="K71" s="49">
        <f>VLOOKUP($A71,'Data shares'!$C:$FB,59)</f>
        <v>628680</v>
      </c>
      <c r="L71" s="50">
        <f>VLOOKUP($A71,'Data shares'!$C:$FB,61)*100</f>
        <v>-2.5100000000000002</v>
      </c>
      <c r="M71" s="49">
        <f>VLOOKUP($A71,'Data shares'!$C:$FB,62)</f>
        <v>305400</v>
      </c>
      <c r="N71" s="49">
        <f>VLOOKUP($A71,'Data shares'!$C:$FB,63)</f>
        <v>473220</v>
      </c>
      <c r="O71" s="140">
        <f>VLOOKUP($A71,'Data shares'!$C:$FB,65)*100</f>
        <v>-35.46</v>
      </c>
    </row>
    <row r="72" spans="1:15" x14ac:dyDescent="0.25">
      <c r="A72" s="101" t="str">
        <f>'Data Vlaue (Cr)'!C67</f>
        <v>FORCEMOT</v>
      </c>
      <c r="B72" s="50">
        <f>VLOOKUP($A72,'Data shares'!$C:$FB,7)</f>
        <v>22378</v>
      </c>
      <c r="C72" s="50">
        <f>VLOOKUP($A72,'Data shares'!$C:$FB,10)*100</f>
        <v>-0.71000000000000008</v>
      </c>
      <c r="D72" s="49">
        <f>VLOOKUP($A72,'Data shares'!$C:$FB,66)</f>
        <v>99725</v>
      </c>
      <c r="E72" s="49">
        <f>VLOOKUP($A72,'Data shares'!$C:$FB,67)</f>
        <v>236050</v>
      </c>
      <c r="F72" s="50">
        <f>VLOOKUP($A72,'Data shares'!$C:$FB,69)*100</f>
        <v>-57.75</v>
      </c>
      <c r="G72" s="49">
        <f>VLOOKUP($A72,'Data shares'!$C:$FB,42)</f>
        <v>33900</v>
      </c>
      <c r="H72" s="49">
        <f>VLOOKUP($A72,'Data shares'!$C:$FB,43)</f>
        <v>55450</v>
      </c>
      <c r="I72" s="50">
        <f>VLOOKUP($A72,'Data shares'!$C:$FB,45)*100</f>
        <v>-38.86</v>
      </c>
      <c r="J72" s="49">
        <f>VLOOKUP($A72,'Data shares'!$C:$FB,58)</f>
        <v>53275</v>
      </c>
      <c r="K72" s="49">
        <f>VLOOKUP($A72,'Data shares'!$C:$FB,59)</f>
        <v>155575</v>
      </c>
      <c r="L72" s="50">
        <f>VLOOKUP($A72,'Data shares'!$C:$FB,61)*100</f>
        <v>-65.759999999999991</v>
      </c>
      <c r="M72" s="49">
        <f>VLOOKUP($A72,'Data shares'!$C:$FB,62)</f>
        <v>12550</v>
      </c>
      <c r="N72" s="49">
        <f>VLOOKUP($A72,'Data shares'!$C:$FB,63)</f>
        <v>25025</v>
      </c>
      <c r="O72" s="140">
        <f>VLOOKUP($A72,'Data shares'!$C:$FB,65)*100</f>
        <v>-49.85</v>
      </c>
    </row>
    <row r="73" spans="1:15" x14ac:dyDescent="0.25">
      <c r="A73" s="101" t="str">
        <f>'Data Vlaue (Cr)'!C68</f>
        <v>FORTIS</v>
      </c>
      <c r="B73" s="50">
        <f>VLOOKUP($A73,'Data shares'!$C:$FB,7)</f>
        <v>890.2</v>
      </c>
      <c r="C73" s="50">
        <f>VLOOKUP($A73,'Data shares'!$C:$FB,10)*100</f>
        <v>1.87</v>
      </c>
      <c r="D73" s="49">
        <f>VLOOKUP($A73,'Data shares'!$C:$FB,66)</f>
        <v>8592425</v>
      </c>
      <c r="E73" s="49">
        <f>VLOOKUP($A73,'Data shares'!$C:$FB,67)</f>
        <v>7055600</v>
      </c>
      <c r="F73" s="50">
        <f>VLOOKUP($A73,'Data shares'!$C:$FB,69)*100</f>
        <v>21.78</v>
      </c>
      <c r="G73" s="49">
        <f>VLOOKUP($A73,'Data shares'!$C:$FB,42)</f>
        <v>1884025</v>
      </c>
      <c r="H73" s="49">
        <f>VLOOKUP($A73,'Data shares'!$C:$FB,43)</f>
        <v>3447975</v>
      </c>
      <c r="I73" s="50">
        <f>VLOOKUP($A73,'Data shares'!$C:$FB,45)*100</f>
        <v>-45.36</v>
      </c>
      <c r="J73" s="49">
        <f>VLOOKUP($A73,'Data shares'!$C:$FB,58)</f>
        <v>4605050</v>
      </c>
      <c r="K73" s="49">
        <f>VLOOKUP($A73,'Data shares'!$C:$FB,59)</f>
        <v>2434275</v>
      </c>
      <c r="L73" s="50">
        <f>VLOOKUP($A73,'Data shares'!$C:$FB,61)*100</f>
        <v>89.18</v>
      </c>
      <c r="M73" s="49">
        <f>VLOOKUP($A73,'Data shares'!$C:$FB,62)</f>
        <v>2103350</v>
      </c>
      <c r="N73" s="49">
        <f>VLOOKUP($A73,'Data shares'!$C:$FB,63)</f>
        <v>1173350</v>
      </c>
      <c r="O73" s="140">
        <f>VLOOKUP($A73,'Data shares'!$C:$FB,65)*100</f>
        <v>79.259999999999991</v>
      </c>
    </row>
    <row r="74" spans="1:15" x14ac:dyDescent="0.25">
      <c r="A74" s="101" t="str">
        <f>'Data Vlaue (Cr)'!C69</f>
        <v>GAIL</v>
      </c>
      <c r="B74" s="50">
        <f>VLOOKUP($A74,'Data shares'!$C:$FB,7)</f>
        <v>157.82</v>
      </c>
      <c r="C74" s="50">
        <f>VLOOKUP($A74,'Data shares'!$C:$FB,10)*100</f>
        <v>-0.69</v>
      </c>
      <c r="D74" s="49">
        <f>VLOOKUP($A74,'Data shares'!$C:$FB,66)</f>
        <v>35254800</v>
      </c>
      <c r="E74" s="49">
        <f>VLOOKUP($A74,'Data shares'!$C:$FB,67)</f>
        <v>43236900</v>
      </c>
      <c r="F74" s="50">
        <f>VLOOKUP($A74,'Data shares'!$C:$FB,69)*100</f>
        <v>-18.459999999999997</v>
      </c>
      <c r="G74" s="49">
        <f>VLOOKUP($A74,'Data shares'!$C:$FB,42)</f>
        <v>11188800</v>
      </c>
      <c r="H74" s="49">
        <f>VLOOKUP($A74,'Data shares'!$C:$FB,43)</f>
        <v>15671250</v>
      </c>
      <c r="I74" s="50">
        <f>VLOOKUP($A74,'Data shares'!$C:$FB,45)*100</f>
        <v>-28.599999999999998</v>
      </c>
      <c r="J74" s="49">
        <f>VLOOKUP($A74,'Data shares'!$C:$FB,58)</f>
        <v>13160700</v>
      </c>
      <c r="K74" s="49">
        <f>VLOOKUP($A74,'Data shares'!$C:$FB,59)</f>
        <v>16619400</v>
      </c>
      <c r="L74" s="50">
        <f>VLOOKUP($A74,'Data shares'!$C:$FB,61)*100</f>
        <v>-20.810000000000002</v>
      </c>
      <c r="M74" s="49">
        <f>VLOOKUP($A74,'Data shares'!$C:$FB,62)</f>
        <v>10905300</v>
      </c>
      <c r="N74" s="49">
        <f>VLOOKUP($A74,'Data shares'!$C:$FB,63)</f>
        <v>10946250</v>
      </c>
      <c r="O74" s="140">
        <f>VLOOKUP($A74,'Data shares'!$C:$FB,65)*100</f>
        <v>-0.37</v>
      </c>
    </row>
    <row r="75" spans="1:15" x14ac:dyDescent="0.25">
      <c r="A75" s="101" t="str">
        <f>'Data Vlaue (Cr)'!C70</f>
        <v>GLENMARK</v>
      </c>
      <c r="B75" s="50">
        <f>VLOOKUP($A75,'Data shares'!$C:$FB,7)</f>
        <v>2249.5</v>
      </c>
      <c r="C75" s="50">
        <f>VLOOKUP($A75,'Data shares'!$C:$FB,10)*100</f>
        <v>0</v>
      </c>
      <c r="D75" s="49">
        <f>VLOOKUP($A75,'Data shares'!$C:$FB,66)</f>
        <v>6572625</v>
      </c>
      <c r="E75" s="49">
        <f>VLOOKUP($A75,'Data shares'!$C:$FB,67)</f>
        <v>4926750</v>
      </c>
      <c r="F75" s="50">
        <f>VLOOKUP($A75,'Data shares'!$C:$FB,69)*100</f>
        <v>33.410000000000004</v>
      </c>
      <c r="G75" s="49">
        <f>VLOOKUP($A75,'Data shares'!$C:$FB,42)</f>
        <v>774750</v>
      </c>
      <c r="H75" s="49">
        <f>VLOOKUP($A75,'Data shares'!$C:$FB,43)</f>
        <v>882750</v>
      </c>
      <c r="I75" s="50">
        <f>VLOOKUP($A75,'Data shares'!$C:$FB,45)*100</f>
        <v>-12.23</v>
      </c>
      <c r="J75" s="49">
        <f>VLOOKUP($A75,'Data shares'!$C:$FB,58)</f>
        <v>4390500</v>
      </c>
      <c r="K75" s="49">
        <f>VLOOKUP($A75,'Data shares'!$C:$FB,59)</f>
        <v>2498250</v>
      </c>
      <c r="L75" s="50">
        <f>VLOOKUP($A75,'Data shares'!$C:$FB,61)*100</f>
        <v>75.739999999999995</v>
      </c>
      <c r="M75" s="49">
        <f>VLOOKUP($A75,'Data shares'!$C:$FB,62)</f>
        <v>1407375</v>
      </c>
      <c r="N75" s="49">
        <f>VLOOKUP($A75,'Data shares'!$C:$FB,63)</f>
        <v>1545750</v>
      </c>
      <c r="O75" s="140">
        <f>VLOOKUP($A75,'Data shares'!$C:$FB,65)*100</f>
        <v>-8.9499999999999993</v>
      </c>
    </row>
    <row r="76" spans="1:15" x14ac:dyDescent="0.25">
      <c r="A76" s="101" t="str">
        <f>'Data Vlaue (Cr)'!C71</f>
        <v>GMRAIRPORT</v>
      </c>
      <c r="B76" s="50">
        <f>VLOOKUP($A76,'Data shares'!$C:$FB,7)</f>
        <v>96.85</v>
      </c>
      <c r="C76" s="50">
        <f>VLOOKUP($A76,'Data shares'!$C:$FB,10)*100</f>
        <v>0.1</v>
      </c>
      <c r="D76" s="49">
        <f>VLOOKUP($A76,'Data shares'!$C:$FB,66)</f>
        <v>61582275</v>
      </c>
      <c r="E76" s="49">
        <f>VLOOKUP($A76,'Data shares'!$C:$FB,67)</f>
        <v>85583250</v>
      </c>
      <c r="F76" s="50">
        <f>VLOOKUP($A76,'Data shares'!$C:$FB,69)*100</f>
        <v>-28.04</v>
      </c>
      <c r="G76" s="49">
        <f>VLOOKUP($A76,'Data shares'!$C:$FB,42)</f>
        <v>22724550</v>
      </c>
      <c r="H76" s="49">
        <f>VLOOKUP($A76,'Data shares'!$C:$FB,43)</f>
        <v>17046900</v>
      </c>
      <c r="I76" s="50">
        <f>VLOOKUP($A76,'Data shares'!$C:$FB,45)*100</f>
        <v>33.31</v>
      </c>
      <c r="J76" s="49">
        <f>VLOOKUP($A76,'Data shares'!$C:$FB,58)</f>
        <v>25856325</v>
      </c>
      <c r="K76" s="49">
        <f>VLOOKUP($A76,'Data shares'!$C:$FB,59)</f>
        <v>40064400</v>
      </c>
      <c r="L76" s="50">
        <f>VLOOKUP($A76,'Data shares'!$C:$FB,61)*100</f>
        <v>-35.46</v>
      </c>
      <c r="M76" s="49">
        <f>VLOOKUP($A76,'Data shares'!$C:$FB,62)</f>
        <v>13001400</v>
      </c>
      <c r="N76" s="49">
        <f>VLOOKUP($A76,'Data shares'!$C:$FB,63)</f>
        <v>28471950</v>
      </c>
      <c r="O76" s="140">
        <f>VLOOKUP($A76,'Data shares'!$C:$FB,65)*100</f>
        <v>-54.339999999999996</v>
      </c>
    </row>
    <row r="77" spans="1:15" x14ac:dyDescent="0.25">
      <c r="A77" s="101" t="str">
        <f>'Data Vlaue (Cr)'!C72</f>
        <v>GODFRYPHLP</v>
      </c>
      <c r="B77" s="50">
        <f>VLOOKUP($A77,'Data shares'!$C:$FB,7)</f>
        <v>2207.6999999999998</v>
      </c>
      <c r="C77" s="50">
        <f>VLOOKUP($A77,'Data shares'!$C:$FB,10)*100</f>
        <v>3.9</v>
      </c>
      <c r="D77" s="49">
        <f>VLOOKUP($A77,'Data shares'!$C:$FB,66)</f>
        <v>9280975</v>
      </c>
      <c r="E77" s="49">
        <f>VLOOKUP($A77,'Data shares'!$C:$FB,67)</f>
        <v>1609575</v>
      </c>
      <c r="F77" s="50">
        <f>VLOOKUP($A77,'Data shares'!$C:$FB,69)*100</f>
        <v>476.60999999999996</v>
      </c>
      <c r="G77" s="49">
        <f>VLOOKUP($A77,'Data shares'!$C:$FB,42)</f>
        <v>1638175</v>
      </c>
      <c r="H77" s="49">
        <f>VLOOKUP($A77,'Data shares'!$C:$FB,43)</f>
        <v>668250</v>
      </c>
      <c r="I77" s="50">
        <f>VLOOKUP($A77,'Data shares'!$C:$FB,45)*100</f>
        <v>145.14000000000001</v>
      </c>
      <c r="J77" s="49">
        <f>VLOOKUP($A77,'Data shares'!$C:$FB,58)</f>
        <v>6152025</v>
      </c>
      <c r="K77" s="49">
        <f>VLOOKUP($A77,'Data shares'!$C:$FB,59)</f>
        <v>691900</v>
      </c>
      <c r="L77" s="50">
        <f>VLOOKUP($A77,'Data shares'!$C:$FB,61)*100</f>
        <v>789.15</v>
      </c>
      <c r="M77" s="49">
        <f>VLOOKUP($A77,'Data shares'!$C:$FB,62)</f>
        <v>1490775</v>
      </c>
      <c r="N77" s="49">
        <f>VLOOKUP($A77,'Data shares'!$C:$FB,63)</f>
        <v>249425</v>
      </c>
      <c r="O77" s="140">
        <f>VLOOKUP($A77,'Data shares'!$C:$FB,65)*100</f>
        <v>497.68</v>
      </c>
    </row>
    <row r="78" spans="1:15" x14ac:dyDescent="0.25">
      <c r="A78" s="101" t="str">
        <f>'Data Vlaue (Cr)'!C73</f>
        <v>GODREJCP</v>
      </c>
      <c r="B78" s="50">
        <f>VLOOKUP($A78,'Data shares'!$C:$FB,7)</f>
        <v>1109.4000000000001</v>
      </c>
      <c r="C78" s="50">
        <f>VLOOKUP($A78,'Data shares'!$C:$FB,10)*100</f>
        <v>2.6100000000000003</v>
      </c>
      <c r="D78" s="49">
        <f>VLOOKUP($A78,'Data shares'!$C:$FB,66)</f>
        <v>9947500</v>
      </c>
      <c r="E78" s="49">
        <f>VLOOKUP($A78,'Data shares'!$C:$FB,67)</f>
        <v>1920000</v>
      </c>
      <c r="F78" s="50">
        <f>VLOOKUP($A78,'Data shares'!$C:$FB,69)*100</f>
        <v>418.1</v>
      </c>
      <c r="G78" s="49">
        <f>VLOOKUP($A78,'Data shares'!$C:$FB,42)</f>
        <v>3853000</v>
      </c>
      <c r="H78" s="49">
        <f>VLOOKUP($A78,'Data shares'!$C:$FB,43)</f>
        <v>709500</v>
      </c>
      <c r="I78" s="50">
        <f>VLOOKUP($A78,'Data shares'!$C:$FB,45)*100</f>
        <v>443.06</v>
      </c>
      <c r="J78" s="49">
        <f>VLOOKUP($A78,'Data shares'!$C:$FB,58)</f>
        <v>4474000</v>
      </c>
      <c r="K78" s="49">
        <f>VLOOKUP($A78,'Data shares'!$C:$FB,59)</f>
        <v>777500</v>
      </c>
      <c r="L78" s="50">
        <f>VLOOKUP($A78,'Data shares'!$C:$FB,61)*100</f>
        <v>475.42999999999995</v>
      </c>
      <c r="M78" s="49">
        <f>VLOOKUP($A78,'Data shares'!$C:$FB,62)</f>
        <v>1620500</v>
      </c>
      <c r="N78" s="49">
        <f>VLOOKUP($A78,'Data shares'!$C:$FB,63)</f>
        <v>433000</v>
      </c>
      <c r="O78" s="140">
        <f>VLOOKUP($A78,'Data shares'!$C:$FB,65)*100</f>
        <v>274.25</v>
      </c>
    </row>
    <row r="79" spans="1:15" x14ac:dyDescent="0.25">
      <c r="A79" s="101" t="str">
        <f>'Data Vlaue (Cr)'!C74</f>
        <v>GODREJPROP</v>
      </c>
      <c r="B79" s="50">
        <f>VLOOKUP($A79,'Data shares'!$C:$FB,7)</f>
        <v>1758.8</v>
      </c>
      <c r="C79" s="50">
        <f>VLOOKUP($A79,'Data shares'!$C:$FB,10)*100</f>
        <v>0.65</v>
      </c>
      <c r="D79" s="49">
        <f>VLOOKUP($A79,'Data shares'!$C:$FB,66)</f>
        <v>5262125</v>
      </c>
      <c r="E79" s="49">
        <f>VLOOKUP($A79,'Data shares'!$C:$FB,67)</f>
        <v>5221425</v>
      </c>
      <c r="F79" s="50">
        <f>VLOOKUP($A79,'Data shares'!$C:$FB,69)*100</f>
        <v>0.77999999999999992</v>
      </c>
      <c r="G79" s="49">
        <f>VLOOKUP($A79,'Data shares'!$C:$FB,42)</f>
        <v>875875</v>
      </c>
      <c r="H79" s="49">
        <f>VLOOKUP($A79,'Data shares'!$C:$FB,43)</f>
        <v>1011725</v>
      </c>
      <c r="I79" s="50">
        <f>VLOOKUP($A79,'Data shares'!$C:$FB,45)*100</f>
        <v>-13.43</v>
      </c>
      <c r="J79" s="49">
        <f>VLOOKUP($A79,'Data shares'!$C:$FB,58)</f>
        <v>2407900</v>
      </c>
      <c r="K79" s="49">
        <f>VLOOKUP($A79,'Data shares'!$C:$FB,59)</f>
        <v>2411475</v>
      </c>
      <c r="L79" s="50">
        <f>VLOOKUP($A79,'Data shares'!$C:$FB,61)*100</f>
        <v>-0.15</v>
      </c>
      <c r="M79" s="49">
        <f>VLOOKUP($A79,'Data shares'!$C:$FB,62)</f>
        <v>1978350</v>
      </c>
      <c r="N79" s="49">
        <f>VLOOKUP($A79,'Data shares'!$C:$FB,63)</f>
        <v>1798225</v>
      </c>
      <c r="O79" s="140">
        <f>VLOOKUP($A79,'Data shares'!$C:$FB,65)*100</f>
        <v>10.02</v>
      </c>
    </row>
    <row r="80" spans="1:15" x14ac:dyDescent="0.25">
      <c r="A80" s="101" t="str">
        <f>'Data Vlaue (Cr)'!C75</f>
        <v>GRASIM</v>
      </c>
      <c r="B80" s="50">
        <f>VLOOKUP($A80,'Data shares'!$C:$FB,7)</f>
        <v>2720.5</v>
      </c>
      <c r="C80" s="50">
        <f>VLOOKUP($A80,'Data shares'!$C:$FB,10)*100</f>
        <v>0.12</v>
      </c>
      <c r="D80" s="49">
        <f>VLOOKUP($A80,'Data shares'!$C:$FB,66)</f>
        <v>2267250</v>
      </c>
      <c r="E80" s="49">
        <f>VLOOKUP($A80,'Data shares'!$C:$FB,67)</f>
        <v>8470000</v>
      </c>
      <c r="F80" s="50">
        <f>VLOOKUP($A80,'Data shares'!$C:$FB,69)*100</f>
        <v>-73.22999999999999</v>
      </c>
      <c r="G80" s="49">
        <f>VLOOKUP($A80,'Data shares'!$C:$FB,42)</f>
        <v>497500</v>
      </c>
      <c r="H80" s="49">
        <f>VLOOKUP($A80,'Data shares'!$C:$FB,43)</f>
        <v>3726250</v>
      </c>
      <c r="I80" s="50">
        <f>VLOOKUP($A80,'Data shares'!$C:$FB,45)*100</f>
        <v>-86.65</v>
      </c>
      <c r="J80" s="49">
        <f>VLOOKUP($A80,'Data shares'!$C:$FB,58)</f>
        <v>1249750</v>
      </c>
      <c r="K80" s="49">
        <f>VLOOKUP($A80,'Data shares'!$C:$FB,59)</f>
        <v>3041250</v>
      </c>
      <c r="L80" s="50">
        <f>VLOOKUP($A80,'Data shares'!$C:$FB,61)*100</f>
        <v>-58.91</v>
      </c>
      <c r="M80" s="49">
        <f>VLOOKUP($A80,'Data shares'!$C:$FB,62)</f>
        <v>520000</v>
      </c>
      <c r="N80" s="49">
        <f>VLOOKUP($A80,'Data shares'!$C:$FB,63)</f>
        <v>1702500</v>
      </c>
      <c r="O80" s="140">
        <f>VLOOKUP($A80,'Data shares'!$C:$FB,65)*100</f>
        <v>-69.459999999999994</v>
      </c>
    </row>
    <row r="81" spans="1:15" x14ac:dyDescent="0.25">
      <c r="A81" s="101" t="str">
        <f>'Data Vlaue (Cr)'!C76</f>
        <v>HAL</v>
      </c>
      <c r="B81" s="50">
        <f>VLOOKUP($A81,'Data shares'!$C:$FB,7)</f>
        <v>4388.1000000000004</v>
      </c>
      <c r="C81" s="50">
        <f>VLOOKUP($A81,'Data shares'!$C:$FB,10)*100</f>
        <v>0.57000000000000006</v>
      </c>
      <c r="D81" s="49">
        <f>VLOOKUP($A81,'Data shares'!$C:$FB,66)</f>
        <v>8750700</v>
      </c>
      <c r="E81" s="49">
        <f>VLOOKUP($A81,'Data shares'!$C:$FB,67)</f>
        <v>24316500</v>
      </c>
      <c r="F81" s="50">
        <f>VLOOKUP($A81,'Data shares'!$C:$FB,69)*100</f>
        <v>-64.010000000000005</v>
      </c>
      <c r="G81" s="49">
        <f>VLOOKUP($A81,'Data shares'!$C:$FB,42)</f>
        <v>935700</v>
      </c>
      <c r="H81" s="49">
        <f>VLOOKUP($A81,'Data shares'!$C:$FB,43)</f>
        <v>2570700</v>
      </c>
      <c r="I81" s="50">
        <f>VLOOKUP($A81,'Data shares'!$C:$FB,45)*100</f>
        <v>-63.6</v>
      </c>
      <c r="J81" s="49">
        <f>VLOOKUP($A81,'Data shares'!$C:$FB,58)</f>
        <v>4740750</v>
      </c>
      <c r="K81" s="49">
        <f>VLOOKUP($A81,'Data shares'!$C:$FB,59)</f>
        <v>15127350</v>
      </c>
      <c r="L81" s="50">
        <f>VLOOKUP($A81,'Data shares'!$C:$FB,61)*100</f>
        <v>-68.66</v>
      </c>
      <c r="M81" s="49">
        <f>VLOOKUP($A81,'Data shares'!$C:$FB,62)</f>
        <v>3074250</v>
      </c>
      <c r="N81" s="49">
        <f>VLOOKUP($A81,'Data shares'!$C:$FB,63)</f>
        <v>6618450</v>
      </c>
      <c r="O81" s="140">
        <f>VLOOKUP($A81,'Data shares'!$C:$FB,65)*100</f>
        <v>-53.55</v>
      </c>
    </row>
    <row r="82" spans="1:15" x14ac:dyDescent="0.25">
      <c r="A82" s="101" t="str">
        <f>'Data Vlaue (Cr)'!C77</f>
        <v>HAVELLS</v>
      </c>
      <c r="B82" s="50">
        <f>VLOOKUP($A82,'Data shares'!$C:$FB,7)</f>
        <v>1306.4000000000001</v>
      </c>
      <c r="C82" s="50">
        <f>VLOOKUP($A82,'Data shares'!$C:$FB,10)*100</f>
        <v>1.1900000000000002</v>
      </c>
      <c r="D82" s="49">
        <f>VLOOKUP($A82,'Data shares'!$C:$FB,66)</f>
        <v>7586500</v>
      </c>
      <c r="E82" s="49">
        <f>VLOOKUP($A82,'Data shares'!$C:$FB,67)</f>
        <v>7356000</v>
      </c>
      <c r="F82" s="50">
        <f>VLOOKUP($A82,'Data shares'!$C:$FB,69)*100</f>
        <v>3.1300000000000003</v>
      </c>
      <c r="G82" s="49">
        <f>VLOOKUP($A82,'Data shares'!$C:$FB,42)</f>
        <v>1597500</v>
      </c>
      <c r="H82" s="49">
        <f>VLOOKUP($A82,'Data shares'!$C:$FB,43)</f>
        <v>2594500</v>
      </c>
      <c r="I82" s="50">
        <f>VLOOKUP($A82,'Data shares'!$C:$FB,45)*100</f>
        <v>-38.43</v>
      </c>
      <c r="J82" s="49">
        <f>VLOOKUP($A82,'Data shares'!$C:$FB,58)</f>
        <v>4491500</v>
      </c>
      <c r="K82" s="49">
        <f>VLOOKUP($A82,'Data shares'!$C:$FB,59)</f>
        <v>3302000</v>
      </c>
      <c r="L82" s="50">
        <f>VLOOKUP($A82,'Data shares'!$C:$FB,61)*100</f>
        <v>36.020000000000003</v>
      </c>
      <c r="M82" s="49">
        <f>VLOOKUP($A82,'Data shares'!$C:$FB,62)</f>
        <v>1497500</v>
      </c>
      <c r="N82" s="49">
        <f>VLOOKUP($A82,'Data shares'!$C:$FB,63)</f>
        <v>1459500</v>
      </c>
      <c r="O82" s="140">
        <f>VLOOKUP($A82,'Data shares'!$C:$FB,65)*100</f>
        <v>2.6</v>
      </c>
    </row>
    <row r="83" spans="1:15" x14ac:dyDescent="0.25">
      <c r="A83" s="101" t="str">
        <f>'Data Vlaue (Cr)'!C78</f>
        <v>HCLTECH</v>
      </c>
      <c r="B83" s="50">
        <f>VLOOKUP($A83,'Data shares'!$C:$FB,7)</f>
        <v>1442.3</v>
      </c>
      <c r="C83" s="50">
        <f>VLOOKUP($A83,'Data shares'!$C:$FB,10)*100</f>
        <v>-0.54</v>
      </c>
      <c r="D83" s="49">
        <f>VLOOKUP($A83,'Data shares'!$C:$FB,66)</f>
        <v>23090200</v>
      </c>
      <c r="E83" s="49">
        <f>VLOOKUP($A83,'Data shares'!$C:$FB,67)</f>
        <v>34284250</v>
      </c>
      <c r="F83" s="50">
        <f>VLOOKUP($A83,'Data shares'!$C:$FB,69)*100</f>
        <v>-32.65</v>
      </c>
      <c r="G83" s="49">
        <f>VLOOKUP($A83,'Data shares'!$C:$FB,42)</f>
        <v>7057400</v>
      </c>
      <c r="H83" s="49">
        <f>VLOOKUP($A83,'Data shares'!$C:$FB,43)</f>
        <v>10900050</v>
      </c>
      <c r="I83" s="50">
        <f>VLOOKUP($A83,'Data shares'!$C:$FB,45)*100</f>
        <v>-35.25</v>
      </c>
      <c r="J83" s="49">
        <f>VLOOKUP($A83,'Data shares'!$C:$FB,58)</f>
        <v>10275300</v>
      </c>
      <c r="K83" s="49">
        <f>VLOOKUP($A83,'Data shares'!$C:$FB,59)</f>
        <v>14999950</v>
      </c>
      <c r="L83" s="50">
        <f>VLOOKUP($A83,'Data shares'!$C:$FB,61)*100</f>
        <v>-31.5</v>
      </c>
      <c r="M83" s="49">
        <f>VLOOKUP($A83,'Data shares'!$C:$FB,62)</f>
        <v>5757500</v>
      </c>
      <c r="N83" s="49">
        <f>VLOOKUP($A83,'Data shares'!$C:$FB,63)</f>
        <v>8384250</v>
      </c>
      <c r="O83" s="140">
        <f>VLOOKUP($A83,'Data shares'!$C:$FB,65)*100</f>
        <v>-31.330000000000002</v>
      </c>
    </row>
    <row r="84" spans="1:15" x14ac:dyDescent="0.25">
      <c r="A84" s="101" t="str">
        <f>'Data Vlaue (Cr)'!C79</f>
        <v>HDFCAMC</v>
      </c>
      <c r="B84" s="50">
        <f>VLOOKUP($A84,'Data shares'!$C:$FB,7)</f>
        <v>2792.4</v>
      </c>
      <c r="C84" s="50">
        <f>VLOOKUP($A84,'Data shares'!$C:$FB,10)*100</f>
        <v>4.8899999999999997</v>
      </c>
      <c r="D84" s="49">
        <f>VLOOKUP($A84,'Data shares'!$C:$FB,66)</f>
        <v>32129100</v>
      </c>
      <c r="E84" s="49">
        <f>VLOOKUP($A84,'Data shares'!$C:$FB,67)</f>
        <v>29736000</v>
      </c>
      <c r="F84" s="50">
        <f>VLOOKUP($A84,'Data shares'!$C:$FB,69)*100</f>
        <v>8.0500000000000007</v>
      </c>
      <c r="G84" s="49">
        <f>VLOOKUP($A84,'Data shares'!$C:$FB,42)</f>
        <v>2414100</v>
      </c>
      <c r="H84" s="49">
        <f>VLOOKUP($A84,'Data shares'!$C:$FB,43)</f>
        <v>3707700</v>
      </c>
      <c r="I84" s="50">
        <f>VLOOKUP($A84,'Data shares'!$C:$FB,45)*100</f>
        <v>-34.89</v>
      </c>
      <c r="J84" s="49">
        <f>VLOOKUP($A84,'Data shares'!$C:$FB,58)</f>
        <v>20601000</v>
      </c>
      <c r="K84" s="49">
        <f>VLOOKUP($A84,'Data shares'!$C:$FB,59)</f>
        <v>15552900</v>
      </c>
      <c r="L84" s="50">
        <f>VLOOKUP($A84,'Data shares'!$C:$FB,61)*100</f>
        <v>32.46</v>
      </c>
      <c r="M84" s="49">
        <f>VLOOKUP($A84,'Data shares'!$C:$FB,62)</f>
        <v>9114000</v>
      </c>
      <c r="N84" s="49">
        <f>VLOOKUP($A84,'Data shares'!$C:$FB,63)</f>
        <v>10475400</v>
      </c>
      <c r="O84" s="140">
        <f>VLOOKUP($A84,'Data shares'!$C:$FB,65)*100</f>
        <v>-13</v>
      </c>
    </row>
    <row r="85" spans="1:15" x14ac:dyDescent="0.25">
      <c r="A85" s="101" t="str">
        <f>'Data Vlaue (Cr)'!C80</f>
        <v>HDFCBANK</v>
      </c>
      <c r="B85" s="50">
        <f>VLOOKUP($A85,'Data shares'!$C:$FB,7)</f>
        <v>799.9</v>
      </c>
      <c r="C85" s="50">
        <f>VLOOKUP($A85,'Data shares'!$C:$FB,10)*100</f>
        <v>0.55999999999999994</v>
      </c>
      <c r="D85" s="49">
        <f>VLOOKUP($A85,'Data shares'!$C:$FB,66)</f>
        <v>196860400</v>
      </c>
      <c r="E85" s="49">
        <f>VLOOKUP($A85,'Data shares'!$C:$FB,67)</f>
        <v>172828700</v>
      </c>
      <c r="F85" s="50">
        <f>VLOOKUP($A85,'Data shares'!$C:$FB,69)*100</f>
        <v>13.900000000000002</v>
      </c>
      <c r="G85" s="49">
        <f>VLOOKUP($A85,'Data shares'!$C:$FB,42)</f>
        <v>33108900</v>
      </c>
      <c r="H85" s="49">
        <f>VLOOKUP($A85,'Data shares'!$C:$FB,43)</f>
        <v>48368650</v>
      </c>
      <c r="I85" s="50">
        <f>VLOOKUP($A85,'Data shares'!$C:$FB,45)*100</f>
        <v>-31.55</v>
      </c>
      <c r="J85" s="49">
        <f>VLOOKUP($A85,'Data shares'!$C:$FB,58)</f>
        <v>105810650</v>
      </c>
      <c r="K85" s="49">
        <f>VLOOKUP($A85,'Data shares'!$C:$FB,59)</f>
        <v>75041450</v>
      </c>
      <c r="L85" s="50">
        <f>VLOOKUP($A85,'Data shares'!$C:$FB,61)*100</f>
        <v>41</v>
      </c>
      <c r="M85" s="49">
        <f>VLOOKUP($A85,'Data shares'!$C:$FB,62)</f>
        <v>57940850</v>
      </c>
      <c r="N85" s="49">
        <f>VLOOKUP($A85,'Data shares'!$C:$FB,63)</f>
        <v>49418600</v>
      </c>
      <c r="O85" s="140">
        <f>VLOOKUP($A85,'Data shares'!$C:$FB,65)*100</f>
        <v>17.25</v>
      </c>
    </row>
    <row r="86" spans="1:15" x14ac:dyDescent="0.25">
      <c r="A86" s="101" t="str">
        <f>'Data Vlaue (Cr)'!C81</f>
        <v>HDFCLIFE</v>
      </c>
      <c r="B86" s="50">
        <f>VLOOKUP($A86,'Data shares'!$C:$FB,7)</f>
        <v>616.45000000000005</v>
      </c>
      <c r="C86" s="50">
        <f>VLOOKUP($A86,'Data shares'!$C:$FB,10)*100</f>
        <v>-2.3800000000000003</v>
      </c>
      <c r="D86" s="49">
        <f>VLOOKUP($A86,'Data shares'!$C:$FB,66)</f>
        <v>112887500</v>
      </c>
      <c r="E86" s="49">
        <f>VLOOKUP($A86,'Data shares'!$C:$FB,67)</f>
        <v>57278100</v>
      </c>
      <c r="F86" s="50">
        <f>VLOOKUP($A86,'Data shares'!$C:$FB,69)*100</f>
        <v>97.09</v>
      </c>
      <c r="G86" s="49">
        <f>VLOOKUP($A86,'Data shares'!$C:$FB,42)</f>
        <v>11900900</v>
      </c>
      <c r="H86" s="49">
        <f>VLOOKUP($A86,'Data shares'!$C:$FB,43)</f>
        <v>6383300</v>
      </c>
      <c r="I86" s="50">
        <f>VLOOKUP($A86,'Data shares'!$C:$FB,45)*100</f>
        <v>86.44</v>
      </c>
      <c r="J86" s="49">
        <f>VLOOKUP($A86,'Data shares'!$C:$FB,58)</f>
        <v>59659600</v>
      </c>
      <c r="K86" s="49">
        <f>VLOOKUP($A86,'Data shares'!$C:$FB,59)</f>
        <v>30064100</v>
      </c>
      <c r="L86" s="50">
        <f>VLOOKUP($A86,'Data shares'!$C:$FB,61)*100</f>
        <v>98.440000000000012</v>
      </c>
      <c r="M86" s="49">
        <f>VLOOKUP($A86,'Data shares'!$C:$FB,62)</f>
        <v>41327000</v>
      </c>
      <c r="N86" s="49">
        <f>VLOOKUP($A86,'Data shares'!$C:$FB,63)</f>
        <v>20830700</v>
      </c>
      <c r="O86" s="140">
        <f>VLOOKUP($A86,'Data shares'!$C:$FB,65)*100</f>
        <v>98.39</v>
      </c>
    </row>
    <row r="87" spans="1:15" x14ac:dyDescent="0.25">
      <c r="A87" s="101" t="str">
        <f>'Data Vlaue (Cr)'!C82</f>
        <v>HEROMOTOCO</v>
      </c>
      <c r="B87" s="50">
        <f>VLOOKUP($A87,'Data shares'!$C:$FB,7)</f>
        <v>5230.5</v>
      </c>
      <c r="C87" s="50">
        <f>VLOOKUP($A87,'Data shares'!$C:$FB,10)*100</f>
        <v>1.38</v>
      </c>
      <c r="D87" s="49">
        <f>VLOOKUP($A87,'Data shares'!$C:$FB,66)</f>
        <v>7485750</v>
      </c>
      <c r="E87" s="49">
        <f>VLOOKUP($A87,'Data shares'!$C:$FB,67)</f>
        <v>9380850</v>
      </c>
      <c r="F87" s="50">
        <f>VLOOKUP($A87,'Data shares'!$C:$FB,69)*100</f>
        <v>-20.200000000000003</v>
      </c>
      <c r="G87" s="49">
        <f>VLOOKUP($A87,'Data shares'!$C:$FB,42)</f>
        <v>993450</v>
      </c>
      <c r="H87" s="49">
        <f>VLOOKUP($A87,'Data shares'!$C:$FB,43)</f>
        <v>900300</v>
      </c>
      <c r="I87" s="50">
        <f>VLOOKUP($A87,'Data shares'!$C:$FB,45)*100</f>
        <v>10.35</v>
      </c>
      <c r="J87" s="49">
        <f>VLOOKUP($A87,'Data shares'!$C:$FB,58)</f>
        <v>4682700</v>
      </c>
      <c r="K87" s="49">
        <f>VLOOKUP($A87,'Data shares'!$C:$FB,59)</f>
        <v>4847700</v>
      </c>
      <c r="L87" s="50">
        <f>VLOOKUP($A87,'Data shares'!$C:$FB,61)*100</f>
        <v>-3.4000000000000004</v>
      </c>
      <c r="M87" s="49">
        <f>VLOOKUP($A87,'Data shares'!$C:$FB,62)</f>
        <v>1809600</v>
      </c>
      <c r="N87" s="49">
        <f>VLOOKUP($A87,'Data shares'!$C:$FB,63)</f>
        <v>3632850</v>
      </c>
      <c r="O87" s="140">
        <f>VLOOKUP($A87,'Data shares'!$C:$FB,65)*100</f>
        <v>-50.19</v>
      </c>
    </row>
    <row r="88" spans="1:15" x14ac:dyDescent="0.25">
      <c r="A88" s="101" t="str">
        <f>'Data Vlaue (Cr)'!C83</f>
        <v>HINDALCO</v>
      </c>
      <c r="B88" s="50">
        <f>VLOOKUP($A88,'Data shares'!$C:$FB,7)</f>
        <v>1039</v>
      </c>
      <c r="C88" s="50">
        <f>VLOOKUP($A88,'Data shares'!$C:$FB,10)*100</f>
        <v>-0.09</v>
      </c>
      <c r="D88" s="49">
        <f>VLOOKUP($A88,'Data shares'!$C:$FB,66)</f>
        <v>41369300</v>
      </c>
      <c r="E88" s="49">
        <f>VLOOKUP($A88,'Data shares'!$C:$FB,67)</f>
        <v>93487100</v>
      </c>
      <c r="F88" s="50">
        <f>VLOOKUP($A88,'Data shares'!$C:$FB,69)*100</f>
        <v>-55.75</v>
      </c>
      <c r="G88" s="49">
        <f>VLOOKUP($A88,'Data shares'!$C:$FB,42)</f>
        <v>4491900</v>
      </c>
      <c r="H88" s="49">
        <f>VLOOKUP($A88,'Data shares'!$C:$FB,43)</f>
        <v>10817100</v>
      </c>
      <c r="I88" s="50">
        <f>VLOOKUP($A88,'Data shares'!$C:$FB,45)*100</f>
        <v>-58.47</v>
      </c>
      <c r="J88" s="49">
        <f>VLOOKUP($A88,'Data shares'!$C:$FB,58)</f>
        <v>20665400</v>
      </c>
      <c r="K88" s="49">
        <f>VLOOKUP($A88,'Data shares'!$C:$FB,59)</f>
        <v>54631500</v>
      </c>
      <c r="L88" s="50">
        <f>VLOOKUP($A88,'Data shares'!$C:$FB,61)*100</f>
        <v>-62.17</v>
      </c>
      <c r="M88" s="49">
        <f>VLOOKUP($A88,'Data shares'!$C:$FB,62)</f>
        <v>16212000</v>
      </c>
      <c r="N88" s="49">
        <f>VLOOKUP($A88,'Data shares'!$C:$FB,63)</f>
        <v>28038500</v>
      </c>
      <c r="O88" s="140">
        <f>VLOOKUP($A88,'Data shares'!$C:$FB,65)*100</f>
        <v>-42.18</v>
      </c>
    </row>
    <row r="89" spans="1:15" x14ac:dyDescent="0.25">
      <c r="A89" s="101" t="str">
        <f>'Data Vlaue (Cr)'!C84</f>
        <v>HINDPETRO</v>
      </c>
      <c r="B89" s="50">
        <f>VLOOKUP($A89,'Data shares'!$C:$FB,7)</f>
        <v>370.85</v>
      </c>
      <c r="C89" s="50">
        <f>VLOOKUP($A89,'Data shares'!$C:$FB,10)*100</f>
        <v>0.16</v>
      </c>
      <c r="D89" s="49">
        <f>VLOOKUP($A89,'Data shares'!$C:$FB,66)</f>
        <v>37808775</v>
      </c>
      <c r="E89" s="49">
        <f>VLOOKUP($A89,'Data shares'!$C:$FB,67)</f>
        <v>31816800</v>
      </c>
      <c r="F89" s="50">
        <f>VLOOKUP($A89,'Data shares'!$C:$FB,69)*100</f>
        <v>18.829999999999998</v>
      </c>
      <c r="G89" s="49">
        <f>VLOOKUP($A89,'Data shares'!$C:$FB,42)</f>
        <v>7456050</v>
      </c>
      <c r="H89" s="49">
        <f>VLOOKUP($A89,'Data shares'!$C:$FB,43)</f>
        <v>6111450</v>
      </c>
      <c r="I89" s="50">
        <f>VLOOKUP($A89,'Data shares'!$C:$FB,45)*100</f>
        <v>22</v>
      </c>
      <c r="J89" s="49">
        <f>VLOOKUP($A89,'Data shares'!$C:$FB,58)</f>
        <v>16971525</v>
      </c>
      <c r="K89" s="49">
        <f>VLOOKUP($A89,'Data shares'!$C:$FB,59)</f>
        <v>15610725</v>
      </c>
      <c r="L89" s="50">
        <f>VLOOKUP($A89,'Data shares'!$C:$FB,61)*100</f>
        <v>8.7200000000000006</v>
      </c>
      <c r="M89" s="49">
        <f>VLOOKUP($A89,'Data shares'!$C:$FB,62)</f>
        <v>13381200</v>
      </c>
      <c r="N89" s="49">
        <f>VLOOKUP($A89,'Data shares'!$C:$FB,63)</f>
        <v>10094625</v>
      </c>
      <c r="O89" s="140">
        <f>VLOOKUP($A89,'Data shares'!$C:$FB,65)*100</f>
        <v>32.56</v>
      </c>
    </row>
    <row r="90" spans="1:15" x14ac:dyDescent="0.25">
      <c r="A90" s="101" t="str">
        <f>'Data Vlaue (Cr)'!C85</f>
        <v>HINDUNILVR</v>
      </c>
      <c r="B90" s="50">
        <f>VLOOKUP($A90,'Data shares'!$C:$FB,7)</f>
        <v>2240.8000000000002</v>
      </c>
      <c r="C90" s="50">
        <f>VLOOKUP($A90,'Data shares'!$C:$FB,10)*100</f>
        <v>4.75</v>
      </c>
      <c r="D90" s="49">
        <f>VLOOKUP($A90,'Data shares'!$C:$FB,66)</f>
        <v>59895600</v>
      </c>
      <c r="E90" s="49">
        <f>VLOOKUP($A90,'Data shares'!$C:$FB,67)</f>
        <v>9058500</v>
      </c>
      <c r="F90" s="50">
        <f>VLOOKUP($A90,'Data shares'!$C:$FB,69)*100</f>
        <v>561.21</v>
      </c>
      <c r="G90" s="49">
        <f>VLOOKUP($A90,'Data shares'!$C:$FB,42)</f>
        <v>4886400</v>
      </c>
      <c r="H90" s="49">
        <f>VLOOKUP($A90,'Data shares'!$C:$FB,43)</f>
        <v>1534500</v>
      </c>
      <c r="I90" s="50">
        <f>VLOOKUP($A90,'Data shares'!$C:$FB,45)*100</f>
        <v>218.44</v>
      </c>
      <c r="J90" s="49">
        <f>VLOOKUP($A90,'Data shares'!$C:$FB,58)</f>
        <v>38680800</v>
      </c>
      <c r="K90" s="49">
        <f>VLOOKUP($A90,'Data shares'!$C:$FB,59)</f>
        <v>4950600</v>
      </c>
      <c r="L90" s="50">
        <f>VLOOKUP($A90,'Data shares'!$C:$FB,61)*100</f>
        <v>681.33999999999992</v>
      </c>
      <c r="M90" s="49">
        <f>VLOOKUP($A90,'Data shares'!$C:$FB,62)</f>
        <v>16328400</v>
      </c>
      <c r="N90" s="49">
        <f>VLOOKUP($A90,'Data shares'!$C:$FB,63)</f>
        <v>2573400</v>
      </c>
      <c r="O90" s="140">
        <f>VLOOKUP($A90,'Data shares'!$C:$FB,65)*100</f>
        <v>534.51</v>
      </c>
    </row>
    <row r="91" spans="1:15" x14ac:dyDescent="0.25">
      <c r="A91" s="101" t="str">
        <f>'Data Vlaue (Cr)'!C86</f>
        <v>HINDZINC</v>
      </c>
      <c r="B91" s="50">
        <f>VLOOKUP($A91,'Data shares'!$C:$FB,7)</f>
        <v>592.29999999999995</v>
      </c>
      <c r="C91" s="50">
        <f>VLOOKUP($A91,'Data shares'!$C:$FB,10)*100</f>
        <v>-0.03</v>
      </c>
      <c r="D91" s="49">
        <f>VLOOKUP($A91,'Data shares'!$C:$FB,66)</f>
        <v>31339175</v>
      </c>
      <c r="E91" s="49">
        <f>VLOOKUP($A91,'Data shares'!$C:$FB,67)</f>
        <v>81645025</v>
      </c>
      <c r="F91" s="50">
        <f>VLOOKUP($A91,'Data shares'!$C:$FB,69)*100</f>
        <v>-61.62</v>
      </c>
      <c r="G91" s="49">
        <f>VLOOKUP($A91,'Data shares'!$C:$FB,42)</f>
        <v>5538225</v>
      </c>
      <c r="H91" s="49">
        <f>VLOOKUP($A91,'Data shares'!$C:$FB,43)</f>
        <v>7547225</v>
      </c>
      <c r="I91" s="50">
        <f>VLOOKUP($A91,'Data shares'!$C:$FB,45)*100</f>
        <v>-26.619999999999997</v>
      </c>
      <c r="J91" s="49">
        <f>VLOOKUP($A91,'Data shares'!$C:$FB,58)</f>
        <v>16158975</v>
      </c>
      <c r="K91" s="49">
        <f>VLOOKUP($A91,'Data shares'!$C:$FB,59)</f>
        <v>51372825</v>
      </c>
      <c r="L91" s="50">
        <f>VLOOKUP($A91,'Data shares'!$C:$FB,61)*100</f>
        <v>-68.55</v>
      </c>
      <c r="M91" s="49">
        <f>VLOOKUP($A91,'Data shares'!$C:$FB,62)</f>
        <v>9641975</v>
      </c>
      <c r="N91" s="49">
        <f>VLOOKUP($A91,'Data shares'!$C:$FB,63)</f>
        <v>22724975</v>
      </c>
      <c r="O91" s="140">
        <f>VLOOKUP($A91,'Data shares'!$C:$FB,65)*100</f>
        <v>-57.57</v>
      </c>
    </row>
    <row r="92" spans="1:15" x14ac:dyDescent="0.25">
      <c r="A92" s="101" t="str">
        <f>'Data Vlaue (Cr)'!C87</f>
        <v>HUDCO</v>
      </c>
      <c r="B92" s="50">
        <f>VLOOKUP($A92,'Data shares'!$C:$FB,7)</f>
        <v>196.91</v>
      </c>
      <c r="C92" s="50">
        <f>VLOOKUP($A92,'Data shares'!$C:$FB,10)*100</f>
        <v>1.67</v>
      </c>
      <c r="D92" s="49">
        <f>VLOOKUP($A92,'Data shares'!$C:$FB,66)</f>
        <v>45584925</v>
      </c>
      <c r="E92" s="49">
        <f>VLOOKUP($A92,'Data shares'!$C:$FB,67)</f>
        <v>43697925</v>
      </c>
      <c r="F92" s="50">
        <f>VLOOKUP($A92,'Data shares'!$C:$FB,69)*100</f>
        <v>4.32</v>
      </c>
      <c r="G92" s="49">
        <f>VLOOKUP($A92,'Data shares'!$C:$FB,42)</f>
        <v>7728375</v>
      </c>
      <c r="H92" s="49">
        <f>VLOOKUP($A92,'Data shares'!$C:$FB,43)</f>
        <v>6651675</v>
      </c>
      <c r="I92" s="50">
        <f>VLOOKUP($A92,'Data shares'!$C:$FB,45)*100</f>
        <v>16.189999999999998</v>
      </c>
      <c r="J92" s="49">
        <f>VLOOKUP($A92,'Data shares'!$C:$FB,58)</f>
        <v>24120300</v>
      </c>
      <c r="K92" s="49">
        <f>VLOOKUP($A92,'Data shares'!$C:$FB,59)</f>
        <v>26426325</v>
      </c>
      <c r="L92" s="50">
        <f>VLOOKUP($A92,'Data shares'!$C:$FB,61)*100</f>
        <v>-8.73</v>
      </c>
      <c r="M92" s="49">
        <f>VLOOKUP($A92,'Data shares'!$C:$FB,62)</f>
        <v>13736250</v>
      </c>
      <c r="N92" s="49">
        <f>VLOOKUP($A92,'Data shares'!$C:$FB,63)</f>
        <v>10619925</v>
      </c>
      <c r="O92" s="140">
        <f>VLOOKUP($A92,'Data shares'!$C:$FB,65)*100</f>
        <v>29.34</v>
      </c>
    </row>
    <row r="93" spans="1:15" x14ac:dyDescent="0.25">
      <c r="A93" s="101" t="str">
        <f>'Data Vlaue (Cr)'!C88</f>
        <v>HYUNDAI</v>
      </c>
      <c r="B93" s="50">
        <f>VLOOKUP($A93,'Data shares'!$C:$FB,7)</f>
        <v>1902.8</v>
      </c>
      <c r="C93" s="50">
        <f>VLOOKUP($A93,'Data shares'!$C:$FB,10)*100</f>
        <v>2.7199999999999998</v>
      </c>
      <c r="D93" s="49">
        <f>VLOOKUP($A93,'Data shares'!$C:$FB,66)</f>
        <v>7158800</v>
      </c>
      <c r="E93" s="49">
        <f>VLOOKUP($A93,'Data shares'!$C:$FB,67)</f>
        <v>9130000</v>
      </c>
      <c r="F93" s="50">
        <f>VLOOKUP($A93,'Data shares'!$C:$FB,69)*100</f>
        <v>-21.59</v>
      </c>
      <c r="G93" s="49">
        <f>VLOOKUP($A93,'Data shares'!$C:$FB,42)</f>
        <v>2300650</v>
      </c>
      <c r="H93" s="49">
        <f>VLOOKUP($A93,'Data shares'!$C:$FB,43)</f>
        <v>2094675</v>
      </c>
      <c r="I93" s="50">
        <f>VLOOKUP($A93,'Data shares'!$C:$FB,45)*100</f>
        <v>9.83</v>
      </c>
      <c r="J93" s="49">
        <f>VLOOKUP($A93,'Data shares'!$C:$FB,58)</f>
        <v>3902250</v>
      </c>
      <c r="K93" s="49">
        <f>VLOOKUP($A93,'Data shares'!$C:$FB,59)</f>
        <v>5773625</v>
      </c>
      <c r="L93" s="50">
        <f>VLOOKUP($A93,'Data shares'!$C:$FB,61)*100</f>
        <v>-32.409999999999997</v>
      </c>
      <c r="M93" s="49">
        <f>VLOOKUP($A93,'Data shares'!$C:$FB,62)</f>
        <v>955900</v>
      </c>
      <c r="N93" s="49">
        <f>VLOOKUP($A93,'Data shares'!$C:$FB,63)</f>
        <v>1261700</v>
      </c>
      <c r="O93" s="140">
        <f>VLOOKUP($A93,'Data shares'!$C:$FB,65)*100</f>
        <v>-24.240000000000002</v>
      </c>
    </row>
    <row r="94" spans="1:15" x14ac:dyDescent="0.25">
      <c r="A94" s="101" t="str">
        <f>'Data Vlaue (Cr)'!C89</f>
        <v>ICICIBANK</v>
      </c>
      <c r="B94" s="50">
        <f>VLOOKUP($A94,'Data shares'!$C:$FB,7)</f>
        <v>1346.8</v>
      </c>
      <c r="C94" s="50">
        <f>VLOOKUP($A94,'Data shares'!$C:$FB,10)*100</f>
        <v>0.1</v>
      </c>
      <c r="D94" s="49">
        <f>VLOOKUP($A94,'Data shares'!$C:$FB,66)</f>
        <v>116723600</v>
      </c>
      <c r="E94" s="49">
        <f>VLOOKUP($A94,'Data shares'!$C:$FB,67)</f>
        <v>90812400</v>
      </c>
      <c r="F94" s="50">
        <f>VLOOKUP($A94,'Data shares'!$C:$FB,69)*100</f>
        <v>28.53</v>
      </c>
      <c r="G94" s="49">
        <f>VLOOKUP($A94,'Data shares'!$C:$FB,42)</f>
        <v>18178300</v>
      </c>
      <c r="H94" s="49">
        <f>VLOOKUP($A94,'Data shares'!$C:$FB,43)</f>
        <v>18017300</v>
      </c>
      <c r="I94" s="50">
        <f>VLOOKUP($A94,'Data shares'!$C:$FB,45)*100</f>
        <v>0.89</v>
      </c>
      <c r="J94" s="49">
        <f>VLOOKUP($A94,'Data shares'!$C:$FB,58)</f>
        <v>58716700</v>
      </c>
      <c r="K94" s="49">
        <f>VLOOKUP($A94,'Data shares'!$C:$FB,59)</f>
        <v>45350900</v>
      </c>
      <c r="L94" s="50">
        <f>VLOOKUP($A94,'Data shares'!$C:$FB,61)*100</f>
        <v>29.470000000000002</v>
      </c>
      <c r="M94" s="49">
        <f>VLOOKUP($A94,'Data shares'!$C:$FB,62)</f>
        <v>39828600</v>
      </c>
      <c r="N94" s="49">
        <f>VLOOKUP($A94,'Data shares'!$C:$FB,63)</f>
        <v>27444200</v>
      </c>
      <c r="O94" s="140">
        <f>VLOOKUP($A94,'Data shares'!$C:$FB,65)*100</f>
        <v>45.129999999999995</v>
      </c>
    </row>
    <row r="95" spans="1:15" x14ac:dyDescent="0.25">
      <c r="A95" s="101" t="str">
        <f>'Data Vlaue (Cr)'!C90</f>
        <v>ICICIGI</v>
      </c>
      <c r="B95" s="50">
        <f>VLOOKUP($A95,'Data shares'!$C:$FB,7)</f>
        <v>1891.6</v>
      </c>
      <c r="C95" s="50">
        <f>VLOOKUP($A95,'Data shares'!$C:$FB,10)*100</f>
        <v>0.26</v>
      </c>
      <c r="D95" s="49">
        <f>VLOOKUP($A95,'Data shares'!$C:$FB,66)</f>
        <v>4885725</v>
      </c>
      <c r="E95" s="49">
        <f>VLOOKUP($A95,'Data shares'!$C:$FB,67)</f>
        <v>23589150</v>
      </c>
      <c r="F95" s="50">
        <f>VLOOKUP($A95,'Data shares'!$C:$FB,69)*100</f>
        <v>-79.290000000000006</v>
      </c>
      <c r="G95" s="49">
        <f>VLOOKUP($A95,'Data shares'!$C:$FB,42)</f>
        <v>746850</v>
      </c>
      <c r="H95" s="49">
        <f>VLOOKUP($A95,'Data shares'!$C:$FB,43)</f>
        <v>1613625</v>
      </c>
      <c r="I95" s="50">
        <f>VLOOKUP($A95,'Data shares'!$C:$FB,45)*100</f>
        <v>-53.72</v>
      </c>
      <c r="J95" s="49">
        <f>VLOOKUP($A95,'Data shares'!$C:$FB,58)</f>
        <v>2501525</v>
      </c>
      <c r="K95" s="49">
        <f>VLOOKUP($A95,'Data shares'!$C:$FB,59)</f>
        <v>14287000</v>
      </c>
      <c r="L95" s="50">
        <f>VLOOKUP($A95,'Data shares'!$C:$FB,61)*100</f>
        <v>-82.49</v>
      </c>
      <c r="M95" s="49">
        <f>VLOOKUP($A95,'Data shares'!$C:$FB,62)</f>
        <v>1637350</v>
      </c>
      <c r="N95" s="49">
        <f>VLOOKUP($A95,'Data shares'!$C:$FB,63)</f>
        <v>7688525</v>
      </c>
      <c r="O95" s="140">
        <f>VLOOKUP($A95,'Data shares'!$C:$FB,65)*100</f>
        <v>-78.7</v>
      </c>
    </row>
    <row r="96" spans="1:15" x14ac:dyDescent="0.25">
      <c r="A96" s="101" t="str">
        <f>'Data Vlaue (Cr)'!C91</f>
        <v>ICICIPRULI</v>
      </c>
      <c r="B96" s="50">
        <f>VLOOKUP($A96,'Data shares'!$C:$FB,7)</f>
        <v>562</v>
      </c>
      <c r="C96" s="50">
        <f>VLOOKUP($A96,'Data shares'!$C:$FB,10)*100</f>
        <v>0.73</v>
      </c>
      <c r="D96" s="49">
        <f>VLOOKUP($A96,'Data shares'!$C:$FB,66)</f>
        <v>18208625</v>
      </c>
      <c r="E96" s="49">
        <f>VLOOKUP($A96,'Data shares'!$C:$FB,67)</f>
        <v>17456600</v>
      </c>
      <c r="F96" s="50">
        <f>VLOOKUP($A96,'Data shares'!$C:$FB,69)*100</f>
        <v>4.3099999999999996</v>
      </c>
      <c r="G96" s="49">
        <f>VLOOKUP($A96,'Data shares'!$C:$FB,42)</f>
        <v>3208825</v>
      </c>
      <c r="H96" s="49">
        <f>VLOOKUP($A96,'Data shares'!$C:$FB,43)</f>
        <v>2784250</v>
      </c>
      <c r="I96" s="50">
        <f>VLOOKUP($A96,'Data shares'!$C:$FB,45)*100</f>
        <v>15.25</v>
      </c>
      <c r="J96" s="49">
        <f>VLOOKUP($A96,'Data shares'!$C:$FB,58)</f>
        <v>9655150</v>
      </c>
      <c r="K96" s="49">
        <f>VLOOKUP($A96,'Data shares'!$C:$FB,59)</f>
        <v>10610675</v>
      </c>
      <c r="L96" s="50">
        <f>VLOOKUP($A96,'Data shares'!$C:$FB,61)*100</f>
        <v>-9.01</v>
      </c>
      <c r="M96" s="49">
        <f>VLOOKUP($A96,'Data shares'!$C:$FB,62)</f>
        <v>5344650</v>
      </c>
      <c r="N96" s="49">
        <f>VLOOKUP($A96,'Data shares'!$C:$FB,63)</f>
        <v>4061675</v>
      </c>
      <c r="O96" s="140">
        <f>VLOOKUP($A96,'Data shares'!$C:$FB,65)*100</f>
        <v>31.59</v>
      </c>
    </row>
    <row r="97" spans="1:15" x14ac:dyDescent="0.25">
      <c r="A97" s="101" t="str">
        <f>'Data Vlaue (Cr)'!C92</f>
        <v>IDEA</v>
      </c>
      <c r="B97" s="50">
        <f>VLOOKUP($A97,'Data shares'!$C:$FB,7)</f>
        <v>9.61</v>
      </c>
      <c r="C97" s="50">
        <f>VLOOKUP($A97,'Data shares'!$C:$FB,10)*100</f>
        <v>0.84</v>
      </c>
      <c r="D97" s="49">
        <f>VLOOKUP($A97,'Data shares'!$C:$FB,66)</f>
        <v>1973067375</v>
      </c>
      <c r="E97" s="49">
        <f>VLOOKUP($A97,'Data shares'!$C:$FB,67)</f>
        <v>1770292800</v>
      </c>
      <c r="F97" s="50">
        <f>VLOOKUP($A97,'Data shares'!$C:$FB,69)*100</f>
        <v>11.450000000000001</v>
      </c>
      <c r="G97" s="49">
        <f>VLOOKUP($A97,'Data shares'!$C:$FB,42)</f>
        <v>786296475</v>
      </c>
      <c r="H97" s="49">
        <f>VLOOKUP($A97,'Data shares'!$C:$FB,43)</f>
        <v>463515375</v>
      </c>
      <c r="I97" s="50">
        <f>VLOOKUP($A97,'Data shares'!$C:$FB,45)*100</f>
        <v>69.64</v>
      </c>
      <c r="J97" s="49">
        <f>VLOOKUP($A97,'Data shares'!$C:$FB,58)</f>
        <v>858128850</v>
      </c>
      <c r="K97" s="49">
        <f>VLOOKUP($A97,'Data shares'!$C:$FB,59)</f>
        <v>958551225</v>
      </c>
      <c r="L97" s="50">
        <f>VLOOKUP($A97,'Data shares'!$C:$FB,61)*100</f>
        <v>-10.48</v>
      </c>
      <c r="M97" s="49">
        <f>VLOOKUP($A97,'Data shares'!$C:$FB,62)</f>
        <v>328642050</v>
      </c>
      <c r="N97" s="49">
        <f>VLOOKUP($A97,'Data shares'!$C:$FB,63)</f>
        <v>348226200</v>
      </c>
      <c r="O97" s="140">
        <f>VLOOKUP($A97,'Data shares'!$C:$FB,65)*100</f>
        <v>-5.62</v>
      </c>
    </row>
    <row r="98" spans="1:15" x14ac:dyDescent="0.25">
      <c r="A98" s="101" t="str">
        <f>'Data Vlaue (Cr)'!C93</f>
        <v>IDFCFIRSTB</v>
      </c>
      <c r="B98" s="50">
        <f>VLOOKUP($A98,'Data shares'!$C:$FB,7)</f>
        <v>68.53</v>
      </c>
      <c r="C98" s="50">
        <f>VLOOKUP($A98,'Data shares'!$C:$FB,10)*100</f>
        <v>1.05</v>
      </c>
      <c r="D98" s="49">
        <f>VLOOKUP($A98,'Data shares'!$C:$FB,66)</f>
        <v>215634475</v>
      </c>
      <c r="E98" s="49">
        <f>VLOOKUP($A98,'Data shares'!$C:$FB,67)</f>
        <v>295584975</v>
      </c>
      <c r="F98" s="50">
        <f>VLOOKUP($A98,'Data shares'!$C:$FB,69)*100</f>
        <v>-27.05</v>
      </c>
      <c r="G98" s="49">
        <f>VLOOKUP($A98,'Data shares'!$C:$FB,42)</f>
        <v>70221025</v>
      </c>
      <c r="H98" s="49">
        <f>VLOOKUP($A98,'Data shares'!$C:$FB,43)</f>
        <v>78485050</v>
      </c>
      <c r="I98" s="50">
        <f>VLOOKUP($A98,'Data shares'!$C:$FB,45)*100</f>
        <v>-10.530000000000001</v>
      </c>
      <c r="J98" s="49">
        <f>VLOOKUP($A98,'Data shares'!$C:$FB,58)</f>
        <v>77372050</v>
      </c>
      <c r="K98" s="49">
        <f>VLOOKUP($A98,'Data shares'!$C:$FB,59)</f>
        <v>119953575</v>
      </c>
      <c r="L98" s="50">
        <f>VLOOKUP($A98,'Data shares'!$C:$FB,61)*100</f>
        <v>-35.5</v>
      </c>
      <c r="M98" s="49">
        <f>VLOOKUP($A98,'Data shares'!$C:$FB,62)</f>
        <v>68041400</v>
      </c>
      <c r="N98" s="49">
        <f>VLOOKUP($A98,'Data shares'!$C:$FB,63)</f>
        <v>97146350</v>
      </c>
      <c r="O98" s="140">
        <f>VLOOKUP($A98,'Data shares'!$C:$FB,65)*100</f>
        <v>-29.959999999999997</v>
      </c>
    </row>
    <row r="99" spans="1:15" x14ac:dyDescent="0.25">
      <c r="A99" s="101" t="str">
        <f>'Data Vlaue (Cr)'!C94</f>
        <v>IEX</v>
      </c>
      <c r="B99" s="50">
        <f>VLOOKUP($A99,'Data shares'!$C:$FB,7)</f>
        <v>135.81</v>
      </c>
      <c r="C99" s="50">
        <f>VLOOKUP($A99,'Data shares'!$C:$FB,10)*100</f>
        <v>1.04</v>
      </c>
      <c r="D99" s="49">
        <f>VLOOKUP($A99,'Data shares'!$C:$FB,66)</f>
        <v>65677500</v>
      </c>
      <c r="E99" s="49">
        <f>VLOOKUP($A99,'Data shares'!$C:$FB,67)</f>
        <v>48663750</v>
      </c>
      <c r="F99" s="50">
        <f>VLOOKUP($A99,'Data shares'!$C:$FB,69)*100</f>
        <v>34.96</v>
      </c>
      <c r="G99" s="49">
        <f>VLOOKUP($A99,'Data shares'!$C:$FB,42)</f>
        <v>8610000</v>
      </c>
      <c r="H99" s="49">
        <f>VLOOKUP($A99,'Data shares'!$C:$FB,43)</f>
        <v>7927500</v>
      </c>
      <c r="I99" s="50">
        <f>VLOOKUP($A99,'Data shares'!$C:$FB,45)*100</f>
        <v>8.61</v>
      </c>
      <c r="J99" s="49">
        <f>VLOOKUP($A99,'Data shares'!$C:$FB,58)</f>
        <v>39652500</v>
      </c>
      <c r="K99" s="49">
        <f>VLOOKUP($A99,'Data shares'!$C:$FB,59)</f>
        <v>25781250</v>
      </c>
      <c r="L99" s="50">
        <f>VLOOKUP($A99,'Data shares'!$C:$FB,61)*100</f>
        <v>53.800000000000004</v>
      </c>
      <c r="M99" s="49">
        <f>VLOOKUP($A99,'Data shares'!$C:$FB,62)</f>
        <v>17415000</v>
      </c>
      <c r="N99" s="49">
        <f>VLOOKUP($A99,'Data shares'!$C:$FB,63)</f>
        <v>14955000</v>
      </c>
      <c r="O99" s="140">
        <f>VLOOKUP($A99,'Data shares'!$C:$FB,65)*100</f>
        <v>16.45</v>
      </c>
    </row>
    <row r="100" spans="1:15" x14ac:dyDescent="0.25">
      <c r="A100" s="101" t="str">
        <f>'Data Vlaue (Cr)'!C95</f>
        <v>INDHOTEL</v>
      </c>
      <c r="B100" s="50">
        <f>VLOOKUP($A100,'Data shares'!$C:$FB,7)</f>
        <v>659.3</v>
      </c>
      <c r="C100" s="50">
        <f>VLOOKUP($A100,'Data shares'!$C:$FB,10)*100</f>
        <v>1</v>
      </c>
      <c r="D100" s="49">
        <f>VLOOKUP($A100,'Data shares'!$C:$FB,66)</f>
        <v>15126000</v>
      </c>
      <c r="E100" s="49">
        <f>VLOOKUP($A100,'Data shares'!$C:$FB,67)</f>
        <v>17323000</v>
      </c>
      <c r="F100" s="50">
        <f>VLOOKUP($A100,'Data shares'!$C:$FB,69)*100</f>
        <v>-12.68</v>
      </c>
      <c r="G100" s="49">
        <f>VLOOKUP($A100,'Data shares'!$C:$FB,42)</f>
        <v>6223000</v>
      </c>
      <c r="H100" s="49">
        <f>VLOOKUP($A100,'Data shares'!$C:$FB,43)</f>
        <v>3985000</v>
      </c>
      <c r="I100" s="50">
        <f>VLOOKUP($A100,'Data shares'!$C:$FB,45)*100</f>
        <v>56.16</v>
      </c>
      <c r="J100" s="49">
        <f>VLOOKUP($A100,'Data shares'!$C:$FB,58)</f>
        <v>5300000</v>
      </c>
      <c r="K100" s="49">
        <f>VLOOKUP($A100,'Data shares'!$C:$FB,59)</f>
        <v>9266000</v>
      </c>
      <c r="L100" s="50">
        <f>VLOOKUP($A100,'Data shares'!$C:$FB,61)*100</f>
        <v>-42.8</v>
      </c>
      <c r="M100" s="49">
        <f>VLOOKUP($A100,'Data shares'!$C:$FB,62)</f>
        <v>3603000</v>
      </c>
      <c r="N100" s="49">
        <f>VLOOKUP($A100,'Data shares'!$C:$FB,63)</f>
        <v>4072000</v>
      </c>
      <c r="O100" s="140">
        <f>VLOOKUP($A100,'Data shares'!$C:$FB,65)*100</f>
        <v>-11.52</v>
      </c>
    </row>
    <row r="101" spans="1:15" x14ac:dyDescent="0.25">
      <c r="A101" s="101" t="str">
        <f>'Data Vlaue (Cr)'!C96</f>
        <v>INDIANB</v>
      </c>
      <c r="B101" s="50">
        <f>VLOOKUP($A101,'Data shares'!$C:$FB,7)</f>
        <v>939.45</v>
      </c>
      <c r="C101" s="50">
        <f>VLOOKUP($A101,'Data shares'!$C:$FB,10)*100</f>
        <v>-0.06</v>
      </c>
      <c r="D101" s="49">
        <f>VLOOKUP($A101,'Data shares'!$C:$FB,66)</f>
        <v>9866000</v>
      </c>
      <c r="E101" s="49">
        <f>VLOOKUP($A101,'Data shares'!$C:$FB,67)</f>
        <v>15907000</v>
      </c>
      <c r="F101" s="50">
        <f>VLOOKUP($A101,'Data shares'!$C:$FB,69)*100</f>
        <v>-37.980000000000004</v>
      </c>
      <c r="G101" s="49">
        <f>VLOOKUP($A101,'Data shares'!$C:$FB,42)</f>
        <v>2230000</v>
      </c>
      <c r="H101" s="49">
        <f>VLOOKUP($A101,'Data shares'!$C:$FB,43)</f>
        <v>3624000</v>
      </c>
      <c r="I101" s="50">
        <f>VLOOKUP($A101,'Data shares'!$C:$FB,45)*100</f>
        <v>-38.47</v>
      </c>
      <c r="J101" s="49">
        <f>VLOOKUP($A101,'Data shares'!$C:$FB,58)</f>
        <v>5650000</v>
      </c>
      <c r="K101" s="49">
        <f>VLOOKUP($A101,'Data shares'!$C:$FB,59)</f>
        <v>8798000</v>
      </c>
      <c r="L101" s="50">
        <f>VLOOKUP($A101,'Data shares'!$C:$FB,61)*100</f>
        <v>-35.78</v>
      </c>
      <c r="M101" s="49">
        <f>VLOOKUP($A101,'Data shares'!$C:$FB,62)</f>
        <v>1986000</v>
      </c>
      <c r="N101" s="49">
        <f>VLOOKUP($A101,'Data shares'!$C:$FB,63)</f>
        <v>3485000</v>
      </c>
      <c r="O101" s="140">
        <f>VLOOKUP($A101,'Data shares'!$C:$FB,65)*100</f>
        <v>-43.01</v>
      </c>
    </row>
    <row r="102" spans="1:15" x14ac:dyDescent="0.25">
      <c r="A102" s="101" t="str">
        <f>'Data Vlaue (Cr)'!C97</f>
        <v>INDIAVIX</v>
      </c>
      <c r="B102" s="50">
        <f>VLOOKUP($A102,'Data shares'!$C:$FB,7)</f>
        <v>17.2</v>
      </c>
      <c r="C102" s="50">
        <f>VLOOKUP($A102,'Data shares'!$C:$FB,10)*100</f>
        <v>-4.8899999999999997</v>
      </c>
      <c r="D102" s="49">
        <f>VLOOKUP($A102,'Data shares'!$C:$FB,66)</f>
        <v>0</v>
      </c>
      <c r="E102" s="49">
        <f>VLOOKUP($A102,'Data shares'!$C:$FB,67)</f>
        <v>0</v>
      </c>
      <c r="F102" s="50">
        <f>VLOOKUP($A102,'Data shares'!$C:$FB,69)*100</f>
        <v>0</v>
      </c>
      <c r="G102" s="49">
        <f>VLOOKUP($A102,'Data shares'!$C:$FB,42)</f>
        <v>0</v>
      </c>
      <c r="H102" s="49">
        <f>VLOOKUP($A102,'Data shares'!$C:$FB,43)</f>
        <v>0</v>
      </c>
      <c r="I102" s="50">
        <f>VLOOKUP($A102,'Data shares'!$C:$FB,45)*100</f>
        <v>0</v>
      </c>
      <c r="J102" s="49">
        <f>VLOOKUP($A102,'Data shares'!$C:$FB,58)</f>
        <v>0</v>
      </c>
      <c r="K102" s="49">
        <f>VLOOKUP($A102,'Data shares'!$C:$FB,59)</f>
        <v>0</v>
      </c>
      <c r="L102" s="50">
        <f>VLOOKUP($A102,'Data shares'!$C:$FB,61)*100</f>
        <v>0</v>
      </c>
      <c r="M102" s="49">
        <f>VLOOKUP($A102,'Data shares'!$C:$FB,62)</f>
        <v>0</v>
      </c>
      <c r="N102" s="49">
        <f>VLOOKUP($A102,'Data shares'!$C:$FB,63)</f>
        <v>0</v>
      </c>
      <c r="O102" s="140">
        <f>VLOOKUP($A102,'Data shares'!$C:$FB,65)*100</f>
        <v>0</v>
      </c>
    </row>
    <row r="103" spans="1:15" x14ac:dyDescent="0.25">
      <c r="A103" s="101" t="str">
        <f>'Data Vlaue (Cr)'!C98</f>
        <v>INDIGO</v>
      </c>
      <c r="B103" s="50">
        <f>VLOOKUP($A103,'Data shares'!$C:$FB,7)</f>
        <v>4638.3999999999996</v>
      </c>
      <c r="C103" s="50">
        <f>VLOOKUP($A103,'Data shares'!$C:$FB,10)*100</f>
        <v>0.64</v>
      </c>
      <c r="D103" s="49">
        <f>VLOOKUP($A103,'Data shares'!$C:$FB,66)</f>
        <v>8943000</v>
      </c>
      <c r="E103" s="49">
        <f>VLOOKUP($A103,'Data shares'!$C:$FB,67)</f>
        <v>10398450</v>
      </c>
      <c r="F103" s="50">
        <f>VLOOKUP($A103,'Data shares'!$C:$FB,69)*100</f>
        <v>-14.000000000000002</v>
      </c>
      <c r="G103" s="49">
        <f>VLOOKUP($A103,'Data shares'!$C:$FB,42)</f>
        <v>883800</v>
      </c>
      <c r="H103" s="49">
        <f>VLOOKUP($A103,'Data shares'!$C:$FB,43)</f>
        <v>1116750</v>
      </c>
      <c r="I103" s="50">
        <f>VLOOKUP($A103,'Data shares'!$C:$FB,45)*100</f>
        <v>-20.86</v>
      </c>
      <c r="J103" s="49">
        <f>VLOOKUP($A103,'Data shares'!$C:$FB,58)</f>
        <v>4264350</v>
      </c>
      <c r="K103" s="49">
        <f>VLOOKUP($A103,'Data shares'!$C:$FB,59)</f>
        <v>5118450</v>
      </c>
      <c r="L103" s="50">
        <f>VLOOKUP($A103,'Data shares'!$C:$FB,61)*100</f>
        <v>-16.689999999999998</v>
      </c>
      <c r="M103" s="49">
        <f>VLOOKUP($A103,'Data shares'!$C:$FB,62)</f>
        <v>3794850</v>
      </c>
      <c r="N103" s="49">
        <f>VLOOKUP($A103,'Data shares'!$C:$FB,63)</f>
        <v>4163250</v>
      </c>
      <c r="O103" s="140">
        <f>VLOOKUP($A103,'Data shares'!$C:$FB,65)*100</f>
        <v>-8.85</v>
      </c>
    </row>
    <row r="104" spans="1:15" x14ac:dyDescent="0.25">
      <c r="A104" s="101" t="str">
        <f>'Data Vlaue (Cr)'!C99</f>
        <v>INDUSINDBK</v>
      </c>
      <c r="B104" s="50">
        <f>VLOOKUP($A104,'Data shares'!$C:$FB,7)</f>
        <v>853.9</v>
      </c>
      <c r="C104" s="50">
        <f>VLOOKUP($A104,'Data shares'!$C:$FB,10)*100</f>
        <v>0.71000000000000008</v>
      </c>
      <c r="D104" s="49">
        <f>VLOOKUP($A104,'Data shares'!$C:$FB,66)</f>
        <v>16914100</v>
      </c>
      <c r="E104" s="49">
        <f>VLOOKUP($A104,'Data shares'!$C:$FB,67)</f>
        <v>23102100</v>
      </c>
      <c r="F104" s="50">
        <f>VLOOKUP($A104,'Data shares'!$C:$FB,69)*100</f>
        <v>-26.790000000000003</v>
      </c>
      <c r="G104" s="49">
        <f>VLOOKUP($A104,'Data shares'!$C:$FB,42)</f>
        <v>3688300</v>
      </c>
      <c r="H104" s="49">
        <f>VLOOKUP($A104,'Data shares'!$C:$FB,43)</f>
        <v>5659500</v>
      </c>
      <c r="I104" s="50">
        <f>VLOOKUP($A104,'Data shares'!$C:$FB,45)*100</f>
        <v>-34.83</v>
      </c>
      <c r="J104" s="49">
        <f>VLOOKUP($A104,'Data shares'!$C:$FB,58)</f>
        <v>8372700</v>
      </c>
      <c r="K104" s="49">
        <f>VLOOKUP($A104,'Data shares'!$C:$FB,59)</f>
        <v>10045700</v>
      </c>
      <c r="L104" s="50">
        <f>VLOOKUP($A104,'Data shares'!$C:$FB,61)*100</f>
        <v>-16.650000000000002</v>
      </c>
      <c r="M104" s="49">
        <f>VLOOKUP($A104,'Data shares'!$C:$FB,62)</f>
        <v>4853100</v>
      </c>
      <c r="N104" s="49">
        <f>VLOOKUP($A104,'Data shares'!$C:$FB,63)</f>
        <v>7396900</v>
      </c>
      <c r="O104" s="140">
        <f>VLOOKUP($A104,'Data shares'!$C:$FB,65)*100</f>
        <v>-34.39</v>
      </c>
    </row>
    <row r="105" spans="1:15" x14ac:dyDescent="0.25">
      <c r="A105" s="101" t="str">
        <f>'Data Vlaue (Cr)'!C100</f>
        <v>INDUSTOWER</v>
      </c>
      <c r="B105" s="50">
        <f>VLOOKUP($A105,'Data shares'!$C:$FB,7)</f>
        <v>412.25</v>
      </c>
      <c r="C105" s="50">
        <f>VLOOKUP($A105,'Data shares'!$C:$FB,10)*100</f>
        <v>-0.22</v>
      </c>
      <c r="D105" s="49">
        <f>VLOOKUP($A105,'Data shares'!$C:$FB,66)</f>
        <v>73506300</v>
      </c>
      <c r="E105" s="49">
        <f>VLOOKUP($A105,'Data shares'!$C:$FB,67)</f>
        <v>56933000</v>
      </c>
      <c r="F105" s="50">
        <f>VLOOKUP($A105,'Data shares'!$C:$FB,69)*100</f>
        <v>29.110000000000003</v>
      </c>
      <c r="G105" s="49">
        <f>VLOOKUP($A105,'Data shares'!$C:$FB,42)</f>
        <v>19789700</v>
      </c>
      <c r="H105" s="49">
        <f>VLOOKUP($A105,'Data shares'!$C:$FB,43)</f>
        <v>11415500</v>
      </c>
      <c r="I105" s="50">
        <f>VLOOKUP($A105,'Data shares'!$C:$FB,45)*100</f>
        <v>73.36</v>
      </c>
      <c r="J105" s="49">
        <f>VLOOKUP($A105,'Data shares'!$C:$FB,58)</f>
        <v>35292000</v>
      </c>
      <c r="K105" s="49">
        <f>VLOOKUP($A105,'Data shares'!$C:$FB,59)</f>
        <v>31314000</v>
      </c>
      <c r="L105" s="50">
        <f>VLOOKUP($A105,'Data shares'!$C:$FB,61)*100</f>
        <v>12.7</v>
      </c>
      <c r="M105" s="49">
        <f>VLOOKUP($A105,'Data shares'!$C:$FB,62)</f>
        <v>18424600</v>
      </c>
      <c r="N105" s="49">
        <f>VLOOKUP($A105,'Data shares'!$C:$FB,63)</f>
        <v>14203500</v>
      </c>
      <c r="O105" s="140">
        <f>VLOOKUP($A105,'Data shares'!$C:$FB,65)*100</f>
        <v>29.720000000000002</v>
      </c>
    </row>
    <row r="106" spans="1:15" x14ac:dyDescent="0.25">
      <c r="A106" s="101" t="str">
        <f>'Data Vlaue (Cr)'!C101</f>
        <v>INFY</v>
      </c>
      <c r="B106" s="50">
        <f>VLOOKUP($A106,'Data shares'!$C:$FB,7)</f>
        <v>1318.7</v>
      </c>
      <c r="C106" s="50">
        <f>VLOOKUP($A106,'Data shares'!$C:$FB,10)*100</f>
        <v>-0.04</v>
      </c>
      <c r="D106" s="49">
        <f>VLOOKUP($A106,'Data shares'!$C:$FB,66)</f>
        <v>42485600</v>
      </c>
      <c r="E106" s="49">
        <f>VLOOKUP($A106,'Data shares'!$C:$FB,67)</f>
        <v>68853600</v>
      </c>
      <c r="F106" s="50">
        <f>VLOOKUP($A106,'Data shares'!$C:$FB,69)*100</f>
        <v>-38.299999999999997</v>
      </c>
      <c r="G106" s="49">
        <f>VLOOKUP($A106,'Data shares'!$C:$FB,42)</f>
        <v>11066800</v>
      </c>
      <c r="H106" s="49">
        <f>VLOOKUP($A106,'Data shares'!$C:$FB,43)</f>
        <v>16550000</v>
      </c>
      <c r="I106" s="50">
        <f>VLOOKUP($A106,'Data shares'!$C:$FB,45)*100</f>
        <v>-33.129999999999995</v>
      </c>
      <c r="J106" s="49">
        <f>VLOOKUP($A106,'Data shares'!$C:$FB,58)</f>
        <v>18127200</v>
      </c>
      <c r="K106" s="49">
        <f>VLOOKUP($A106,'Data shares'!$C:$FB,59)</f>
        <v>34105200</v>
      </c>
      <c r="L106" s="50">
        <f>VLOOKUP($A106,'Data shares'!$C:$FB,61)*100</f>
        <v>-46.85</v>
      </c>
      <c r="M106" s="49">
        <f>VLOOKUP($A106,'Data shares'!$C:$FB,62)</f>
        <v>13291600</v>
      </c>
      <c r="N106" s="49">
        <f>VLOOKUP($A106,'Data shares'!$C:$FB,63)</f>
        <v>18198400</v>
      </c>
      <c r="O106" s="140">
        <f>VLOOKUP($A106,'Data shares'!$C:$FB,65)*100</f>
        <v>-26.96</v>
      </c>
    </row>
    <row r="107" spans="1:15" x14ac:dyDescent="0.25">
      <c r="A107" s="101" t="str">
        <f>'Data Vlaue (Cr)'!C102</f>
        <v>INOXWIND</v>
      </c>
      <c r="B107" s="50">
        <f>VLOOKUP($A107,'Data shares'!$C:$FB,7)</f>
        <v>97.9</v>
      </c>
      <c r="C107" s="50">
        <f>VLOOKUP($A107,'Data shares'!$C:$FB,10)*100</f>
        <v>2.62</v>
      </c>
      <c r="D107" s="49">
        <f>VLOOKUP($A107,'Data shares'!$C:$FB,66)</f>
        <v>111675850</v>
      </c>
      <c r="E107" s="49">
        <f>VLOOKUP($A107,'Data shares'!$C:$FB,67)</f>
        <v>74195550</v>
      </c>
      <c r="F107" s="50">
        <f>VLOOKUP($A107,'Data shares'!$C:$FB,69)*100</f>
        <v>50.519999999999996</v>
      </c>
      <c r="G107" s="49">
        <f>VLOOKUP($A107,'Data shares'!$C:$FB,42)</f>
        <v>34248500</v>
      </c>
      <c r="H107" s="49">
        <f>VLOOKUP($A107,'Data shares'!$C:$FB,43)</f>
        <v>21846825</v>
      </c>
      <c r="I107" s="50">
        <f>VLOOKUP($A107,'Data shares'!$C:$FB,45)*100</f>
        <v>56.769999999999996</v>
      </c>
      <c r="J107" s="49">
        <f>VLOOKUP($A107,'Data shares'!$C:$FB,58)</f>
        <v>57310825</v>
      </c>
      <c r="K107" s="49">
        <f>VLOOKUP($A107,'Data shares'!$C:$FB,59)</f>
        <v>34799050</v>
      </c>
      <c r="L107" s="50">
        <f>VLOOKUP($A107,'Data shares'!$C:$FB,61)*100</f>
        <v>64.69</v>
      </c>
      <c r="M107" s="49">
        <f>VLOOKUP($A107,'Data shares'!$C:$FB,62)</f>
        <v>20116525</v>
      </c>
      <c r="N107" s="49">
        <f>VLOOKUP($A107,'Data shares'!$C:$FB,63)</f>
        <v>17549675</v>
      </c>
      <c r="O107" s="140">
        <f>VLOOKUP($A107,'Data shares'!$C:$FB,65)*100</f>
        <v>14.63</v>
      </c>
    </row>
    <row r="108" spans="1:15" x14ac:dyDescent="0.25">
      <c r="A108" s="101" t="str">
        <f>'Data Vlaue (Cr)'!C103</f>
        <v>IOC</v>
      </c>
      <c r="B108" s="50">
        <f>VLOOKUP($A108,'Data shares'!$C:$FB,7)</f>
        <v>145.88</v>
      </c>
      <c r="C108" s="50">
        <f>VLOOKUP($A108,'Data shares'!$C:$FB,10)*100</f>
        <v>1.17</v>
      </c>
      <c r="D108" s="49">
        <f>VLOOKUP($A108,'Data shares'!$C:$FB,66)</f>
        <v>69717375</v>
      </c>
      <c r="E108" s="49">
        <f>VLOOKUP($A108,'Data shares'!$C:$FB,67)</f>
        <v>73334625</v>
      </c>
      <c r="F108" s="50">
        <f>VLOOKUP($A108,'Data shares'!$C:$FB,69)*100</f>
        <v>-4.93</v>
      </c>
      <c r="G108" s="49">
        <f>VLOOKUP($A108,'Data shares'!$C:$FB,42)</f>
        <v>13435500</v>
      </c>
      <c r="H108" s="49">
        <f>VLOOKUP($A108,'Data shares'!$C:$FB,43)</f>
        <v>21196500</v>
      </c>
      <c r="I108" s="50">
        <f>VLOOKUP($A108,'Data shares'!$C:$FB,45)*100</f>
        <v>-36.61</v>
      </c>
      <c r="J108" s="49">
        <f>VLOOKUP($A108,'Data shares'!$C:$FB,58)</f>
        <v>35265750</v>
      </c>
      <c r="K108" s="49">
        <f>VLOOKUP($A108,'Data shares'!$C:$FB,59)</f>
        <v>29693625</v>
      </c>
      <c r="L108" s="50">
        <f>VLOOKUP($A108,'Data shares'!$C:$FB,61)*100</f>
        <v>18.77</v>
      </c>
      <c r="M108" s="49">
        <f>VLOOKUP($A108,'Data shares'!$C:$FB,62)</f>
        <v>21016125</v>
      </c>
      <c r="N108" s="49">
        <f>VLOOKUP($A108,'Data shares'!$C:$FB,63)</f>
        <v>22444500</v>
      </c>
      <c r="O108" s="140">
        <f>VLOOKUP($A108,'Data shares'!$C:$FB,65)*100</f>
        <v>-6.36</v>
      </c>
    </row>
    <row r="109" spans="1:15" x14ac:dyDescent="0.25">
      <c r="A109" s="101" t="str">
        <f>'Data Vlaue (Cr)'!C104</f>
        <v>IREDA</v>
      </c>
      <c r="B109" s="50">
        <f>VLOOKUP($A109,'Data shares'!$C:$FB,7)</f>
        <v>133.01</v>
      </c>
      <c r="C109" s="50">
        <f>VLOOKUP($A109,'Data shares'!$C:$FB,10)*100</f>
        <v>2.77</v>
      </c>
      <c r="D109" s="49">
        <f>VLOOKUP($A109,'Data shares'!$C:$FB,66)</f>
        <v>92953350</v>
      </c>
      <c r="E109" s="49">
        <f>VLOOKUP($A109,'Data shares'!$C:$FB,67)</f>
        <v>77369700</v>
      </c>
      <c r="F109" s="50">
        <f>VLOOKUP($A109,'Data shares'!$C:$FB,69)*100</f>
        <v>20.14</v>
      </c>
      <c r="G109" s="49">
        <f>VLOOKUP($A109,'Data shares'!$C:$FB,42)</f>
        <v>24743400</v>
      </c>
      <c r="H109" s="49">
        <f>VLOOKUP($A109,'Data shares'!$C:$FB,43)</f>
        <v>20606850</v>
      </c>
      <c r="I109" s="50">
        <f>VLOOKUP($A109,'Data shares'!$C:$FB,45)*100</f>
        <v>20.07</v>
      </c>
      <c r="J109" s="49">
        <f>VLOOKUP($A109,'Data shares'!$C:$FB,58)</f>
        <v>51536100</v>
      </c>
      <c r="K109" s="49">
        <f>VLOOKUP($A109,'Data shares'!$C:$FB,59)</f>
        <v>41034300</v>
      </c>
      <c r="L109" s="50">
        <f>VLOOKUP($A109,'Data shares'!$C:$FB,61)*100</f>
        <v>25.590000000000003</v>
      </c>
      <c r="M109" s="49">
        <f>VLOOKUP($A109,'Data shares'!$C:$FB,62)</f>
        <v>16673850</v>
      </c>
      <c r="N109" s="49">
        <f>VLOOKUP($A109,'Data shares'!$C:$FB,63)</f>
        <v>15728550</v>
      </c>
      <c r="O109" s="140">
        <f>VLOOKUP($A109,'Data shares'!$C:$FB,65)*100</f>
        <v>6.01</v>
      </c>
    </row>
    <row r="110" spans="1:15" x14ac:dyDescent="0.25">
      <c r="A110" s="101" t="str">
        <f>'Data Vlaue (Cr)'!C105</f>
        <v>IRFC</v>
      </c>
      <c r="B110" s="50">
        <f>VLOOKUP($A110,'Data shares'!$C:$FB,7)</f>
        <v>104.84</v>
      </c>
      <c r="C110" s="50">
        <f>VLOOKUP($A110,'Data shares'!$C:$FB,10)*100</f>
        <v>1.55</v>
      </c>
      <c r="D110" s="49">
        <f>VLOOKUP($A110,'Data shares'!$C:$FB,66)</f>
        <v>120759500</v>
      </c>
      <c r="E110" s="49">
        <f>VLOOKUP($A110,'Data shares'!$C:$FB,67)</f>
        <v>103219750</v>
      </c>
      <c r="F110" s="50">
        <f>VLOOKUP($A110,'Data shares'!$C:$FB,69)*100</f>
        <v>16.989999999999998</v>
      </c>
      <c r="G110" s="49">
        <f>VLOOKUP($A110,'Data shares'!$C:$FB,42)</f>
        <v>18228250</v>
      </c>
      <c r="H110" s="49">
        <f>VLOOKUP($A110,'Data shares'!$C:$FB,43)</f>
        <v>13791250</v>
      </c>
      <c r="I110" s="50">
        <f>VLOOKUP($A110,'Data shares'!$C:$FB,45)*100</f>
        <v>32.17</v>
      </c>
      <c r="J110" s="49">
        <f>VLOOKUP($A110,'Data shares'!$C:$FB,58)</f>
        <v>73686500</v>
      </c>
      <c r="K110" s="49">
        <f>VLOOKUP($A110,'Data shares'!$C:$FB,59)</f>
        <v>65811250</v>
      </c>
      <c r="L110" s="50">
        <f>VLOOKUP($A110,'Data shares'!$C:$FB,61)*100</f>
        <v>11.97</v>
      </c>
      <c r="M110" s="49">
        <f>VLOOKUP($A110,'Data shares'!$C:$FB,62)</f>
        <v>28844750</v>
      </c>
      <c r="N110" s="49">
        <f>VLOOKUP($A110,'Data shares'!$C:$FB,63)</f>
        <v>23617250</v>
      </c>
      <c r="O110" s="140">
        <f>VLOOKUP($A110,'Data shares'!$C:$FB,65)*100</f>
        <v>22.13</v>
      </c>
    </row>
    <row r="111" spans="1:15" x14ac:dyDescent="0.25">
      <c r="A111" s="101" t="str">
        <f>'Data Vlaue (Cr)'!C106</f>
        <v>ITC</v>
      </c>
      <c r="B111" s="50">
        <f>VLOOKUP($A111,'Data shares'!$C:$FB,7)</f>
        <v>306.8</v>
      </c>
      <c r="C111" s="50">
        <f>VLOOKUP($A111,'Data shares'!$C:$FB,10)*100</f>
        <v>1.1199999999999999</v>
      </c>
      <c r="D111" s="49">
        <f>VLOOKUP($A111,'Data shares'!$C:$FB,66)</f>
        <v>440985600</v>
      </c>
      <c r="E111" s="49">
        <f>VLOOKUP($A111,'Data shares'!$C:$FB,67)</f>
        <v>128284800</v>
      </c>
      <c r="F111" s="50">
        <f>VLOOKUP($A111,'Data shares'!$C:$FB,69)*100</f>
        <v>243.76000000000002</v>
      </c>
      <c r="G111" s="49">
        <f>VLOOKUP($A111,'Data shares'!$C:$FB,42)</f>
        <v>33737600</v>
      </c>
      <c r="H111" s="49">
        <f>VLOOKUP($A111,'Data shares'!$C:$FB,43)</f>
        <v>12070400</v>
      </c>
      <c r="I111" s="50">
        <f>VLOOKUP($A111,'Data shares'!$C:$FB,45)*100</f>
        <v>179.51</v>
      </c>
      <c r="J111" s="49">
        <f>VLOOKUP($A111,'Data shares'!$C:$FB,58)</f>
        <v>285123200</v>
      </c>
      <c r="K111" s="49">
        <f>VLOOKUP($A111,'Data shares'!$C:$FB,59)</f>
        <v>78937600</v>
      </c>
      <c r="L111" s="50">
        <f>VLOOKUP($A111,'Data shares'!$C:$FB,61)*100</f>
        <v>261.2</v>
      </c>
      <c r="M111" s="49">
        <f>VLOOKUP($A111,'Data shares'!$C:$FB,62)</f>
        <v>122124800</v>
      </c>
      <c r="N111" s="49">
        <f>VLOOKUP($A111,'Data shares'!$C:$FB,63)</f>
        <v>37276800</v>
      </c>
      <c r="O111" s="140">
        <f>VLOOKUP($A111,'Data shares'!$C:$FB,65)*100</f>
        <v>227.61999999999998</v>
      </c>
    </row>
    <row r="112" spans="1:15" x14ac:dyDescent="0.25">
      <c r="A112" s="101" t="str">
        <f>'Data Vlaue (Cr)'!C107</f>
        <v>JINDALSTEL</v>
      </c>
      <c r="B112" s="50">
        <f>VLOOKUP($A112,'Data shares'!$C:$FB,7)</f>
        <v>1270</v>
      </c>
      <c r="C112" s="50">
        <f>VLOOKUP($A112,'Data shares'!$C:$FB,10)*100</f>
        <v>3.39</v>
      </c>
      <c r="D112" s="49">
        <f>VLOOKUP($A112,'Data shares'!$C:$FB,66)</f>
        <v>24908750</v>
      </c>
      <c r="E112" s="49">
        <f>VLOOKUP($A112,'Data shares'!$C:$FB,67)</f>
        <v>7920000</v>
      </c>
      <c r="F112" s="50">
        <f>VLOOKUP($A112,'Data shares'!$C:$FB,69)*100</f>
        <v>214.5</v>
      </c>
      <c r="G112" s="49">
        <f>VLOOKUP($A112,'Data shares'!$C:$FB,42)</f>
        <v>3737500</v>
      </c>
      <c r="H112" s="49">
        <f>VLOOKUP($A112,'Data shares'!$C:$FB,43)</f>
        <v>1887500</v>
      </c>
      <c r="I112" s="50">
        <f>VLOOKUP($A112,'Data shares'!$C:$FB,45)*100</f>
        <v>98.009999999999991</v>
      </c>
      <c r="J112" s="49">
        <f>VLOOKUP($A112,'Data shares'!$C:$FB,58)</f>
        <v>13189375</v>
      </c>
      <c r="K112" s="49">
        <f>VLOOKUP($A112,'Data shares'!$C:$FB,59)</f>
        <v>3925000</v>
      </c>
      <c r="L112" s="50">
        <f>VLOOKUP($A112,'Data shares'!$C:$FB,61)*100</f>
        <v>236.04</v>
      </c>
      <c r="M112" s="49">
        <f>VLOOKUP($A112,'Data shares'!$C:$FB,62)</f>
        <v>7981875</v>
      </c>
      <c r="N112" s="49">
        <f>VLOOKUP($A112,'Data shares'!$C:$FB,63)</f>
        <v>2107500</v>
      </c>
      <c r="O112" s="140">
        <f>VLOOKUP($A112,'Data shares'!$C:$FB,65)*100</f>
        <v>278.74</v>
      </c>
    </row>
    <row r="113" spans="1:15" x14ac:dyDescent="0.25">
      <c r="A113" s="101" t="str">
        <f>'Data Vlaue (Cr)'!C108</f>
        <v>JIOFIN</v>
      </c>
      <c r="B113" s="50">
        <f>VLOOKUP($A113,'Data shares'!$C:$FB,7)</f>
        <v>243.86</v>
      </c>
      <c r="C113" s="50">
        <f>VLOOKUP($A113,'Data shares'!$C:$FB,10)*100</f>
        <v>1.0699999999999998</v>
      </c>
      <c r="D113" s="49">
        <f>VLOOKUP($A113,'Data shares'!$C:$FB,66)</f>
        <v>212703200</v>
      </c>
      <c r="E113" s="49">
        <f>VLOOKUP($A113,'Data shares'!$C:$FB,67)</f>
        <v>95856500</v>
      </c>
      <c r="F113" s="50">
        <f>VLOOKUP($A113,'Data shares'!$C:$FB,69)*100</f>
        <v>121.9</v>
      </c>
      <c r="G113" s="49">
        <f>VLOOKUP($A113,'Data shares'!$C:$FB,42)</f>
        <v>43778150</v>
      </c>
      <c r="H113" s="49">
        <f>VLOOKUP($A113,'Data shares'!$C:$FB,43)</f>
        <v>25793600</v>
      </c>
      <c r="I113" s="50">
        <f>VLOOKUP($A113,'Data shares'!$C:$FB,45)*100</f>
        <v>69.72</v>
      </c>
      <c r="J113" s="49">
        <f>VLOOKUP($A113,'Data shares'!$C:$FB,58)</f>
        <v>126477000</v>
      </c>
      <c r="K113" s="49">
        <f>VLOOKUP($A113,'Data shares'!$C:$FB,59)</f>
        <v>47888300</v>
      </c>
      <c r="L113" s="50">
        <f>VLOOKUP($A113,'Data shares'!$C:$FB,61)*100</f>
        <v>164.11</v>
      </c>
      <c r="M113" s="49">
        <f>VLOOKUP($A113,'Data shares'!$C:$FB,62)</f>
        <v>42448050</v>
      </c>
      <c r="N113" s="49">
        <f>VLOOKUP($A113,'Data shares'!$C:$FB,63)</f>
        <v>22174600</v>
      </c>
      <c r="O113" s="140">
        <f>VLOOKUP($A113,'Data shares'!$C:$FB,65)*100</f>
        <v>91.43</v>
      </c>
    </row>
    <row r="114" spans="1:15" x14ac:dyDescent="0.25">
      <c r="A114" s="101" t="str">
        <f>'Data Vlaue (Cr)'!C109</f>
        <v>JSWENERGY</v>
      </c>
      <c r="B114" s="50">
        <f>VLOOKUP($A114,'Data shares'!$C:$FB,7)</f>
        <v>538.04999999999995</v>
      </c>
      <c r="C114" s="50">
        <f>VLOOKUP($A114,'Data shares'!$C:$FB,10)*100</f>
        <v>0.38999999999999996</v>
      </c>
      <c r="D114" s="49">
        <f>VLOOKUP($A114,'Data shares'!$C:$FB,66)</f>
        <v>16059000</v>
      </c>
      <c r="E114" s="49">
        <f>VLOOKUP($A114,'Data shares'!$C:$FB,67)</f>
        <v>24638000</v>
      </c>
      <c r="F114" s="50">
        <f>VLOOKUP($A114,'Data shares'!$C:$FB,69)*100</f>
        <v>-34.82</v>
      </c>
      <c r="G114" s="49">
        <f>VLOOKUP($A114,'Data shares'!$C:$FB,42)</f>
        <v>3646000</v>
      </c>
      <c r="H114" s="49">
        <f>VLOOKUP($A114,'Data shares'!$C:$FB,43)</f>
        <v>5189000</v>
      </c>
      <c r="I114" s="50">
        <f>VLOOKUP($A114,'Data shares'!$C:$FB,45)*100</f>
        <v>-29.74</v>
      </c>
      <c r="J114" s="49">
        <f>VLOOKUP($A114,'Data shares'!$C:$FB,58)</f>
        <v>8100000</v>
      </c>
      <c r="K114" s="49">
        <f>VLOOKUP($A114,'Data shares'!$C:$FB,59)</f>
        <v>12340000</v>
      </c>
      <c r="L114" s="50">
        <f>VLOOKUP($A114,'Data shares'!$C:$FB,61)*100</f>
        <v>-34.36</v>
      </c>
      <c r="M114" s="49">
        <f>VLOOKUP($A114,'Data shares'!$C:$FB,62)</f>
        <v>4313000</v>
      </c>
      <c r="N114" s="49">
        <f>VLOOKUP($A114,'Data shares'!$C:$FB,63)</f>
        <v>7109000</v>
      </c>
      <c r="O114" s="140">
        <f>VLOOKUP($A114,'Data shares'!$C:$FB,65)*100</f>
        <v>-39.33</v>
      </c>
    </row>
    <row r="115" spans="1:15" x14ac:dyDescent="0.25">
      <c r="A115" s="101" t="str">
        <f>'Data Vlaue (Cr)'!C110</f>
        <v>JSWSTEEL</v>
      </c>
      <c r="B115" s="50">
        <f>VLOOKUP($A115,'Data shares'!$C:$FB,7)</f>
        <v>1240.3</v>
      </c>
      <c r="C115" s="50">
        <f>VLOOKUP($A115,'Data shares'!$C:$FB,10)*100</f>
        <v>2.09</v>
      </c>
      <c r="D115" s="49">
        <f>VLOOKUP($A115,'Data shares'!$C:$FB,66)</f>
        <v>21487950</v>
      </c>
      <c r="E115" s="49">
        <f>VLOOKUP($A115,'Data shares'!$C:$FB,67)</f>
        <v>16393725</v>
      </c>
      <c r="F115" s="50">
        <f>VLOOKUP($A115,'Data shares'!$C:$FB,69)*100</f>
        <v>31.069999999999997</v>
      </c>
      <c r="G115" s="49">
        <f>VLOOKUP($A115,'Data shares'!$C:$FB,42)</f>
        <v>5396625</v>
      </c>
      <c r="H115" s="49">
        <f>VLOOKUP($A115,'Data shares'!$C:$FB,43)</f>
        <v>4048650</v>
      </c>
      <c r="I115" s="50">
        <f>VLOOKUP($A115,'Data shares'!$C:$FB,45)*100</f>
        <v>33.29</v>
      </c>
      <c r="J115" s="49">
        <f>VLOOKUP($A115,'Data shares'!$C:$FB,58)</f>
        <v>10752075</v>
      </c>
      <c r="K115" s="49">
        <f>VLOOKUP($A115,'Data shares'!$C:$FB,59)</f>
        <v>8372700</v>
      </c>
      <c r="L115" s="50">
        <f>VLOOKUP($A115,'Data shares'!$C:$FB,61)*100</f>
        <v>28.42</v>
      </c>
      <c r="M115" s="49">
        <f>VLOOKUP($A115,'Data shares'!$C:$FB,62)</f>
        <v>5339250</v>
      </c>
      <c r="N115" s="49">
        <f>VLOOKUP($A115,'Data shares'!$C:$FB,63)</f>
        <v>3972375</v>
      </c>
      <c r="O115" s="140">
        <f>VLOOKUP($A115,'Data shares'!$C:$FB,65)*100</f>
        <v>34.410000000000004</v>
      </c>
    </row>
    <row r="116" spans="1:15" x14ac:dyDescent="0.25">
      <c r="A116" s="101" t="str">
        <f>'Data Vlaue (Cr)'!C111</f>
        <v>JUBLFOOD</v>
      </c>
      <c r="B116" s="50">
        <f>VLOOKUP($A116,'Data shares'!$C:$FB,7)</f>
        <v>458.95</v>
      </c>
      <c r="C116" s="50">
        <f>VLOOKUP($A116,'Data shares'!$C:$FB,10)*100</f>
        <v>-0.15</v>
      </c>
      <c r="D116" s="49">
        <f>VLOOKUP($A116,'Data shares'!$C:$FB,66)</f>
        <v>39621250</v>
      </c>
      <c r="E116" s="49">
        <f>VLOOKUP($A116,'Data shares'!$C:$FB,67)</f>
        <v>30430000</v>
      </c>
      <c r="F116" s="50">
        <f>VLOOKUP($A116,'Data shares'!$C:$FB,69)*100</f>
        <v>30.2</v>
      </c>
      <c r="G116" s="49">
        <f>VLOOKUP($A116,'Data shares'!$C:$FB,42)</f>
        <v>9136250</v>
      </c>
      <c r="H116" s="49">
        <f>VLOOKUP($A116,'Data shares'!$C:$FB,43)</f>
        <v>10613750</v>
      </c>
      <c r="I116" s="50">
        <f>VLOOKUP($A116,'Data shares'!$C:$FB,45)*100</f>
        <v>-13.919999999999998</v>
      </c>
      <c r="J116" s="49">
        <f>VLOOKUP($A116,'Data shares'!$C:$FB,58)</f>
        <v>21892500</v>
      </c>
      <c r="K116" s="49">
        <f>VLOOKUP($A116,'Data shares'!$C:$FB,59)</f>
        <v>14230000</v>
      </c>
      <c r="L116" s="50">
        <f>VLOOKUP($A116,'Data shares'!$C:$FB,61)*100</f>
        <v>53.849999999999994</v>
      </c>
      <c r="M116" s="49">
        <f>VLOOKUP($A116,'Data shares'!$C:$FB,62)</f>
        <v>8592500</v>
      </c>
      <c r="N116" s="49">
        <f>VLOOKUP($A116,'Data shares'!$C:$FB,63)</f>
        <v>5586250</v>
      </c>
      <c r="O116" s="140">
        <f>VLOOKUP($A116,'Data shares'!$C:$FB,65)*100</f>
        <v>53.82</v>
      </c>
    </row>
    <row r="117" spans="1:15" x14ac:dyDescent="0.25">
      <c r="A117" s="101" t="str">
        <f>'Data Vlaue (Cr)'!C112</f>
        <v>KALYANKJIL</v>
      </c>
      <c r="B117" s="50">
        <f>VLOOKUP($A117,'Data shares'!$C:$FB,7)</f>
        <v>426.85</v>
      </c>
      <c r="C117" s="50">
        <f>VLOOKUP($A117,'Data shares'!$C:$FB,10)*100</f>
        <v>-3.05</v>
      </c>
      <c r="D117" s="49">
        <f>VLOOKUP($A117,'Data shares'!$C:$FB,66)</f>
        <v>148035900</v>
      </c>
      <c r="E117" s="49">
        <f>VLOOKUP($A117,'Data shares'!$C:$FB,67)</f>
        <v>20553100</v>
      </c>
      <c r="F117" s="50">
        <f>VLOOKUP($A117,'Data shares'!$C:$FB,69)*100</f>
        <v>620.26</v>
      </c>
      <c r="G117" s="49">
        <f>VLOOKUP($A117,'Data shares'!$C:$FB,42)</f>
        <v>17582700</v>
      </c>
      <c r="H117" s="49">
        <f>VLOOKUP($A117,'Data shares'!$C:$FB,43)</f>
        <v>3608425</v>
      </c>
      <c r="I117" s="50">
        <f>VLOOKUP($A117,'Data shares'!$C:$FB,45)*100</f>
        <v>387.27</v>
      </c>
      <c r="J117" s="49">
        <f>VLOOKUP($A117,'Data shares'!$C:$FB,58)</f>
        <v>75230550</v>
      </c>
      <c r="K117" s="49">
        <f>VLOOKUP($A117,'Data shares'!$C:$FB,59)</f>
        <v>9637350</v>
      </c>
      <c r="L117" s="50">
        <f>VLOOKUP($A117,'Data shares'!$C:$FB,61)*100</f>
        <v>680.61</v>
      </c>
      <c r="M117" s="49">
        <f>VLOOKUP($A117,'Data shares'!$C:$FB,62)</f>
        <v>55222650</v>
      </c>
      <c r="N117" s="49">
        <f>VLOOKUP($A117,'Data shares'!$C:$FB,63)</f>
        <v>7307325</v>
      </c>
      <c r="O117" s="140">
        <f>VLOOKUP($A117,'Data shares'!$C:$FB,65)*100</f>
        <v>655.72</v>
      </c>
    </row>
    <row r="118" spans="1:15" x14ac:dyDescent="0.25">
      <c r="A118" s="101" t="str">
        <f>'Data Vlaue (Cr)'!C113</f>
        <v>KAYNES</v>
      </c>
      <c r="B118" s="50">
        <f>VLOOKUP($A118,'Data shares'!$C:$FB,7)</f>
        <v>4214.3999999999996</v>
      </c>
      <c r="C118" s="50">
        <f>VLOOKUP($A118,'Data shares'!$C:$FB,10)*100</f>
        <v>0.28999999999999998</v>
      </c>
      <c r="D118" s="49">
        <f>VLOOKUP($A118,'Data shares'!$C:$FB,66)</f>
        <v>4778200</v>
      </c>
      <c r="E118" s="49">
        <f>VLOOKUP($A118,'Data shares'!$C:$FB,67)</f>
        <v>12384500</v>
      </c>
      <c r="F118" s="50">
        <f>VLOOKUP($A118,'Data shares'!$C:$FB,69)*100</f>
        <v>-61.419999999999995</v>
      </c>
      <c r="G118" s="49">
        <f>VLOOKUP($A118,'Data shares'!$C:$FB,42)</f>
        <v>711200</v>
      </c>
      <c r="H118" s="49">
        <f>VLOOKUP($A118,'Data shares'!$C:$FB,43)</f>
        <v>1512000</v>
      </c>
      <c r="I118" s="50">
        <f>VLOOKUP($A118,'Data shares'!$C:$FB,45)*100</f>
        <v>-52.959999999999994</v>
      </c>
      <c r="J118" s="49">
        <f>VLOOKUP($A118,'Data shares'!$C:$FB,58)</f>
        <v>2470300</v>
      </c>
      <c r="K118" s="49">
        <f>VLOOKUP($A118,'Data shares'!$C:$FB,59)</f>
        <v>7504600</v>
      </c>
      <c r="L118" s="50">
        <f>VLOOKUP($A118,'Data shares'!$C:$FB,61)*100</f>
        <v>-67.08</v>
      </c>
      <c r="M118" s="49">
        <f>VLOOKUP($A118,'Data shares'!$C:$FB,62)</f>
        <v>1596700</v>
      </c>
      <c r="N118" s="49">
        <f>VLOOKUP($A118,'Data shares'!$C:$FB,63)</f>
        <v>3367900</v>
      </c>
      <c r="O118" s="140">
        <f>VLOOKUP($A118,'Data shares'!$C:$FB,65)*100</f>
        <v>-52.59</v>
      </c>
    </row>
    <row r="119" spans="1:15" x14ac:dyDescent="0.25">
      <c r="A119" s="101" t="str">
        <f>'Data Vlaue (Cr)'!C114</f>
        <v>KEI</v>
      </c>
      <c r="B119" s="50">
        <f>VLOOKUP($A119,'Data shares'!$C:$FB,7)</f>
        <v>4839.3</v>
      </c>
      <c r="C119" s="50">
        <f>VLOOKUP($A119,'Data shares'!$C:$FB,10)*100</f>
        <v>4.1300000000000008</v>
      </c>
      <c r="D119" s="49">
        <f>VLOOKUP($A119,'Data shares'!$C:$FB,66)</f>
        <v>5513200</v>
      </c>
      <c r="E119" s="49">
        <f>VLOOKUP($A119,'Data shares'!$C:$FB,67)</f>
        <v>2449125</v>
      </c>
      <c r="F119" s="50">
        <f>VLOOKUP($A119,'Data shares'!$C:$FB,69)*100</f>
        <v>125.11000000000001</v>
      </c>
      <c r="G119" s="49">
        <f>VLOOKUP($A119,'Data shares'!$C:$FB,42)</f>
        <v>772275</v>
      </c>
      <c r="H119" s="49">
        <f>VLOOKUP($A119,'Data shares'!$C:$FB,43)</f>
        <v>746025</v>
      </c>
      <c r="I119" s="50">
        <f>VLOOKUP($A119,'Data shares'!$C:$FB,45)*100</f>
        <v>3.52</v>
      </c>
      <c r="J119" s="49">
        <f>VLOOKUP($A119,'Data shares'!$C:$FB,58)</f>
        <v>3695300</v>
      </c>
      <c r="K119" s="49">
        <f>VLOOKUP($A119,'Data shares'!$C:$FB,59)</f>
        <v>1405775</v>
      </c>
      <c r="L119" s="50">
        <f>VLOOKUP($A119,'Data shares'!$C:$FB,61)*100</f>
        <v>162.87</v>
      </c>
      <c r="M119" s="49">
        <f>VLOOKUP($A119,'Data shares'!$C:$FB,62)</f>
        <v>1045625</v>
      </c>
      <c r="N119" s="49">
        <f>VLOOKUP($A119,'Data shares'!$C:$FB,63)</f>
        <v>297325</v>
      </c>
      <c r="O119" s="140">
        <f>VLOOKUP($A119,'Data shares'!$C:$FB,65)*100</f>
        <v>251.68</v>
      </c>
    </row>
    <row r="120" spans="1:15" x14ac:dyDescent="0.25">
      <c r="A120" s="101" t="str">
        <f>'Data Vlaue (Cr)'!C115</f>
        <v>KFINTECH</v>
      </c>
      <c r="B120" s="50">
        <f>VLOOKUP($A120,'Data shares'!$C:$FB,7)</f>
        <v>976</v>
      </c>
      <c r="C120" s="50">
        <f>VLOOKUP($A120,'Data shares'!$C:$FB,10)*100</f>
        <v>2.1</v>
      </c>
      <c r="D120" s="49">
        <f>VLOOKUP($A120,'Data shares'!$C:$FB,66)</f>
        <v>9726000</v>
      </c>
      <c r="E120" s="49">
        <f>VLOOKUP($A120,'Data shares'!$C:$FB,67)</f>
        <v>10578500</v>
      </c>
      <c r="F120" s="50">
        <f>VLOOKUP($A120,'Data shares'!$C:$FB,69)*100</f>
        <v>-8.06</v>
      </c>
      <c r="G120" s="49">
        <f>VLOOKUP($A120,'Data shares'!$C:$FB,42)</f>
        <v>1804500</v>
      </c>
      <c r="H120" s="49">
        <f>VLOOKUP($A120,'Data shares'!$C:$FB,43)</f>
        <v>2500000</v>
      </c>
      <c r="I120" s="50">
        <f>VLOOKUP($A120,'Data shares'!$C:$FB,45)*100</f>
        <v>-27.82</v>
      </c>
      <c r="J120" s="49">
        <f>VLOOKUP($A120,'Data shares'!$C:$FB,58)</f>
        <v>6310000</v>
      </c>
      <c r="K120" s="49">
        <f>VLOOKUP($A120,'Data shares'!$C:$FB,59)</f>
        <v>6739500</v>
      </c>
      <c r="L120" s="50">
        <f>VLOOKUP($A120,'Data shares'!$C:$FB,61)*100</f>
        <v>-6.370000000000001</v>
      </c>
      <c r="M120" s="49">
        <f>VLOOKUP($A120,'Data shares'!$C:$FB,62)</f>
        <v>1611500</v>
      </c>
      <c r="N120" s="49">
        <f>VLOOKUP($A120,'Data shares'!$C:$FB,63)</f>
        <v>1339000</v>
      </c>
      <c r="O120" s="140">
        <f>VLOOKUP($A120,'Data shares'!$C:$FB,65)*100</f>
        <v>20.349999999999998</v>
      </c>
    </row>
    <row r="121" spans="1:15" x14ac:dyDescent="0.25">
      <c r="A121" s="101" t="str">
        <f>'Data Vlaue (Cr)'!C116</f>
        <v>KOTAKBANK</v>
      </c>
      <c r="B121" s="50">
        <f>VLOOKUP($A121,'Data shares'!$C:$FB,7)</f>
        <v>383.6</v>
      </c>
      <c r="C121" s="50">
        <f>VLOOKUP($A121,'Data shares'!$C:$FB,10)*100</f>
        <v>1.17</v>
      </c>
      <c r="D121" s="49">
        <f>VLOOKUP($A121,'Data shares'!$C:$FB,66)</f>
        <v>68980000</v>
      </c>
      <c r="E121" s="49">
        <f>VLOOKUP($A121,'Data shares'!$C:$FB,67)</f>
        <v>79674000</v>
      </c>
      <c r="F121" s="50">
        <f>VLOOKUP($A121,'Data shares'!$C:$FB,69)*100</f>
        <v>-13.420000000000002</v>
      </c>
      <c r="G121" s="49">
        <f>VLOOKUP($A121,'Data shares'!$C:$FB,42)</f>
        <v>23902000</v>
      </c>
      <c r="H121" s="49">
        <f>VLOOKUP($A121,'Data shares'!$C:$FB,43)</f>
        <v>23542000</v>
      </c>
      <c r="I121" s="50">
        <f>VLOOKUP($A121,'Data shares'!$C:$FB,45)*100</f>
        <v>1.53</v>
      </c>
      <c r="J121" s="49">
        <f>VLOOKUP($A121,'Data shares'!$C:$FB,58)</f>
        <v>28040000</v>
      </c>
      <c r="K121" s="49">
        <f>VLOOKUP($A121,'Data shares'!$C:$FB,59)</f>
        <v>36658000</v>
      </c>
      <c r="L121" s="50">
        <f>VLOOKUP($A121,'Data shares'!$C:$FB,61)*100</f>
        <v>-23.51</v>
      </c>
      <c r="M121" s="49">
        <f>VLOOKUP($A121,'Data shares'!$C:$FB,62)</f>
        <v>17038000</v>
      </c>
      <c r="N121" s="49">
        <f>VLOOKUP($A121,'Data shares'!$C:$FB,63)</f>
        <v>19474000</v>
      </c>
      <c r="O121" s="140">
        <f>VLOOKUP($A121,'Data shares'!$C:$FB,65)*100</f>
        <v>-12.509999999999998</v>
      </c>
    </row>
    <row r="122" spans="1:15" x14ac:dyDescent="0.25">
      <c r="A122" s="101" t="str">
        <f>'Data Vlaue (Cr)'!C117</f>
        <v>KPITTECH</v>
      </c>
      <c r="B122" s="50">
        <f>VLOOKUP($A122,'Data shares'!$C:$FB,7)</f>
        <v>747.8</v>
      </c>
      <c r="C122" s="50">
        <f>VLOOKUP($A122,'Data shares'!$C:$FB,10)*100</f>
        <v>0.21</v>
      </c>
      <c r="D122" s="49">
        <f>VLOOKUP($A122,'Data shares'!$C:$FB,66)</f>
        <v>7751150</v>
      </c>
      <c r="E122" s="49">
        <f>VLOOKUP($A122,'Data shares'!$C:$FB,67)</f>
        <v>14207750</v>
      </c>
      <c r="F122" s="50">
        <f>VLOOKUP($A122,'Data shares'!$C:$FB,69)*100</f>
        <v>-45.440000000000005</v>
      </c>
      <c r="G122" s="49">
        <f>VLOOKUP($A122,'Data shares'!$C:$FB,42)</f>
        <v>1365950</v>
      </c>
      <c r="H122" s="49">
        <f>VLOOKUP($A122,'Data shares'!$C:$FB,43)</f>
        <v>2298825</v>
      </c>
      <c r="I122" s="50">
        <f>VLOOKUP($A122,'Data shares'!$C:$FB,45)*100</f>
        <v>-40.58</v>
      </c>
      <c r="J122" s="49">
        <f>VLOOKUP($A122,'Data shares'!$C:$FB,58)</f>
        <v>4512225</v>
      </c>
      <c r="K122" s="49">
        <f>VLOOKUP($A122,'Data shares'!$C:$FB,59)</f>
        <v>8902900</v>
      </c>
      <c r="L122" s="50">
        <f>VLOOKUP($A122,'Data shares'!$C:$FB,61)*100</f>
        <v>-49.32</v>
      </c>
      <c r="M122" s="49">
        <f>VLOOKUP($A122,'Data shares'!$C:$FB,62)</f>
        <v>1872975</v>
      </c>
      <c r="N122" s="49">
        <f>VLOOKUP($A122,'Data shares'!$C:$FB,63)</f>
        <v>3006025</v>
      </c>
      <c r="O122" s="140">
        <f>VLOOKUP($A122,'Data shares'!$C:$FB,65)*100</f>
        <v>-37.69</v>
      </c>
    </row>
    <row r="123" spans="1:15" x14ac:dyDescent="0.25">
      <c r="A123" s="101" t="str">
        <f>'Data Vlaue (Cr)'!C118</f>
        <v>LAURUSLABS</v>
      </c>
      <c r="B123" s="50">
        <f>VLOOKUP($A123,'Data shares'!$C:$FB,7)</f>
        <v>1135.75</v>
      </c>
      <c r="C123" s="50">
        <f>VLOOKUP($A123,'Data shares'!$C:$FB,10)*100</f>
        <v>0.66</v>
      </c>
      <c r="D123" s="49">
        <f>VLOOKUP($A123,'Data shares'!$C:$FB,66)</f>
        <v>12196650</v>
      </c>
      <c r="E123" s="49">
        <f>VLOOKUP($A123,'Data shares'!$C:$FB,67)</f>
        <v>10568050</v>
      </c>
      <c r="F123" s="50">
        <f>VLOOKUP($A123,'Data shares'!$C:$FB,69)*100</f>
        <v>15.409999999999998</v>
      </c>
      <c r="G123" s="49">
        <f>VLOOKUP($A123,'Data shares'!$C:$FB,42)</f>
        <v>2152200</v>
      </c>
      <c r="H123" s="49">
        <f>VLOOKUP($A123,'Data shares'!$C:$FB,43)</f>
        <v>2263550</v>
      </c>
      <c r="I123" s="50">
        <f>VLOOKUP($A123,'Data shares'!$C:$FB,45)*100</f>
        <v>-4.92</v>
      </c>
      <c r="J123" s="49">
        <f>VLOOKUP($A123,'Data shares'!$C:$FB,58)</f>
        <v>6471900</v>
      </c>
      <c r="K123" s="49">
        <f>VLOOKUP($A123,'Data shares'!$C:$FB,59)</f>
        <v>5219000</v>
      </c>
      <c r="L123" s="50">
        <f>VLOOKUP($A123,'Data shares'!$C:$FB,61)*100</f>
        <v>24.01</v>
      </c>
      <c r="M123" s="49">
        <f>VLOOKUP($A123,'Data shares'!$C:$FB,62)</f>
        <v>3572550</v>
      </c>
      <c r="N123" s="49">
        <f>VLOOKUP($A123,'Data shares'!$C:$FB,63)</f>
        <v>3085500</v>
      </c>
      <c r="O123" s="140">
        <f>VLOOKUP($A123,'Data shares'!$C:$FB,65)*100</f>
        <v>15.790000000000001</v>
      </c>
    </row>
    <row r="124" spans="1:15" x14ac:dyDescent="0.25">
      <c r="A124" s="101" t="str">
        <f>'Data Vlaue (Cr)'!C119</f>
        <v>LICHSGFIN</v>
      </c>
      <c r="B124" s="50">
        <f>VLOOKUP($A124,'Data shares'!$C:$FB,7)</f>
        <v>540</v>
      </c>
      <c r="C124" s="50">
        <f>VLOOKUP($A124,'Data shares'!$C:$FB,10)*100</f>
        <v>0.96</v>
      </c>
      <c r="D124" s="49">
        <f>VLOOKUP($A124,'Data shares'!$C:$FB,66)</f>
        <v>9559000</v>
      </c>
      <c r="E124" s="49">
        <f>VLOOKUP($A124,'Data shares'!$C:$FB,67)</f>
        <v>13073000</v>
      </c>
      <c r="F124" s="50">
        <f>VLOOKUP($A124,'Data shares'!$C:$FB,69)*100</f>
        <v>-26.88</v>
      </c>
      <c r="G124" s="49">
        <f>VLOOKUP($A124,'Data shares'!$C:$FB,42)</f>
        <v>2244000</v>
      </c>
      <c r="H124" s="49">
        <f>VLOOKUP($A124,'Data shares'!$C:$FB,43)</f>
        <v>2618000</v>
      </c>
      <c r="I124" s="50">
        <f>VLOOKUP($A124,'Data shares'!$C:$FB,45)*100</f>
        <v>-14.29</v>
      </c>
      <c r="J124" s="49">
        <f>VLOOKUP($A124,'Data shares'!$C:$FB,58)</f>
        <v>5478000</v>
      </c>
      <c r="K124" s="49">
        <f>VLOOKUP($A124,'Data shares'!$C:$FB,59)</f>
        <v>7706000</v>
      </c>
      <c r="L124" s="50">
        <f>VLOOKUP($A124,'Data shares'!$C:$FB,61)*100</f>
        <v>-28.910000000000004</v>
      </c>
      <c r="M124" s="49">
        <f>VLOOKUP($A124,'Data shares'!$C:$FB,62)</f>
        <v>1837000</v>
      </c>
      <c r="N124" s="49">
        <f>VLOOKUP($A124,'Data shares'!$C:$FB,63)</f>
        <v>2749000</v>
      </c>
      <c r="O124" s="140">
        <f>VLOOKUP($A124,'Data shares'!$C:$FB,65)*100</f>
        <v>-33.18</v>
      </c>
    </row>
    <row r="125" spans="1:15" x14ac:dyDescent="0.25">
      <c r="A125" s="101" t="str">
        <f>'Data Vlaue (Cr)'!C120</f>
        <v>LICI</v>
      </c>
      <c r="B125" s="50">
        <f>VLOOKUP($A125,'Data shares'!$C:$FB,7)</f>
        <v>842.2</v>
      </c>
      <c r="C125" s="50">
        <f>VLOOKUP($A125,'Data shares'!$C:$FB,10)*100</f>
        <v>6.9999999999999993E-2</v>
      </c>
      <c r="D125" s="49">
        <f>VLOOKUP($A125,'Data shares'!$C:$FB,66)</f>
        <v>9534000</v>
      </c>
      <c r="E125" s="49">
        <f>VLOOKUP($A125,'Data shares'!$C:$FB,67)</f>
        <v>12006400</v>
      </c>
      <c r="F125" s="50">
        <f>VLOOKUP($A125,'Data shares'!$C:$FB,69)*100</f>
        <v>-20.59</v>
      </c>
      <c r="G125" s="49">
        <f>VLOOKUP($A125,'Data shares'!$C:$FB,42)</f>
        <v>1960000</v>
      </c>
      <c r="H125" s="49">
        <f>VLOOKUP($A125,'Data shares'!$C:$FB,43)</f>
        <v>2426200</v>
      </c>
      <c r="I125" s="50">
        <f>VLOOKUP($A125,'Data shares'!$C:$FB,45)*100</f>
        <v>-19.220000000000002</v>
      </c>
      <c r="J125" s="49">
        <f>VLOOKUP($A125,'Data shares'!$C:$FB,58)</f>
        <v>5163900</v>
      </c>
      <c r="K125" s="49">
        <f>VLOOKUP($A125,'Data shares'!$C:$FB,59)</f>
        <v>7007000</v>
      </c>
      <c r="L125" s="50">
        <f>VLOOKUP($A125,'Data shares'!$C:$FB,61)*100</f>
        <v>-26.3</v>
      </c>
      <c r="M125" s="49">
        <f>VLOOKUP($A125,'Data shares'!$C:$FB,62)</f>
        <v>2410100</v>
      </c>
      <c r="N125" s="49">
        <f>VLOOKUP($A125,'Data shares'!$C:$FB,63)</f>
        <v>2573200</v>
      </c>
      <c r="O125" s="140">
        <f>VLOOKUP($A125,'Data shares'!$C:$FB,65)*100</f>
        <v>-6.34</v>
      </c>
    </row>
    <row r="126" spans="1:15" x14ac:dyDescent="0.25">
      <c r="A126" s="101" t="str">
        <f>'Data Vlaue (Cr)'!C121</f>
        <v>LODHA</v>
      </c>
      <c r="B126" s="50">
        <f>VLOOKUP($A126,'Data shares'!$C:$FB,7)</f>
        <v>872.55</v>
      </c>
      <c r="C126" s="50">
        <f>VLOOKUP($A126,'Data shares'!$C:$FB,10)*100</f>
        <v>-0.11</v>
      </c>
      <c r="D126" s="49">
        <f>VLOOKUP($A126,'Data shares'!$C:$FB,66)</f>
        <v>15045750</v>
      </c>
      <c r="E126" s="49">
        <f>VLOOKUP($A126,'Data shares'!$C:$FB,67)</f>
        <v>17616150</v>
      </c>
      <c r="F126" s="50">
        <f>VLOOKUP($A126,'Data shares'!$C:$FB,69)*100</f>
        <v>-14.59</v>
      </c>
      <c r="G126" s="49">
        <f>VLOOKUP($A126,'Data shares'!$C:$FB,42)</f>
        <v>3090150</v>
      </c>
      <c r="H126" s="49">
        <f>VLOOKUP($A126,'Data shares'!$C:$FB,43)</f>
        <v>5546250</v>
      </c>
      <c r="I126" s="50">
        <f>VLOOKUP($A126,'Data shares'!$C:$FB,45)*100</f>
        <v>-44.28</v>
      </c>
      <c r="J126" s="49">
        <f>VLOOKUP($A126,'Data shares'!$C:$FB,58)</f>
        <v>6562350</v>
      </c>
      <c r="K126" s="49">
        <f>VLOOKUP($A126,'Data shares'!$C:$FB,59)</f>
        <v>6767100</v>
      </c>
      <c r="L126" s="50">
        <f>VLOOKUP($A126,'Data shares'!$C:$FB,61)*100</f>
        <v>-3.0300000000000002</v>
      </c>
      <c r="M126" s="49">
        <f>VLOOKUP($A126,'Data shares'!$C:$FB,62)</f>
        <v>5393250</v>
      </c>
      <c r="N126" s="49">
        <f>VLOOKUP($A126,'Data shares'!$C:$FB,63)</f>
        <v>5302800</v>
      </c>
      <c r="O126" s="140">
        <f>VLOOKUP($A126,'Data shares'!$C:$FB,65)*100</f>
        <v>1.71</v>
      </c>
    </row>
    <row r="127" spans="1:15" x14ac:dyDescent="0.25">
      <c r="A127" s="101" t="str">
        <f>'Data Vlaue (Cr)'!C122</f>
        <v>LT</v>
      </c>
      <c r="B127" s="50">
        <f>VLOOKUP($A127,'Data shares'!$C:$FB,7)</f>
        <v>4096.1000000000004</v>
      </c>
      <c r="C127" s="50">
        <f>VLOOKUP($A127,'Data shares'!$C:$FB,10)*100</f>
        <v>-0.57999999999999996</v>
      </c>
      <c r="D127" s="49">
        <f>VLOOKUP($A127,'Data shares'!$C:$FB,66)</f>
        <v>13683950</v>
      </c>
      <c r="E127" s="49">
        <f>VLOOKUP($A127,'Data shares'!$C:$FB,67)</f>
        <v>20012650</v>
      </c>
      <c r="F127" s="50">
        <f>VLOOKUP($A127,'Data shares'!$C:$FB,69)*100</f>
        <v>-31.619999999999997</v>
      </c>
      <c r="G127" s="49">
        <f>VLOOKUP($A127,'Data shares'!$C:$FB,42)</f>
        <v>1954400</v>
      </c>
      <c r="H127" s="49">
        <f>VLOOKUP($A127,'Data shares'!$C:$FB,43)</f>
        <v>2822925</v>
      </c>
      <c r="I127" s="50">
        <f>VLOOKUP($A127,'Data shares'!$C:$FB,45)*100</f>
        <v>-30.769999999999996</v>
      </c>
      <c r="J127" s="49">
        <f>VLOOKUP($A127,'Data shares'!$C:$FB,58)</f>
        <v>6176625</v>
      </c>
      <c r="K127" s="49">
        <f>VLOOKUP($A127,'Data shares'!$C:$FB,59)</f>
        <v>10843525</v>
      </c>
      <c r="L127" s="50">
        <f>VLOOKUP($A127,'Data shares'!$C:$FB,61)*100</f>
        <v>-43.04</v>
      </c>
      <c r="M127" s="49">
        <f>VLOOKUP($A127,'Data shares'!$C:$FB,62)</f>
        <v>5552925</v>
      </c>
      <c r="N127" s="49">
        <f>VLOOKUP($A127,'Data shares'!$C:$FB,63)</f>
        <v>6346200</v>
      </c>
      <c r="O127" s="140">
        <f>VLOOKUP($A127,'Data shares'!$C:$FB,65)*100</f>
        <v>-12.5</v>
      </c>
    </row>
    <row r="128" spans="1:15" x14ac:dyDescent="0.25">
      <c r="A128" s="101" t="str">
        <f>'Data Vlaue (Cr)'!C123</f>
        <v>LTF</v>
      </c>
      <c r="B128" s="50">
        <f>VLOOKUP($A128,'Data shares'!$C:$FB,7)</f>
        <v>287.14</v>
      </c>
      <c r="C128" s="50">
        <f>VLOOKUP($A128,'Data shares'!$C:$FB,10)*100</f>
        <v>2.4</v>
      </c>
      <c r="D128" s="49">
        <f>VLOOKUP($A128,'Data shares'!$C:$FB,66)</f>
        <v>45123750</v>
      </c>
      <c r="E128" s="49">
        <f>VLOOKUP($A128,'Data shares'!$C:$FB,67)</f>
        <v>34175250</v>
      </c>
      <c r="F128" s="50">
        <f>VLOOKUP($A128,'Data shares'!$C:$FB,69)*100</f>
        <v>32.04</v>
      </c>
      <c r="G128" s="49">
        <f>VLOOKUP($A128,'Data shares'!$C:$FB,42)</f>
        <v>10811250</v>
      </c>
      <c r="H128" s="49">
        <f>VLOOKUP($A128,'Data shares'!$C:$FB,43)</f>
        <v>9276750</v>
      </c>
      <c r="I128" s="50">
        <f>VLOOKUP($A128,'Data shares'!$C:$FB,45)*100</f>
        <v>16.54</v>
      </c>
      <c r="J128" s="49">
        <f>VLOOKUP($A128,'Data shares'!$C:$FB,58)</f>
        <v>21343500</v>
      </c>
      <c r="K128" s="49">
        <f>VLOOKUP($A128,'Data shares'!$C:$FB,59)</f>
        <v>18526500</v>
      </c>
      <c r="L128" s="50">
        <f>VLOOKUP($A128,'Data shares'!$C:$FB,61)*100</f>
        <v>15.21</v>
      </c>
      <c r="M128" s="49">
        <f>VLOOKUP($A128,'Data shares'!$C:$FB,62)</f>
        <v>12969000</v>
      </c>
      <c r="N128" s="49">
        <f>VLOOKUP($A128,'Data shares'!$C:$FB,63)</f>
        <v>6372000</v>
      </c>
      <c r="O128" s="140">
        <f>VLOOKUP($A128,'Data shares'!$C:$FB,65)*100</f>
        <v>103.53000000000002</v>
      </c>
    </row>
    <row r="129" spans="1:15" x14ac:dyDescent="0.25">
      <c r="A129" s="101" t="str">
        <f>'Data Vlaue (Cr)'!C124</f>
        <v>LTM</v>
      </c>
      <c r="B129" s="50">
        <f>VLOOKUP($A129,'Data shares'!$C:$FB,7)</f>
        <v>4753.6000000000004</v>
      </c>
      <c r="C129" s="50">
        <f>VLOOKUP($A129,'Data shares'!$C:$FB,10)*100</f>
        <v>0.5</v>
      </c>
      <c r="D129" s="49">
        <f>VLOOKUP($A129,'Data shares'!$C:$FB,66)</f>
        <v>2693550</v>
      </c>
      <c r="E129" s="49">
        <f>VLOOKUP($A129,'Data shares'!$C:$FB,67)</f>
        <v>4492500</v>
      </c>
      <c r="F129" s="50">
        <f>VLOOKUP($A129,'Data shares'!$C:$FB,69)*100</f>
        <v>-40.04</v>
      </c>
      <c r="G129" s="49">
        <f>VLOOKUP($A129,'Data shares'!$C:$FB,42)</f>
        <v>621450</v>
      </c>
      <c r="H129" s="49">
        <f>VLOOKUP($A129,'Data shares'!$C:$FB,43)</f>
        <v>1105200</v>
      </c>
      <c r="I129" s="50">
        <f>VLOOKUP($A129,'Data shares'!$C:$FB,45)*100</f>
        <v>-43.769999999999996</v>
      </c>
      <c r="J129" s="49">
        <f>VLOOKUP($A129,'Data shares'!$C:$FB,58)</f>
        <v>1382400</v>
      </c>
      <c r="K129" s="49">
        <f>VLOOKUP($A129,'Data shares'!$C:$FB,59)</f>
        <v>2641500</v>
      </c>
      <c r="L129" s="50">
        <f>VLOOKUP($A129,'Data shares'!$C:$FB,61)*100</f>
        <v>-47.67</v>
      </c>
      <c r="M129" s="49">
        <f>VLOOKUP($A129,'Data shares'!$C:$FB,62)</f>
        <v>689700</v>
      </c>
      <c r="N129" s="49">
        <f>VLOOKUP($A129,'Data shares'!$C:$FB,63)</f>
        <v>745800</v>
      </c>
      <c r="O129" s="140">
        <f>VLOOKUP($A129,'Data shares'!$C:$FB,65)*100</f>
        <v>-7.5200000000000005</v>
      </c>
    </row>
    <row r="130" spans="1:15" x14ac:dyDescent="0.25">
      <c r="A130" s="101" t="str">
        <f>'Data Vlaue (Cr)'!C125</f>
        <v>LUPIN</v>
      </c>
      <c r="B130" s="50">
        <f>VLOOKUP($A130,'Data shares'!$C:$FB,7)</f>
        <v>2326.1</v>
      </c>
      <c r="C130" s="50">
        <f>VLOOKUP($A130,'Data shares'!$C:$FB,10)*100</f>
        <v>-0.04</v>
      </c>
      <c r="D130" s="49">
        <f>VLOOKUP($A130,'Data shares'!$C:$FB,66)</f>
        <v>6756650</v>
      </c>
      <c r="E130" s="49">
        <f>VLOOKUP($A130,'Data shares'!$C:$FB,67)</f>
        <v>6970850</v>
      </c>
      <c r="F130" s="50">
        <f>VLOOKUP($A130,'Data shares'!$C:$FB,69)*100</f>
        <v>-3.0700000000000003</v>
      </c>
      <c r="G130" s="49">
        <f>VLOOKUP($A130,'Data shares'!$C:$FB,42)</f>
        <v>1056125</v>
      </c>
      <c r="H130" s="49">
        <f>VLOOKUP($A130,'Data shares'!$C:$FB,43)</f>
        <v>1060800</v>
      </c>
      <c r="I130" s="50">
        <f>VLOOKUP($A130,'Data shares'!$C:$FB,45)*100</f>
        <v>-0.44</v>
      </c>
      <c r="J130" s="49">
        <f>VLOOKUP($A130,'Data shares'!$C:$FB,58)</f>
        <v>3867075</v>
      </c>
      <c r="K130" s="49">
        <f>VLOOKUP($A130,'Data shares'!$C:$FB,59)</f>
        <v>4059175</v>
      </c>
      <c r="L130" s="50">
        <f>VLOOKUP($A130,'Data shares'!$C:$FB,61)*100</f>
        <v>-4.7300000000000004</v>
      </c>
      <c r="M130" s="49">
        <f>VLOOKUP($A130,'Data shares'!$C:$FB,62)</f>
        <v>1833450</v>
      </c>
      <c r="N130" s="49">
        <f>VLOOKUP($A130,'Data shares'!$C:$FB,63)</f>
        <v>1850875</v>
      </c>
      <c r="O130" s="140">
        <f>VLOOKUP($A130,'Data shares'!$C:$FB,65)*100</f>
        <v>-0.94000000000000006</v>
      </c>
    </row>
    <row r="131" spans="1:15" x14ac:dyDescent="0.25">
      <c r="A131" s="101" t="str">
        <f>'Data Vlaue (Cr)'!C126</f>
        <v>M&amp;M</v>
      </c>
      <c r="B131" s="50">
        <f>VLOOKUP($A131,'Data shares'!$C:$FB,7)</f>
        <v>3200.2</v>
      </c>
      <c r="C131" s="50">
        <f>VLOOKUP($A131,'Data shares'!$C:$FB,10)*100</f>
        <v>-0.69</v>
      </c>
      <c r="D131" s="49">
        <f>VLOOKUP($A131,'Data shares'!$C:$FB,66)</f>
        <v>11856400</v>
      </c>
      <c r="E131" s="49">
        <f>VLOOKUP($A131,'Data shares'!$C:$FB,67)</f>
        <v>12157400</v>
      </c>
      <c r="F131" s="50">
        <f>VLOOKUP($A131,'Data shares'!$C:$FB,69)*100</f>
        <v>-2.48</v>
      </c>
      <c r="G131" s="49">
        <f>VLOOKUP($A131,'Data shares'!$C:$FB,42)</f>
        <v>2342200</v>
      </c>
      <c r="H131" s="49">
        <f>VLOOKUP($A131,'Data shares'!$C:$FB,43)</f>
        <v>3021200</v>
      </c>
      <c r="I131" s="50">
        <f>VLOOKUP($A131,'Data shares'!$C:$FB,45)*100</f>
        <v>-22.470000000000002</v>
      </c>
      <c r="J131" s="49">
        <f>VLOOKUP($A131,'Data shares'!$C:$FB,58)</f>
        <v>6127000</v>
      </c>
      <c r="K131" s="49">
        <f>VLOOKUP($A131,'Data shares'!$C:$FB,59)</f>
        <v>5707000</v>
      </c>
      <c r="L131" s="50">
        <f>VLOOKUP($A131,'Data shares'!$C:$FB,61)*100</f>
        <v>7.3599999999999994</v>
      </c>
      <c r="M131" s="49">
        <f>VLOOKUP($A131,'Data shares'!$C:$FB,62)</f>
        <v>3387200</v>
      </c>
      <c r="N131" s="49">
        <f>VLOOKUP($A131,'Data shares'!$C:$FB,63)</f>
        <v>3429200</v>
      </c>
      <c r="O131" s="140">
        <f>VLOOKUP($A131,'Data shares'!$C:$FB,65)*100</f>
        <v>-1.22</v>
      </c>
    </row>
    <row r="132" spans="1:15" x14ac:dyDescent="0.25">
      <c r="A132" s="101" t="str">
        <f>'Data Vlaue (Cr)'!C127</f>
        <v>MANAPPURAM</v>
      </c>
      <c r="B132" s="50">
        <f>VLOOKUP($A132,'Data shares'!$C:$FB,7)</f>
        <v>268.89999999999998</v>
      </c>
      <c r="C132" s="50">
        <f>VLOOKUP($A132,'Data shares'!$C:$FB,10)*100</f>
        <v>0.27999999999999997</v>
      </c>
      <c r="D132" s="49">
        <f>VLOOKUP($A132,'Data shares'!$C:$FB,66)</f>
        <v>27111000</v>
      </c>
      <c r="E132" s="49">
        <f>VLOOKUP($A132,'Data shares'!$C:$FB,67)</f>
        <v>23295000</v>
      </c>
      <c r="F132" s="50">
        <f>VLOOKUP($A132,'Data shares'!$C:$FB,69)*100</f>
        <v>16.38</v>
      </c>
      <c r="G132" s="49">
        <f>VLOOKUP($A132,'Data shares'!$C:$FB,42)</f>
        <v>5028000</v>
      </c>
      <c r="H132" s="49">
        <f>VLOOKUP($A132,'Data shares'!$C:$FB,43)</f>
        <v>5022000</v>
      </c>
      <c r="I132" s="50">
        <f>VLOOKUP($A132,'Data shares'!$C:$FB,45)*100</f>
        <v>0.12</v>
      </c>
      <c r="J132" s="49">
        <f>VLOOKUP($A132,'Data shares'!$C:$FB,58)</f>
        <v>13167000</v>
      </c>
      <c r="K132" s="49">
        <f>VLOOKUP($A132,'Data shares'!$C:$FB,59)</f>
        <v>11445000</v>
      </c>
      <c r="L132" s="50">
        <f>VLOOKUP($A132,'Data shares'!$C:$FB,61)*100</f>
        <v>15.049999999999999</v>
      </c>
      <c r="M132" s="49">
        <f>VLOOKUP($A132,'Data shares'!$C:$FB,62)</f>
        <v>8916000</v>
      </c>
      <c r="N132" s="49">
        <f>VLOOKUP($A132,'Data shares'!$C:$FB,63)</f>
        <v>6828000</v>
      </c>
      <c r="O132" s="140">
        <f>VLOOKUP($A132,'Data shares'!$C:$FB,65)*100</f>
        <v>30.580000000000002</v>
      </c>
    </row>
    <row r="133" spans="1:15" x14ac:dyDescent="0.25">
      <c r="A133" s="101" t="str">
        <f>'Data Vlaue (Cr)'!C128</f>
        <v>MANKIND</v>
      </c>
      <c r="B133" s="50">
        <f>VLOOKUP($A133,'Data shares'!$C:$FB,7)</f>
        <v>2125</v>
      </c>
      <c r="C133" s="50">
        <f>VLOOKUP($A133,'Data shares'!$C:$FB,10)*100</f>
        <v>0.98</v>
      </c>
      <c r="D133" s="49">
        <f>VLOOKUP($A133,'Data shares'!$C:$FB,66)</f>
        <v>1062000</v>
      </c>
      <c r="E133" s="49">
        <f>VLOOKUP($A133,'Data shares'!$C:$FB,67)</f>
        <v>1438875</v>
      </c>
      <c r="F133" s="50">
        <f>VLOOKUP($A133,'Data shares'!$C:$FB,69)*100</f>
        <v>-26.19</v>
      </c>
      <c r="G133" s="49">
        <f>VLOOKUP($A133,'Data shares'!$C:$FB,42)</f>
        <v>268875</v>
      </c>
      <c r="H133" s="49">
        <f>VLOOKUP($A133,'Data shares'!$C:$FB,43)</f>
        <v>490275</v>
      </c>
      <c r="I133" s="50">
        <f>VLOOKUP($A133,'Data shares'!$C:$FB,45)*100</f>
        <v>-45.16</v>
      </c>
      <c r="J133" s="49">
        <f>VLOOKUP($A133,'Data shares'!$C:$FB,58)</f>
        <v>688500</v>
      </c>
      <c r="K133" s="49">
        <f>VLOOKUP($A133,'Data shares'!$C:$FB,59)</f>
        <v>709425</v>
      </c>
      <c r="L133" s="50">
        <f>VLOOKUP($A133,'Data shares'!$C:$FB,61)*100</f>
        <v>-2.9499999999999997</v>
      </c>
      <c r="M133" s="49">
        <f>VLOOKUP($A133,'Data shares'!$C:$FB,62)</f>
        <v>104625</v>
      </c>
      <c r="N133" s="49">
        <f>VLOOKUP($A133,'Data shares'!$C:$FB,63)</f>
        <v>239175</v>
      </c>
      <c r="O133" s="140">
        <f>VLOOKUP($A133,'Data shares'!$C:$FB,65)*100</f>
        <v>-56.26</v>
      </c>
    </row>
    <row r="134" spans="1:15" x14ac:dyDescent="0.25">
      <c r="A134" s="101" t="str">
        <f>'Data Vlaue (Cr)'!C129</f>
        <v>MARICO</v>
      </c>
      <c r="B134" s="50">
        <f>VLOOKUP($A134,'Data shares'!$C:$FB,7)</f>
        <v>757.3</v>
      </c>
      <c r="C134" s="50">
        <f>VLOOKUP($A134,'Data shares'!$C:$FB,10)*100</f>
        <v>1.73</v>
      </c>
      <c r="D134" s="49">
        <f>VLOOKUP($A134,'Data shares'!$C:$FB,66)</f>
        <v>20836800</v>
      </c>
      <c r="E134" s="49">
        <f>VLOOKUP($A134,'Data shares'!$C:$FB,67)</f>
        <v>12370800</v>
      </c>
      <c r="F134" s="50">
        <f>VLOOKUP($A134,'Data shares'!$C:$FB,69)*100</f>
        <v>68.44</v>
      </c>
      <c r="G134" s="49">
        <f>VLOOKUP($A134,'Data shares'!$C:$FB,42)</f>
        <v>5263200</v>
      </c>
      <c r="H134" s="49">
        <f>VLOOKUP($A134,'Data shares'!$C:$FB,43)</f>
        <v>2166000</v>
      </c>
      <c r="I134" s="50">
        <f>VLOOKUP($A134,'Data shares'!$C:$FB,45)*100</f>
        <v>142.99</v>
      </c>
      <c r="J134" s="49">
        <f>VLOOKUP($A134,'Data shares'!$C:$FB,58)</f>
        <v>12246000</v>
      </c>
      <c r="K134" s="49">
        <f>VLOOKUP($A134,'Data shares'!$C:$FB,59)</f>
        <v>7040400</v>
      </c>
      <c r="L134" s="50">
        <f>VLOOKUP($A134,'Data shares'!$C:$FB,61)*100</f>
        <v>73.94</v>
      </c>
      <c r="M134" s="49">
        <f>VLOOKUP($A134,'Data shares'!$C:$FB,62)</f>
        <v>3327600</v>
      </c>
      <c r="N134" s="49">
        <f>VLOOKUP($A134,'Data shares'!$C:$FB,63)</f>
        <v>3164400</v>
      </c>
      <c r="O134" s="140">
        <f>VLOOKUP($A134,'Data shares'!$C:$FB,65)*100</f>
        <v>5.16</v>
      </c>
    </row>
    <row r="135" spans="1:15" x14ac:dyDescent="0.25">
      <c r="A135" s="101" t="str">
        <f>'Data Vlaue (Cr)'!C130</f>
        <v>MARUTI</v>
      </c>
      <c r="B135" s="50">
        <f>VLOOKUP($A135,'Data shares'!$C:$FB,7)</f>
        <v>13453</v>
      </c>
      <c r="C135" s="50">
        <f>VLOOKUP($A135,'Data shares'!$C:$FB,10)*100</f>
        <v>0.88</v>
      </c>
      <c r="D135" s="49">
        <f>VLOOKUP($A135,'Data shares'!$C:$FB,66)</f>
        <v>9439400</v>
      </c>
      <c r="E135" s="49">
        <f>VLOOKUP($A135,'Data shares'!$C:$FB,67)</f>
        <v>3545400</v>
      </c>
      <c r="F135" s="50">
        <f>VLOOKUP($A135,'Data shares'!$C:$FB,69)*100</f>
        <v>166.24</v>
      </c>
      <c r="G135" s="49">
        <f>VLOOKUP($A135,'Data shares'!$C:$FB,42)</f>
        <v>617050</v>
      </c>
      <c r="H135" s="49">
        <f>VLOOKUP($A135,'Data shares'!$C:$FB,43)</f>
        <v>484300</v>
      </c>
      <c r="I135" s="50">
        <f>VLOOKUP($A135,'Data shares'!$C:$FB,45)*100</f>
        <v>27.41</v>
      </c>
      <c r="J135" s="49">
        <f>VLOOKUP($A135,'Data shares'!$C:$FB,58)</f>
        <v>6229000</v>
      </c>
      <c r="K135" s="49">
        <f>VLOOKUP($A135,'Data shares'!$C:$FB,59)</f>
        <v>2084250</v>
      </c>
      <c r="L135" s="50">
        <f>VLOOKUP($A135,'Data shares'!$C:$FB,61)*100</f>
        <v>198.85999999999999</v>
      </c>
      <c r="M135" s="49">
        <f>VLOOKUP($A135,'Data shares'!$C:$FB,62)</f>
        <v>2593350</v>
      </c>
      <c r="N135" s="49">
        <f>VLOOKUP($A135,'Data shares'!$C:$FB,63)</f>
        <v>976850</v>
      </c>
      <c r="O135" s="140">
        <f>VLOOKUP($A135,'Data shares'!$C:$FB,65)*100</f>
        <v>165.48000000000002</v>
      </c>
    </row>
    <row r="136" spans="1:15" x14ac:dyDescent="0.25">
      <c r="A136" s="101" t="str">
        <f>'Data Vlaue (Cr)'!C131</f>
        <v>MAXHEALTH</v>
      </c>
      <c r="B136" s="50">
        <f>VLOOKUP($A136,'Data shares'!$C:$FB,7)</f>
        <v>1007.65</v>
      </c>
      <c r="C136" s="50">
        <f>VLOOKUP($A136,'Data shares'!$C:$FB,10)*100</f>
        <v>1.72</v>
      </c>
      <c r="D136" s="49">
        <f>VLOOKUP($A136,'Data shares'!$C:$FB,66)</f>
        <v>11106375</v>
      </c>
      <c r="E136" s="49">
        <f>VLOOKUP($A136,'Data shares'!$C:$FB,67)</f>
        <v>17094525</v>
      </c>
      <c r="F136" s="50">
        <f>VLOOKUP($A136,'Data shares'!$C:$FB,69)*100</f>
        <v>-35.03</v>
      </c>
      <c r="G136" s="49">
        <f>VLOOKUP($A136,'Data shares'!$C:$FB,42)</f>
        <v>1555575</v>
      </c>
      <c r="H136" s="49">
        <f>VLOOKUP($A136,'Data shares'!$C:$FB,43)</f>
        <v>3205125</v>
      </c>
      <c r="I136" s="50">
        <f>VLOOKUP($A136,'Data shares'!$C:$FB,45)*100</f>
        <v>-51.470000000000006</v>
      </c>
      <c r="J136" s="49">
        <f>VLOOKUP($A136,'Data shares'!$C:$FB,58)</f>
        <v>7097475</v>
      </c>
      <c r="K136" s="49">
        <f>VLOOKUP($A136,'Data shares'!$C:$FB,59)</f>
        <v>10020150</v>
      </c>
      <c r="L136" s="50">
        <f>VLOOKUP($A136,'Data shares'!$C:$FB,61)*100</f>
        <v>-29.17</v>
      </c>
      <c r="M136" s="49">
        <f>VLOOKUP($A136,'Data shares'!$C:$FB,62)</f>
        <v>2453325</v>
      </c>
      <c r="N136" s="49">
        <f>VLOOKUP($A136,'Data shares'!$C:$FB,63)</f>
        <v>3869250</v>
      </c>
      <c r="O136" s="140">
        <f>VLOOKUP($A136,'Data shares'!$C:$FB,65)*100</f>
        <v>-36.590000000000003</v>
      </c>
    </row>
    <row r="137" spans="1:15" x14ac:dyDescent="0.25">
      <c r="A137" s="101" t="str">
        <f>'Data Vlaue (Cr)'!C132</f>
        <v>MAZDOCK</v>
      </c>
      <c r="B137" s="50">
        <f>VLOOKUP($A137,'Data shares'!$C:$FB,7)</f>
        <v>2616.4</v>
      </c>
      <c r="C137" s="50">
        <f>VLOOKUP($A137,'Data shares'!$C:$FB,10)*100</f>
        <v>2.02</v>
      </c>
      <c r="D137" s="49">
        <f>VLOOKUP($A137,'Data shares'!$C:$FB,66)</f>
        <v>17867400</v>
      </c>
      <c r="E137" s="49">
        <f>VLOOKUP($A137,'Data shares'!$C:$FB,67)</f>
        <v>8985600</v>
      </c>
      <c r="F137" s="50">
        <f>VLOOKUP($A137,'Data shares'!$C:$FB,69)*100</f>
        <v>98.839999999999989</v>
      </c>
      <c r="G137" s="49">
        <f>VLOOKUP($A137,'Data shares'!$C:$FB,42)</f>
        <v>1792000</v>
      </c>
      <c r="H137" s="49">
        <f>VLOOKUP($A137,'Data shares'!$C:$FB,43)</f>
        <v>1287200</v>
      </c>
      <c r="I137" s="50">
        <f>VLOOKUP($A137,'Data shares'!$C:$FB,45)*100</f>
        <v>39.22</v>
      </c>
      <c r="J137" s="49">
        <f>VLOOKUP($A137,'Data shares'!$C:$FB,58)</f>
        <v>12222800</v>
      </c>
      <c r="K137" s="49">
        <f>VLOOKUP($A137,'Data shares'!$C:$FB,59)</f>
        <v>5221800</v>
      </c>
      <c r="L137" s="50">
        <f>VLOOKUP($A137,'Data shares'!$C:$FB,61)*100</f>
        <v>134.07</v>
      </c>
      <c r="M137" s="49">
        <f>VLOOKUP($A137,'Data shares'!$C:$FB,62)</f>
        <v>3852600</v>
      </c>
      <c r="N137" s="49">
        <f>VLOOKUP($A137,'Data shares'!$C:$FB,63)</f>
        <v>2476600</v>
      </c>
      <c r="O137" s="140">
        <f>VLOOKUP($A137,'Data shares'!$C:$FB,65)*100</f>
        <v>55.559999999999995</v>
      </c>
    </row>
    <row r="138" spans="1:15" x14ac:dyDescent="0.25">
      <c r="A138" s="101" t="str">
        <f>'Data Vlaue (Cr)'!C133</f>
        <v>MCX</v>
      </c>
      <c r="B138" s="50">
        <f>VLOOKUP($A138,'Data shares'!$C:$FB,7)</f>
        <v>2856.1</v>
      </c>
      <c r="C138" s="50">
        <f>VLOOKUP($A138,'Data shares'!$C:$FB,10)*100</f>
        <v>-0.21</v>
      </c>
      <c r="D138" s="49">
        <f>VLOOKUP($A138,'Data shares'!$C:$FB,66)</f>
        <v>43651875</v>
      </c>
      <c r="E138" s="49">
        <f>VLOOKUP($A138,'Data shares'!$C:$FB,67)</f>
        <v>26611875</v>
      </c>
      <c r="F138" s="50">
        <f>VLOOKUP($A138,'Data shares'!$C:$FB,69)*100</f>
        <v>64.03</v>
      </c>
      <c r="G138" s="49">
        <f>VLOOKUP($A138,'Data shares'!$C:$FB,42)</f>
        <v>4693125</v>
      </c>
      <c r="H138" s="49">
        <f>VLOOKUP($A138,'Data shares'!$C:$FB,43)</f>
        <v>3018125</v>
      </c>
      <c r="I138" s="50">
        <f>VLOOKUP($A138,'Data shares'!$C:$FB,45)*100</f>
        <v>55.500000000000007</v>
      </c>
      <c r="J138" s="49">
        <f>VLOOKUP($A138,'Data shares'!$C:$FB,58)</f>
        <v>22473125</v>
      </c>
      <c r="K138" s="49">
        <f>VLOOKUP($A138,'Data shares'!$C:$FB,59)</f>
        <v>15057500</v>
      </c>
      <c r="L138" s="50">
        <f>VLOOKUP($A138,'Data shares'!$C:$FB,61)*100</f>
        <v>49.25</v>
      </c>
      <c r="M138" s="49">
        <f>VLOOKUP($A138,'Data shares'!$C:$FB,62)</f>
        <v>16485625</v>
      </c>
      <c r="N138" s="49">
        <f>VLOOKUP($A138,'Data shares'!$C:$FB,63)</f>
        <v>8536250</v>
      </c>
      <c r="O138" s="140">
        <f>VLOOKUP($A138,'Data shares'!$C:$FB,65)*100</f>
        <v>93.12</v>
      </c>
    </row>
    <row r="139" spans="1:15" x14ac:dyDescent="0.25">
      <c r="A139" s="101" t="str">
        <f>'Data Vlaue (Cr)'!C134</f>
        <v>MFSL</v>
      </c>
      <c r="B139" s="50">
        <f>VLOOKUP($A139,'Data shares'!$C:$FB,7)</f>
        <v>1683.2</v>
      </c>
      <c r="C139" s="50">
        <f>VLOOKUP($A139,'Data shares'!$C:$FB,10)*100</f>
        <v>-0.71000000000000008</v>
      </c>
      <c r="D139" s="49">
        <f>VLOOKUP($A139,'Data shares'!$C:$FB,66)</f>
        <v>1715600</v>
      </c>
      <c r="E139" s="49">
        <f>VLOOKUP($A139,'Data shares'!$C:$FB,67)</f>
        <v>1561600</v>
      </c>
      <c r="F139" s="50">
        <f>VLOOKUP($A139,'Data shares'!$C:$FB,69)*100</f>
        <v>9.86</v>
      </c>
      <c r="G139" s="49">
        <f>VLOOKUP($A139,'Data shares'!$C:$FB,42)</f>
        <v>798800</v>
      </c>
      <c r="H139" s="49">
        <f>VLOOKUP($A139,'Data shares'!$C:$FB,43)</f>
        <v>748400</v>
      </c>
      <c r="I139" s="50">
        <f>VLOOKUP($A139,'Data shares'!$C:$FB,45)*100</f>
        <v>6.7299999999999995</v>
      </c>
      <c r="J139" s="49">
        <f>VLOOKUP($A139,'Data shares'!$C:$FB,58)</f>
        <v>505200</v>
      </c>
      <c r="K139" s="49">
        <f>VLOOKUP($A139,'Data shares'!$C:$FB,59)</f>
        <v>518400</v>
      </c>
      <c r="L139" s="50">
        <f>VLOOKUP($A139,'Data shares'!$C:$FB,61)*100</f>
        <v>-2.5499999999999998</v>
      </c>
      <c r="M139" s="49">
        <f>VLOOKUP($A139,'Data shares'!$C:$FB,62)</f>
        <v>411600</v>
      </c>
      <c r="N139" s="49">
        <f>VLOOKUP($A139,'Data shares'!$C:$FB,63)</f>
        <v>294800</v>
      </c>
      <c r="O139" s="140">
        <f>VLOOKUP($A139,'Data shares'!$C:$FB,65)*100</f>
        <v>39.619999999999997</v>
      </c>
    </row>
    <row r="140" spans="1:15" x14ac:dyDescent="0.25">
      <c r="A140" s="101" t="str">
        <f>'Data Vlaue (Cr)'!C135</f>
        <v>MIDCPNIFTY</v>
      </c>
      <c r="B140" s="50">
        <f>VLOOKUP($A140,'Data shares'!$C:$FB,7)</f>
        <v>13838.85</v>
      </c>
      <c r="C140" s="50">
        <f>VLOOKUP($A140,'Data shares'!$C:$FB,10)*100</f>
        <v>1.1299999999999999</v>
      </c>
      <c r="D140" s="49">
        <f>VLOOKUP($A140,'Data shares'!$C:$FB,66)</f>
        <v>33626640</v>
      </c>
      <c r="E140" s="49">
        <f>VLOOKUP($A140,'Data shares'!$C:$FB,67)</f>
        <v>23180280</v>
      </c>
      <c r="F140" s="50">
        <f>VLOOKUP($A140,'Data shares'!$C:$FB,69)*100</f>
        <v>45.07</v>
      </c>
      <c r="G140" s="49">
        <f>VLOOKUP($A140,'Data shares'!$C:$FB,42)</f>
        <v>551520</v>
      </c>
      <c r="H140" s="49">
        <f>VLOOKUP($A140,'Data shares'!$C:$FB,43)</f>
        <v>585120</v>
      </c>
      <c r="I140" s="50">
        <f>VLOOKUP($A140,'Data shares'!$C:$FB,45)*100</f>
        <v>-5.74</v>
      </c>
      <c r="J140" s="49">
        <f>VLOOKUP($A140,'Data shares'!$C:$FB,58)</f>
        <v>14278920</v>
      </c>
      <c r="K140" s="49">
        <f>VLOOKUP($A140,'Data shares'!$C:$FB,59)</f>
        <v>10998840</v>
      </c>
      <c r="L140" s="50">
        <f>VLOOKUP($A140,'Data shares'!$C:$FB,61)*100</f>
        <v>29.82</v>
      </c>
      <c r="M140" s="49">
        <f>VLOOKUP($A140,'Data shares'!$C:$FB,62)</f>
        <v>18796200</v>
      </c>
      <c r="N140" s="49">
        <f>VLOOKUP($A140,'Data shares'!$C:$FB,63)</f>
        <v>11596320</v>
      </c>
      <c r="O140" s="140">
        <f>VLOOKUP($A140,'Data shares'!$C:$FB,65)*100</f>
        <v>62.09</v>
      </c>
    </row>
    <row r="141" spans="1:15" x14ac:dyDescent="0.25">
      <c r="A141" s="101" t="str">
        <f>'Data Vlaue (Cr)'!C136</f>
        <v>MOTHERSON</v>
      </c>
      <c r="B141" s="50">
        <f>VLOOKUP($A141,'Data shares'!$C:$FB,7)</f>
        <v>125.03</v>
      </c>
      <c r="C141" s="50">
        <f>VLOOKUP($A141,'Data shares'!$C:$FB,10)*100</f>
        <v>1.7999999999999998</v>
      </c>
      <c r="D141" s="49">
        <f>VLOOKUP($A141,'Data shares'!$C:$FB,66)</f>
        <v>89642400</v>
      </c>
      <c r="E141" s="49">
        <f>VLOOKUP($A141,'Data shares'!$C:$FB,67)</f>
        <v>56247900</v>
      </c>
      <c r="F141" s="50">
        <f>VLOOKUP($A141,'Data shares'!$C:$FB,69)*100</f>
        <v>59.37</v>
      </c>
      <c r="G141" s="49">
        <f>VLOOKUP($A141,'Data shares'!$C:$FB,42)</f>
        <v>35251800</v>
      </c>
      <c r="H141" s="49">
        <f>VLOOKUP($A141,'Data shares'!$C:$FB,43)</f>
        <v>17035500</v>
      </c>
      <c r="I141" s="50">
        <f>VLOOKUP($A141,'Data shares'!$C:$FB,45)*100</f>
        <v>106.92999999999999</v>
      </c>
      <c r="J141" s="49">
        <f>VLOOKUP($A141,'Data shares'!$C:$FB,58)</f>
        <v>27084600</v>
      </c>
      <c r="K141" s="49">
        <f>VLOOKUP($A141,'Data shares'!$C:$FB,59)</f>
        <v>21814050</v>
      </c>
      <c r="L141" s="50">
        <f>VLOOKUP($A141,'Data shares'!$C:$FB,61)*100</f>
        <v>24.16</v>
      </c>
      <c r="M141" s="49">
        <f>VLOOKUP($A141,'Data shares'!$C:$FB,62)</f>
        <v>27306000</v>
      </c>
      <c r="N141" s="49">
        <f>VLOOKUP($A141,'Data shares'!$C:$FB,63)</f>
        <v>17398350</v>
      </c>
      <c r="O141" s="140">
        <f>VLOOKUP($A141,'Data shares'!$C:$FB,65)*100</f>
        <v>56.95</v>
      </c>
    </row>
    <row r="142" spans="1:15" x14ac:dyDescent="0.25">
      <c r="A142" s="101" t="str">
        <f>'Data Vlaue (Cr)'!C137</f>
        <v>MOTILALOFS</v>
      </c>
      <c r="B142" s="50">
        <f>VLOOKUP($A142,'Data shares'!$C:$FB,7)</f>
        <v>815.45</v>
      </c>
      <c r="C142" s="50">
        <f>VLOOKUP($A142,'Data shares'!$C:$FB,10)*100</f>
        <v>4.17</v>
      </c>
      <c r="D142" s="49">
        <f>VLOOKUP($A142,'Data shares'!$C:$FB,66)</f>
        <v>11142175</v>
      </c>
      <c r="E142" s="49">
        <f>VLOOKUP($A142,'Data shares'!$C:$FB,67)</f>
        <v>4477175</v>
      </c>
      <c r="F142" s="50">
        <f>VLOOKUP($A142,'Data shares'!$C:$FB,69)*100</f>
        <v>148.87</v>
      </c>
      <c r="G142" s="49">
        <f>VLOOKUP($A142,'Data shares'!$C:$FB,42)</f>
        <v>2463725</v>
      </c>
      <c r="H142" s="49">
        <f>VLOOKUP($A142,'Data shares'!$C:$FB,43)</f>
        <v>706025</v>
      </c>
      <c r="I142" s="50">
        <f>VLOOKUP($A142,'Data shares'!$C:$FB,45)*100</f>
        <v>248.95999999999998</v>
      </c>
      <c r="J142" s="49">
        <f>VLOOKUP($A142,'Data shares'!$C:$FB,58)</f>
        <v>7069550</v>
      </c>
      <c r="K142" s="49">
        <f>VLOOKUP($A142,'Data shares'!$C:$FB,59)</f>
        <v>1294250</v>
      </c>
      <c r="L142" s="50">
        <f>VLOOKUP($A142,'Data shares'!$C:$FB,61)*100</f>
        <v>446.23</v>
      </c>
      <c r="M142" s="49">
        <f>VLOOKUP($A142,'Data shares'!$C:$FB,62)</f>
        <v>1608900</v>
      </c>
      <c r="N142" s="49">
        <f>VLOOKUP($A142,'Data shares'!$C:$FB,63)</f>
        <v>2476900</v>
      </c>
      <c r="O142" s="140">
        <f>VLOOKUP($A142,'Data shares'!$C:$FB,65)*100</f>
        <v>-35.04</v>
      </c>
    </row>
    <row r="143" spans="1:15" x14ac:dyDescent="0.25">
      <c r="A143" s="101" t="str">
        <f>'Data Vlaue (Cr)'!C138</f>
        <v>MPHASIS</v>
      </c>
      <c r="B143" s="50">
        <f>VLOOKUP($A143,'Data shares'!$C:$FB,7)</f>
        <v>2462.1999999999998</v>
      </c>
      <c r="C143" s="50">
        <f>VLOOKUP($A143,'Data shares'!$C:$FB,10)*100</f>
        <v>0.84</v>
      </c>
      <c r="D143" s="49">
        <f>VLOOKUP($A143,'Data shares'!$C:$FB,66)</f>
        <v>2353175</v>
      </c>
      <c r="E143" s="49">
        <f>VLOOKUP($A143,'Data shares'!$C:$FB,67)</f>
        <v>3857150</v>
      </c>
      <c r="F143" s="50">
        <f>VLOOKUP($A143,'Data shares'!$C:$FB,69)*100</f>
        <v>-38.99</v>
      </c>
      <c r="G143" s="49">
        <f>VLOOKUP($A143,'Data shares'!$C:$FB,42)</f>
        <v>614350</v>
      </c>
      <c r="H143" s="49">
        <f>VLOOKUP($A143,'Data shares'!$C:$FB,43)</f>
        <v>759000</v>
      </c>
      <c r="I143" s="50">
        <f>VLOOKUP($A143,'Data shares'!$C:$FB,45)*100</f>
        <v>-19.059999999999999</v>
      </c>
      <c r="J143" s="49">
        <f>VLOOKUP($A143,'Data shares'!$C:$FB,58)</f>
        <v>987525</v>
      </c>
      <c r="K143" s="49">
        <f>VLOOKUP($A143,'Data shares'!$C:$FB,59)</f>
        <v>2338050</v>
      </c>
      <c r="L143" s="50">
        <f>VLOOKUP($A143,'Data shares'!$C:$FB,61)*100</f>
        <v>-57.76</v>
      </c>
      <c r="M143" s="49">
        <f>VLOOKUP($A143,'Data shares'!$C:$FB,62)</f>
        <v>751300</v>
      </c>
      <c r="N143" s="49">
        <f>VLOOKUP($A143,'Data shares'!$C:$FB,63)</f>
        <v>760100</v>
      </c>
      <c r="O143" s="140">
        <f>VLOOKUP($A143,'Data shares'!$C:$FB,65)*100</f>
        <v>-1.1599999999999999</v>
      </c>
    </row>
    <row r="144" spans="1:15" x14ac:dyDescent="0.25">
      <c r="A144" s="101" t="str">
        <f>'Data Vlaue (Cr)'!C139</f>
        <v>MUTHOOTFIN</v>
      </c>
      <c r="B144" s="50">
        <f>VLOOKUP($A144,'Data shares'!$C:$FB,7)</f>
        <v>3571.3</v>
      </c>
      <c r="C144" s="50">
        <f>VLOOKUP($A144,'Data shares'!$C:$FB,10)*100</f>
        <v>-0.19</v>
      </c>
      <c r="D144" s="49">
        <f>VLOOKUP($A144,'Data shares'!$C:$FB,66)</f>
        <v>8393275</v>
      </c>
      <c r="E144" s="49">
        <f>VLOOKUP($A144,'Data shares'!$C:$FB,67)</f>
        <v>4658225</v>
      </c>
      <c r="F144" s="50">
        <f>VLOOKUP($A144,'Data shares'!$C:$FB,69)*100</f>
        <v>80.179999999999993</v>
      </c>
      <c r="G144" s="49">
        <f>VLOOKUP($A144,'Data shares'!$C:$FB,42)</f>
        <v>1009250</v>
      </c>
      <c r="H144" s="49">
        <f>VLOOKUP($A144,'Data shares'!$C:$FB,43)</f>
        <v>781275</v>
      </c>
      <c r="I144" s="50">
        <f>VLOOKUP($A144,'Data shares'!$C:$FB,45)*100</f>
        <v>29.18</v>
      </c>
      <c r="J144" s="49">
        <f>VLOOKUP($A144,'Data shares'!$C:$FB,58)</f>
        <v>4881800</v>
      </c>
      <c r="K144" s="49">
        <f>VLOOKUP($A144,'Data shares'!$C:$FB,59)</f>
        <v>2601225</v>
      </c>
      <c r="L144" s="50">
        <f>VLOOKUP($A144,'Data shares'!$C:$FB,61)*100</f>
        <v>87.67</v>
      </c>
      <c r="M144" s="49">
        <f>VLOOKUP($A144,'Data shares'!$C:$FB,62)</f>
        <v>2502225</v>
      </c>
      <c r="N144" s="49">
        <f>VLOOKUP($A144,'Data shares'!$C:$FB,63)</f>
        <v>1275725</v>
      </c>
      <c r="O144" s="140">
        <f>VLOOKUP($A144,'Data shares'!$C:$FB,65)*100</f>
        <v>96.14</v>
      </c>
    </row>
    <row r="145" spans="1:15" x14ac:dyDescent="0.25">
      <c r="A145" s="101" t="str">
        <f>'Data Vlaue (Cr)'!C140</f>
        <v>NAM-INDIA</v>
      </c>
      <c r="B145" s="50">
        <f>VLOOKUP($A145,'Data shares'!$C:$FB,7)</f>
        <v>1015.05</v>
      </c>
      <c r="C145" s="50">
        <f>VLOOKUP($A145,'Data shares'!$C:$FB,10)*100</f>
        <v>5.2</v>
      </c>
      <c r="D145" s="49">
        <f>VLOOKUP($A145,'Data shares'!$C:$FB,66)</f>
        <v>4853750</v>
      </c>
      <c r="E145" s="49">
        <f>VLOOKUP($A145,'Data shares'!$C:$FB,67)</f>
        <v>4896250</v>
      </c>
      <c r="F145" s="50">
        <f>VLOOKUP($A145,'Data shares'!$C:$FB,69)*100</f>
        <v>-0.86999999999999988</v>
      </c>
      <c r="G145" s="49">
        <f>VLOOKUP($A145,'Data shares'!$C:$FB,42)</f>
        <v>1536875</v>
      </c>
      <c r="H145" s="49">
        <f>VLOOKUP($A145,'Data shares'!$C:$FB,43)</f>
        <v>889375</v>
      </c>
      <c r="I145" s="50">
        <f>VLOOKUP($A145,'Data shares'!$C:$FB,45)*100</f>
        <v>72.8</v>
      </c>
      <c r="J145" s="49">
        <f>VLOOKUP($A145,'Data shares'!$C:$FB,58)</f>
        <v>2637500</v>
      </c>
      <c r="K145" s="49">
        <f>VLOOKUP($A145,'Data shares'!$C:$FB,59)</f>
        <v>1771875</v>
      </c>
      <c r="L145" s="50">
        <f>VLOOKUP($A145,'Data shares'!$C:$FB,61)*100</f>
        <v>48.85</v>
      </c>
      <c r="M145" s="49">
        <f>VLOOKUP($A145,'Data shares'!$C:$FB,62)</f>
        <v>679375</v>
      </c>
      <c r="N145" s="49">
        <f>VLOOKUP($A145,'Data shares'!$C:$FB,63)</f>
        <v>2235000</v>
      </c>
      <c r="O145" s="140">
        <f>VLOOKUP($A145,'Data shares'!$C:$FB,65)*100</f>
        <v>-69.599999999999994</v>
      </c>
    </row>
    <row r="146" spans="1:15" x14ac:dyDescent="0.25">
      <c r="A146" s="101" t="str">
        <f>'Data Vlaue (Cr)'!C141</f>
        <v>NATIONALUM</v>
      </c>
      <c r="B146" s="50">
        <f>VLOOKUP($A146,'Data shares'!$C:$FB,7)</f>
        <v>438.75</v>
      </c>
      <c r="C146" s="50">
        <f>VLOOKUP($A146,'Data shares'!$C:$FB,10)*100</f>
        <v>1.4000000000000001</v>
      </c>
      <c r="D146" s="49">
        <f>VLOOKUP($A146,'Data shares'!$C:$FB,66)</f>
        <v>111757500</v>
      </c>
      <c r="E146" s="49">
        <f>VLOOKUP($A146,'Data shares'!$C:$FB,67)</f>
        <v>150393750</v>
      </c>
      <c r="F146" s="50">
        <f>VLOOKUP($A146,'Data shares'!$C:$FB,69)*100</f>
        <v>-25.69</v>
      </c>
      <c r="G146" s="49">
        <f>VLOOKUP($A146,'Data shares'!$C:$FB,42)</f>
        <v>17906250</v>
      </c>
      <c r="H146" s="49">
        <f>VLOOKUP($A146,'Data shares'!$C:$FB,43)</f>
        <v>22927500</v>
      </c>
      <c r="I146" s="50">
        <f>VLOOKUP($A146,'Data shares'!$C:$FB,45)*100</f>
        <v>-21.9</v>
      </c>
      <c r="J146" s="49">
        <f>VLOOKUP($A146,'Data shares'!$C:$FB,58)</f>
        <v>60705000</v>
      </c>
      <c r="K146" s="49">
        <f>VLOOKUP($A146,'Data shares'!$C:$FB,59)</f>
        <v>91001250</v>
      </c>
      <c r="L146" s="50">
        <f>VLOOKUP($A146,'Data shares'!$C:$FB,61)*100</f>
        <v>-33.29</v>
      </c>
      <c r="M146" s="49">
        <f>VLOOKUP($A146,'Data shares'!$C:$FB,62)</f>
        <v>33146250</v>
      </c>
      <c r="N146" s="49">
        <f>VLOOKUP($A146,'Data shares'!$C:$FB,63)</f>
        <v>36465000</v>
      </c>
      <c r="O146" s="140">
        <f>VLOOKUP($A146,'Data shares'!$C:$FB,65)*100</f>
        <v>-9.1</v>
      </c>
    </row>
    <row r="147" spans="1:15" x14ac:dyDescent="0.25">
      <c r="A147" s="101" t="str">
        <f>'Data Vlaue (Cr)'!C142</f>
        <v>NAUKRI</v>
      </c>
      <c r="B147" s="50">
        <f>VLOOKUP($A147,'Data shares'!$C:$FB,7)</f>
        <v>1054.55</v>
      </c>
      <c r="C147" s="50">
        <f>VLOOKUP($A147,'Data shares'!$C:$FB,10)*100</f>
        <v>0.65</v>
      </c>
      <c r="D147" s="49">
        <f>VLOOKUP($A147,'Data shares'!$C:$FB,66)</f>
        <v>4581750</v>
      </c>
      <c r="E147" s="49">
        <f>VLOOKUP($A147,'Data shares'!$C:$FB,67)</f>
        <v>6485250</v>
      </c>
      <c r="F147" s="50">
        <f>VLOOKUP($A147,'Data shares'!$C:$FB,69)*100</f>
        <v>-29.349999999999998</v>
      </c>
      <c r="G147" s="49">
        <f>VLOOKUP($A147,'Data shares'!$C:$FB,42)</f>
        <v>1220250</v>
      </c>
      <c r="H147" s="49">
        <f>VLOOKUP($A147,'Data shares'!$C:$FB,43)</f>
        <v>1863750</v>
      </c>
      <c r="I147" s="50">
        <f>VLOOKUP($A147,'Data shares'!$C:$FB,45)*100</f>
        <v>-34.53</v>
      </c>
      <c r="J147" s="49">
        <f>VLOOKUP($A147,'Data shares'!$C:$FB,58)</f>
        <v>2352000</v>
      </c>
      <c r="K147" s="49">
        <f>VLOOKUP($A147,'Data shares'!$C:$FB,59)</f>
        <v>3505125</v>
      </c>
      <c r="L147" s="50">
        <f>VLOOKUP($A147,'Data shares'!$C:$FB,61)*100</f>
        <v>-32.9</v>
      </c>
      <c r="M147" s="49">
        <f>VLOOKUP($A147,'Data shares'!$C:$FB,62)</f>
        <v>1009500</v>
      </c>
      <c r="N147" s="49">
        <f>VLOOKUP($A147,'Data shares'!$C:$FB,63)</f>
        <v>1116375</v>
      </c>
      <c r="O147" s="140">
        <f>VLOOKUP($A147,'Data shares'!$C:$FB,65)*100</f>
        <v>-9.5699999999999985</v>
      </c>
    </row>
    <row r="148" spans="1:15" x14ac:dyDescent="0.25">
      <c r="A148" s="101" t="str">
        <f>'Data Vlaue (Cr)'!C143</f>
        <v>NBCC</v>
      </c>
      <c r="B148" s="50">
        <f>VLOOKUP($A148,'Data shares'!$C:$FB,7)</f>
        <v>94.32</v>
      </c>
      <c r="C148" s="50">
        <f>VLOOKUP($A148,'Data shares'!$C:$FB,10)*100</f>
        <v>1.3599999999999999</v>
      </c>
      <c r="D148" s="49">
        <f>VLOOKUP($A148,'Data shares'!$C:$FB,66)</f>
        <v>47320000</v>
      </c>
      <c r="E148" s="49">
        <f>VLOOKUP($A148,'Data shares'!$C:$FB,67)</f>
        <v>33624500</v>
      </c>
      <c r="F148" s="50">
        <f>VLOOKUP($A148,'Data shares'!$C:$FB,69)*100</f>
        <v>40.729999999999997</v>
      </c>
      <c r="G148" s="49">
        <f>VLOOKUP($A148,'Data shares'!$C:$FB,42)</f>
        <v>14410500</v>
      </c>
      <c r="H148" s="49">
        <f>VLOOKUP($A148,'Data shares'!$C:$FB,43)</f>
        <v>10335000</v>
      </c>
      <c r="I148" s="50">
        <f>VLOOKUP($A148,'Data shares'!$C:$FB,45)*100</f>
        <v>39.43</v>
      </c>
      <c r="J148" s="49">
        <f>VLOOKUP($A148,'Data shares'!$C:$FB,58)</f>
        <v>23172500</v>
      </c>
      <c r="K148" s="49">
        <f>VLOOKUP($A148,'Data shares'!$C:$FB,59)</f>
        <v>15905500</v>
      </c>
      <c r="L148" s="50">
        <f>VLOOKUP($A148,'Data shares'!$C:$FB,61)*100</f>
        <v>45.69</v>
      </c>
      <c r="M148" s="49">
        <f>VLOOKUP($A148,'Data shares'!$C:$FB,62)</f>
        <v>9737000</v>
      </c>
      <c r="N148" s="49">
        <f>VLOOKUP($A148,'Data shares'!$C:$FB,63)</f>
        <v>7384000</v>
      </c>
      <c r="O148" s="140">
        <f>VLOOKUP($A148,'Data shares'!$C:$FB,65)*100</f>
        <v>31.869999999999997</v>
      </c>
    </row>
    <row r="149" spans="1:15" x14ac:dyDescent="0.25">
      <c r="A149" s="101" t="str">
        <f>'Data Vlaue (Cr)'!C144</f>
        <v>NESTLEIND</v>
      </c>
      <c r="B149" s="50">
        <f>VLOOKUP($A149,'Data shares'!$C:$FB,7)</f>
        <v>1285.5999999999999</v>
      </c>
      <c r="C149" s="50">
        <f>VLOOKUP($A149,'Data shares'!$C:$FB,10)*100</f>
        <v>2.2399999999999998</v>
      </c>
      <c r="D149" s="49">
        <f>VLOOKUP($A149,'Data shares'!$C:$FB,66)</f>
        <v>14579000</v>
      </c>
      <c r="E149" s="49">
        <f>VLOOKUP($A149,'Data shares'!$C:$FB,67)</f>
        <v>9841000</v>
      </c>
      <c r="F149" s="50">
        <f>VLOOKUP($A149,'Data shares'!$C:$FB,69)*100</f>
        <v>48.15</v>
      </c>
      <c r="G149" s="49">
        <f>VLOOKUP($A149,'Data shares'!$C:$FB,42)</f>
        <v>2015500</v>
      </c>
      <c r="H149" s="49">
        <f>VLOOKUP($A149,'Data shares'!$C:$FB,43)</f>
        <v>3251000</v>
      </c>
      <c r="I149" s="50">
        <f>VLOOKUP($A149,'Data shares'!$C:$FB,45)*100</f>
        <v>-38</v>
      </c>
      <c r="J149" s="49">
        <f>VLOOKUP($A149,'Data shares'!$C:$FB,58)</f>
        <v>9964500</v>
      </c>
      <c r="K149" s="49">
        <f>VLOOKUP($A149,'Data shares'!$C:$FB,59)</f>
        <v>4699000</v>
      </c>
      <c r="L149" s="50">
        <f>VLOOKUP($A149,'Data shares'!$C:$FB,61)*100</f>
        <v>112.06</v>
      </c>
      <c r="M149" s="49">
        <f>VLOOKUP($A149,'Data shares'!$C:$FB,62)</f>
        <v>2599000</v>
      </c>
      <c r="N149" s="49">
        <f>VLOOKUP($A149,'Data shares'!$C:$FB,63)</f>
        <v>1891000</v>
      </c>
      <c r="O149" s="140">
        <f>VLOOKUP($A149,'Data shares'!$C:$FB,65)*100</f>
        <v>37.44</v>
      </c>
    </row>
    <row r="150" spans="1:15" x14ac:dyDescent="0.25">
      <c r="A150" s="101" t="str">
        <f>'Data Vlaue (Cr)'!C145</f>
        <v>NHPC</v>
      </c>
      <c r="B150" s="50">
        <f>VLOOKUP($A150,'Data shares'!$C:$FB,7)</f>
        <v>83.56</v>
      </c>
      <c r="C150" s="50">
        <f>VLOOKUP($A150,'Data shares'!$C:$FB,10)*100</f>
        <v>2.68</v>
      </c>
      <c r="D150" s="49">
        <f>VLOOKUP($A150,'Data shares'!$C:$FB,66)</f>
        <v>129811200</v>
      </c>
      <c r="E150" s="49">
        <f>VLOOKUP($A150,'Data shares'!$C:$FB,67)</f>
        <v>101875200</v>
      </c>
      <c r="F150" s="50">
        <f>VLOOKUP($A150,'Data shares'!$C:$FB,69)*100</f>
        <v>27.42</v>
      </c>
      <c r="G150" s="49">
        <f>VLOOKUP($A150,'Data shares'!$C:$FB,42)</f>
        <v>43148800</v>
      </c>
      <c r="H150" s="49">
        <f>VLOOKUP($A150,'Data shares'!$C:$FB,43)</f>
        <v>21344000</v>
      </c>
      <c r="I150" s="50">
        <f>VLOOKUP($A150,'Data shares'!$C:$FB,45)*100</f>
        <v>102.16000000000001</v>
      </c>
      <c r="J150" s="49">
        <f>VLOOKUP($A150,'Data shares'!$C:$FB,58)</f>
        <v>60691200</v>
      </c>
      <c r="K150" s="49">
        <f>VLOOKUP($A150,'Data shares'!$C:$FB,59)</f>
        <v>55014400</v>
      </c>
      <c r="L150" s="50">
        <f>VLOOKUP($A150,'Data shares'!$C:$FB,61)*100</f>
        <v>10.32</v>
      </c>
      <c r="M150" s="49">
        <f>VLOOKUP($A150,'Data shares'!$C:$FB,62)</f>
        <v>25971200</v>
      </c>
      <c r="N150" s="49">
        <f>VLOOKUP($A150,'Data shares'!$C:$FB,63)</f>
        <v>25516800</v>
      </c>
      <c r="O150" s="140">
        <f>VLOOKUP($A150,'Data shares'!$C:$FB,65)*100</f>
        <v>1.78</v>
      </c>
    </row>
    <row r="151" spans="1:15" x14ac:dyDescent="0.25">
      <c r="A151" s="101" t="str">
        <f>'Data Vlaue (Cr)'!C146</f>
        <v>NIFTY</v>
      </c>
      <c r="B151" s="50">
        <f>VLOOKUP($A151,'Data shares'!$C:$FB,7)</f>
        <v>24353.55</v>
      </c>
      <c r="C151" s="50">
        <f>VLOOKUP($A151,'Data shares'!$C:$FB,10)*100</f>
        <v>0.65</v>
      </c>
      <c r="D151" s="49">
        <f>VLOOKUP($A151,'Data shares'!$C:$FB,66)</f>
        <v>4531114770</v>
      </c>
      <c r="E151" s="49">
        <f>VLOOKUP($A151,'Data shares'!$C:$FB,67)</f>
        <v>2906151625</v>
      </c>
      <c r="F151" s="50">
        <f>VLOOKUP($A151,'Data shares'!$C:$FB,69)*100</f>
        <v>55.910000000000004</v>
      </c>
      <c r="G151" s="49">
        <f>VLOOKUP($A151,'Data shares'!$C:$FB,42)</f>
        <v>4074395</v>
      </c>
      <c r="H151" s="49">
        <f>VLOOKUP($A151,'Data shares'!$C:$FB,43)</f>
        <v>5315635</v>
      </c>
      <c r="I151" s="50">
        <f>VLOOKUP($A151,'Data shares'!$C:$FB,45)*100</f>
        <v>-23.35</v>
      </c>
      <c r="J151" s="49">
        <f>VLOOKUP($A151,'Data shares'!$C:$FB,58)</f>
        <v>2459491775</v>
      </c>
      <c r="K151" s="49">
        <f>VLOOKUP($A151,'Data shares'!$C:$FB,59)</f>
        <v>1456665730</v>
      </c>
      <c r="L151" s="50">
        <f>VLOOKUP($A151,'Data shares'!$C:$FB,61)*100</f>
        <v>68.84</v>
      </c>
      <c r="M151" s="49">
        <f>VLOOKUP($A151,'Data shares'!$C:$FB,62)</f>
        <v>2067548600</v>
      </c>
      <c r="N151" s="49">
        <f>VLOOKUP($A151,'Data shares'!$C:$FB,63)</f>
        <v>1444170260</v>
      </c>
      <c r="O151" s="140">
        <f>VLOOKUP($A151,'Data shares'!$C:$FB,65)*100</f>
        <v>43.169999999999995</v>
      </c>
    </row>
    <row r="152" spans="1:15" x14ac:dyDescent="0.25">
      <c r="A152" s="101" t="str">
        <f>'Data Vlaue (Cr)'!C147</f>
        <v>NIFTYNXT50</v>
      </c>
      <c r="B152" s="50">
        <f>VLOOKUP($A152,'Data shares'!$C:$FB,7)</f>
        <v>70273.8</v>
      </c>
      <c r="C152" s="50">
        <f>VLOOKUP($A152,'Data shares'!$C:$FB,10)*100</f>
        <v>1.4000000000000001</v>
      </c>
      <c r="D152" s="49">
        <f>VLOOKUP($A152,'Data shares'!$C:$FB,66)</f>
        <v>32125</v>
      </c>
      <c r="E152" s="49">
        <f>VLOOKUP($A152,'Data shares'!$C:$FB,67)</f>
        <v>14450</v>
      </c>
      <c r="F152" s="50">
        <f>VLOOKUP($A152,'Data shares'!$C:$FB,69)*100</f>
        <v>122.32000000000001</v>
      </c>
      <c r="G152" s="49">
        <f>VLOOKUP($A152,'Data shares'!$C:$FB,42)</f>
        <v>7700</v>
      </c>
      <c r="H152" s="49">
        <f>VLOOKUP($A152,'Data shares'!$C:$FB,43)</f>
        <v>6850</v>
      </c>
      <c r="I152" s="50">
        <f>VLOOKUP($A152,'Data shares'!$C:$FB,45)*100</f>
        <v>12.41</v>
      </c>
      <c r="J152" s="49">
        <f>VLOOKUP($A152,'Data shares'!$C:$FB,58)</f>
        <v>20125</v>
      </c>
      <c r="K152" s="49">
        <f>VLOOKUP($A152,'Data shares'!$C:$FB,59)</f>
        <v>3650</v>
      </c>
      <c r="L152" s="50">
        <f>VLOOKUP($A152,'Data shares'!$C:$FB,61)*100</f>
        <v>451.37</v>
      </c>
      <c r="M152" s="49">
        <f>VLOOKUP($A152,'Data shares'!$C:$FB,62)</f>
        <v>4300</v>
      </c>
      <c r="N152" s="49">
        <f>VLOOKUP($A152,'Data shares'!$C:$FB,63)</f>
        <v>3950</v>
      </c>
      <c r="O152" s="140">
        <f>VLOOKUP($A152,'Data shares'!$C:$FB,65)*100</f>
        <v>8.86</v>
      </c>
    </row>
    <row r="153" spans="1:15" x14ac:dyDescent="0.25">
      <c r="A153" s="101" t="str">
        <f>'Data Vlaue (Cr)'!C148</f>
        <v>NMDC</v>
      </c>
      <c r="B153" s="50">
        <f>VLOOKUP($A153,'Data shares'!$C:$FB,7)</f>
        <v>89.78</v>
      </c>
      <c r="C153" s="50">
        <f>VLOOKUP($A153,'Data shares'!$C:$FB,10)*100</f>
        <v>3.01</v>
      </c>
      <c r="D153" s="49">
        <f>VLOOKUP($A153,'Data shares'!$C:$FB,66)</f>
        <v>275109750</v>
      </c>
      <c r="E153" s="49">
        <f>VLOOKUP($A153,'Data shares'!$C:$FB,67)</f>
        <v>233340750</v>
      </c>
      <c r="F153" s="50">
        <f>VLOOKUP($A153,'Data shares'!$C:$FB,69)*100</f>
        <v>17.899999999999999</v>
      </c>
      <c r="G153" s="49">
        <f>VLOOKUP($A153,'Data shares'!$C:$FB,42)</f>
        <v>50712750</v>
      </c>
      <c r="H153" s="49">
        <f>VLOOKUP($A153,'Data shares'!$C:$FB,43)</f>
        <v>59427000</v>
      </c>
      <c r="I153" s="50">
        <f>VLOOKUP($A153,'Data shares'!$C:$FB,45)*100</f>
        <v>-14.66</v>
      </c>
      <c r="J153" s="49">
        <f>VLOOKUP($A153,'Data shares'!$C:$FB,58)</f>
        <v>167042250</v>
      </c>
      <c r="K153" s="49">
        <f>VLOOKUP($A153,'Data shares'!$C:$FB,59)</f>
        <v>126616500</v>
      </c>
      <c r="L153" s="50">
        <f>VLOOKUP($A153,'Data shares'!$C:$FB,61)*100</f>
        <v>31.929999999999996</v>
      </c>
      <c r="M153" s="49">
        <f>VLOOKUP($A153,'Data shares'!$C:$FB,62)</f>
        <v>57354750</v>
      </c>
      <c r="N153" s="49">
        <f>VLOOKUP($A153,'Data shares'!$C:$FB,63)</f>
        <v>47297250</v>
      </c>
      <c r="O153" s="140">
        <f>VLOOKUP($A153,'Data shares'!$C:$FB,65)*100</f>
        <v>21.26</v>
      </c>
    </row>
    <row r="154" spans="1:15" x14ac:dyDescent="0.25">
      <c r="A154" s="101" t="str">
        <f>'Data Vlaue (Cr)'!C149</f>
        <v>NTPC</v>
      </c>
      <c r="B154" s="50">
        <f>VLOOKUP($A154,'Data shares'!$C:$FB,7)</f>
        <v>393.6</v>
      </c>
      <c r="C154" s="50">
        <f>VLOOKUP($A154,'Data shares'!$C:$FB,10)*100</f>
        <v>0.72</v>
      </c>
      <c r="D154" s="49">
        <f>VLOOKUP($A154,'Data shares'!$C:$FB,66)</f>
        <v>145749000</v>
      </c>
      <c r="E154" s="49">
        <f>VLOOKUP($A154,'Data shares'!$C:$FB,67)</f>
        <v>119502000</v>
      </c>
      <c r="F154" s="50">
        <f>VLOOKUP($A154,'Data shares'!$C:$FB,69)*100</f>
        <v>21.959999999999997</v>
      </c>
      <c r="G154" s="49">
        <f>VLOOKUP($A154,'Data shares'!$C:$FB,42)</f>
        <v>20563500</v>
      </c>
      <c r="H154" s="49">
        <f>VLOOKUP($A154,'Data shares'!$C:$FB,43)</f>
        <v>12744000</v>
      </c>
      <c r="I154" s="50">
        <f>VLOOKUP($A154,'Data shares'!$C:$FB,45)*100</f>
        <v>61.360000000000007</v>
      </c>
      <c r="J154" s="49">
        <f>VLOOKUP($A154,'Data shares'!$C:$FB,58)</f>
        <v>84981000</v>
      </c>
      <c r="K154" s="49">
        <f>VLOOKUP($A154,'Data shares'!$C:$FB,59)</f>
        <v>74103000</v>
      </c>
      <c r="L154" s="50">
        <f>VLOOKUP($A154,'Data shares'!$C:$FB,61)*100</f>
        <v>14.680000000000001</v>
      </c>
      <c r="M154" s="49">
        <f>VLOOKUP($A154,'Data shares'!$C:$FB,62)</f>
        <v>40204500</v>
      </c>
      <c r="N154" s="49">
        <f>VLOOKUP($A154,'Data shares'!$C:$FB,63)</f>
        <v>32655000</v>
      </c>
      <c r="O154" s="140">
        <f>VLOOKUP($A154,'Data shares'!$C:$FB,65)*100</f>
        <v>23.119999999999997</v>
      </c>
    </row>
    <row r="155" spans="1:15" x14ac:dyDescent="0.25">
      <c r="A155" s="101" t="str">
        <f>'Data Vlaue (Cr)'!C150</f>
        <v>NUVAMA</v>
      </c>
      <c r="B155" s="50">
        <f>VLOOKUP($A155,'Data shares'!$C:$FB,7)</f>
        <v>1400.7</v>
      </c>
      <c r="C155" s="50">
        <f>VLOOKUP($A155,'Data shares'!$C:$FB,10)*100</f>
        <v>2.5100000000000002</v>
      </c>
      <c r="D155" s="49">
        <f>VLOOKUP($A155,'Data shares'!$C:$FB,66)</f>
        <v>2496500</v>
      </c>
      <c r="E155" s="49">
        <f>VLOOKUP($A155,'Data shares'!$C:$FB,67)</f>
        <v>1647000</v>
      </c>
      <c r="F155" s="50">
        <f>VLOOKUP($A155,'Data shares'!$C:$FB,69)*100</f>
        <v>51.580000000000005</v>
      </c>
      <c r="G155" s="49">
        <f>VLOOKUP($A155,'Data shares'!$C:$FB,42)</f>
        <v>680000</v>
      </c>
      <c r="H155" s="49">
        <f>VLOOKUP($A155,'Data shares'!$C:$FB,43)</f>
        <v>527000</v>
      </c>
      <c r="I155" s="50">
        <f>VLOOKUP($A155,'Data shares'!$C:$FB,45)*100</f>
        <v>29.03</v>
      </c>
      <c r="J155" s="49">
        <f>VLOOKUP($A155,'Data shares'!$C:$FB,58)</f>
        <v>1405000</v>
      </c>
      <c r="K155" s="49">
        <f>VLOOKUP($A155,'Data shares'!$C:$FB,59)</f>
        <v>459500</v>
      </c>
      <c r="L155" s="50">
        <f>VLOOKUP($A155,'Data shares'!$C:$FB,61)*100</f>
        <v>205.77</v>
      </c>
      <c r="M155" s="49">
        <f>VLOOKUP($A155,'Data shares'!$C:$FB,62)</f>
        <v>411500</v>
      </c>
      <c r="N155" s="49">
        <f>VLOOKUP($A155,'Data shares'!$C:$FB,63)</f>
        <v>660500</v>
      </c>
      <c r="O155" s="140">
        <f>VLOOKUP($A155,'Data shares'!$C:$FB,65)*100</f>
        <v>-37.700000000000003</v>
      </c>
    </row>
    <row r="156" spans="1:15" x14ac:dyDescent="0.25">
      <c r="A156" s="101" t="str">
        <f>'Data Vlaue (Cr)'!C151</f>
        <v>NYKAA</v>
      </c>
      <c r="B156" s="50">
        <f>VLOOKUP($A156,'Data shares'!$C:$FB,7)</f>
        <v>269.66000000000003</v>
      </c>
      <c r="C156" s="50">
        <f>VLOOKUP($A156,'Data shares'!$C:$FB,10)*100</f>
        <v>2.68</v>
      </c>
      <c r="D156" s="49">
        <f>VLOOKUP($A156,'Data shares'!$C:$FB,66)</f>
        <v>21940625</v>
      </c>
      <c r="E156" s="49">
        <f>VLOOKUP($A156,'Data shares'!$C:$FB,67)</f>
        <v>11812500</v>
      </c>
      <c r="F156" s="50">
        <f>VLOOKUP($A156,'Data shares'!$C:$FB,69)*100</f>
        <v>85.740000000000009</v>
      </c>
      <c r="G156" s="49">
        <f>VLOOKUP($A156,'Data shares'!$C:$FB,42)</f>
        <v>4759375</v>
      </c>
      <c r="H156" s="49">
        <f>VLOOKUP($A156,'Data shares'!$C:$FB,43)</f>
        <v>3018750</v>
      </c>
      <c r="I156" s="50">
        <f>VLOOKUP($A156,'Data shares'!$C:$FB,45)*100</f>
        <v>57.66</v>
      </c>
      <c r="J156" s="49">
        <f>VLOOKUP($A156,'Data shares'!$C:$FB,58)</f>
        <v>12515625</v>
      </c>
      <c r="K156" s="49">
        <f>VLOOKUP($A156,'Data shares'!$C:$FB,59)</f>
        <v>6659375</v>
      </c>
      <c r="L156" s="50">
        <f>VLOOKUP($A156,'Data shares'!$C:$FB,61)*100</f>
        <v>87.94</v>
      </c>
      <c r="M156" s="49">
        <f>VLOOKUP($A156,'Data shares'!$C:$FB,62)</f>
        <v>4665625</v>
      </c>
      <c r="N156" s="49">
        <f>VLOOKUP($A156,'Data shares'!$C:$FB,63)</f>
        <v>2134375</v>
      </c>
      <c r="O156" s="140">
        <f>VLOOKUP($A156,'Data shares'!$C:$FB,65)*100</f>
        <v>118.58999999999999</v>
      </c>
    </row>
    <row r="157" spans="1:15" x14ac:dyDescent="0.25">
      <c r="A157" s="101" t="str">
        <f>'Data Vlaue (Cr)'!C152</f>
        <v>OBEROIRLTY</v>
      </c>
      <c r="B157" s="50">
        <f>VLOOKUP($A157,'Data shares'!$C:$FB,7)</f>
        <v>1710.6</v>
      </c>
      <c r="C157" s="50">
        <f>VLOOKUP($A157,'Data shares'!$C:$FB,10)*100</f>
        <v>0.01</v>
      </c>
      <c r="D157" s="49">
        <f>VLOOKUP($A157,'Data shares'!$C:$FB,66)</f>
        <v>1661450</v>
      </c>
      <c r="E157" s="49">
        <f>VLOOKUP($A157,'Data shares'!$C:$FB,67)</f>
        <v>2463650</v>
      </c>
      <c r="F157" s="50">
        <f>VLOOKUP($A157,'Data shares'!$C:$FB,69)*100</f>
        <v>-32.56</v>
      </c>
      <c r="G157" s="49">
        <f>VLOOKUP($A157,'Data shares'!$C:$FB,42)</f>
        <v>737450</v>
      </c>
      <c r="H157" s="49">
        <f>VLOOKUP($A157,'Data shares'!$C:$FB,43)</f>
        <v>1027600</v>
      </c>
      <c r="I157" s="50">
        <f>VLOOKUP($A157,'Data shares'!$C:$FB,45)*100</f>
        <v>-28.24</v>
      </c>
      <c r="J157" s="49">
        <f>VLOOKUP($A157,'Data shares'!$C:$FB,58)</f>
        <v>506100</v>
      </c>
      <c r="K157" s="49">
        <f>VLOOKUP($A157,'Data shares'!$C:$FB,59)</f>
        <v>788200</v>
      </c>
      <c r="L157" s="50">
        <f>VLOOKUP($A157,'Data shares'!$C:$FB,61)*100</f>
        <v>-35.79</v>
      </c>
      <c r="M157" s="49">
        <f>VLOOKUP($A157,'Data shares'!$C:$FB,62)</f>
        <v>417900</v>
      </c>
      <c r="N157" s="49">
        <f>VLOOKUP($A157,'Data shares'!$C:$FB,63)</f>
        <v>647850</v>
      </c>
      <c r="O157" s="140">
        <f>VLOOKUP($A157,'Data shares'!$C:$FB,65)*100</f>
        <v>-35.49</v>
      </c>
    </row>
    <row r="158" spans="1:15" x14ac:dyDescent="0.25">
      <c r="A158" s="101" t="str">
        <f>'Data Vlaue (Cr)'!C153</f>
        <v>OFSS</v>
      </c>
      <c r="B158" s="50">
        <f>VLOOKUP($A158,'Data shares'!$C:$FB,7)</f>
        <v>7992.5</v>
      </c>
      <c r="C158" s="50">
        <f>VLOOKUP($A158,'Data shares'!$C:$FB,10)*100</f>
        <v>2.78</v>
      </c>
      <c r="D158" s="49">
        <f>VLOOKUP($A158,'Data shares'!$C:$FB,66)</f>
        <v>2987400</v>
      </c>
      <c r="E158" s="49">
        <f>VLOOKUP($A158,'Data shares'!$C:$FB,67)</f>
        <v>3149550</v>
      </c>
      <c r="F158" s="50">
        <f>VLOOKUP($A158,'Data shares'!$C:$FB,69)*100</f>
        <v>-5.1499999999999995</v>
      </c>
      <c r="G158" s="49">
        <f>VLOOKUP($A158,'Data shares'!$C:$FB,42)</f>
        <v>261450</v>
      </c>
      <c r="H158" s="49">
        <f>VLOOKUP($A158,'Data shares'!$C:$FB,43)</f>
        <v>268725</v>
      </c>
      <c r="I158" s="50">
        <f>VLOOKUP($A158,'Data shares'!$C:$FB,45)*100</f>
        <v>-2.71</v>
      </c>
      <c r="J158" s="49">
        <f>VLOOKUP($A158,'Data shares'!$C:$FB,58)</f>
        <v>1481325</v>
      </c>
      <c r="K158" s="49">
        <f>VLOOKUP($A158,'Data shares'!$C:$FB,59)</f>
        <v>1678500</v>
      </c>
      <c r="L158" s="50">
        <f>VLOOKUP($A158,'Data shares'!$C:$FB,61)*100</f>
        <v>-11.75</v>
      </c>
      <c r="M158" s="49">
        <f>VLOOKUP($A158,'Data shares'!$C:$FB,62)</f>
        <v>1244625</v>
      </c>
      <c r="N158" s="49">
        <f>VLOOKUP($A158,'Data shares'!$C:$FB,63)</f>
        <v>1202325</v>
      </c>
      <c r="O158" s="140">
        <f>VLOOKUP($A158,'Data shares'!$C:$FB,65)*100</f>
        <v>3.52</v>
      </c>
    </row>
    <row r="159" spans="1:15" x14ac:dyDescent="0.25">
      <c r="A159" s="101" t="str">
        <f>'Data Vlaue (Cr)'!C154</f>
        <v>OIL</v>
      </c>
      <c r="B159" s="50">
        <f>VLOOKUP($A159,'Data shares'!$C:$FB,7)</f>
        <v>470.1</v>
      </c>
      <c r="C159" s="50">
        <f>VLOOKUP($A159,'Data shares'!$C:$FB,10)*100</f>
        <v>1.67</v>
      </c>
      <c r="D159" s="49">
        <f>VLOOKUP($A159,'Data shares'!$C:$FB,66)</f>
        <v>15575000</v>
      </c>
      <c r="E159" s="49">
        <f>VLOOKUP($A159,'Data shares'!$C:$FB,67)</f>
        <v>13407800</v>
      </c>
      <c r="F159" s="50">
        <f>VLOOKUP($A159,'Data shares'!$C:$FB,69)*100</f>
        <v>16.16</v>
      </c>
      <c r="G159" s="49">
        <f>VLOOKUP($A159,'Data shares'!$C:$FB,42)</f>
        <v>2830800</v>
      </c>
      <c r="H159" s="49">
        <f>VLOOKUP($A159,'Data shares'!$C:$FB,43)</f>
        <v>2182600</v>
      </c>
      <c r="I159" s="50">
        <f>VLOOKUP($A159,'Data shares'!$C:$FB,45)*100</f>
        <v>29.7</v>
      </c>
      <c r="J159" s="49">
        <f>VLOOKUP($A159,'Data shares'!$C:$FB,58)</f>
        <v>9622200</v>
      </c>
      <c r="K159" s="49">
        <f>VLOOKUP($A159,'Data shares'!$C:$FB,59)</f>
        <v>7763000</v>
      </c>
      <c r="L159" s="50">
        <f>VLOOKUP($A159,'Data shares'!$C:$FB,61)*100</f>
        <v>23.95</v>
      </c>
      <c r="M159" s="49">
        <f>VLOOKUP($A159,'Data shares'!$C:$FB,62)</f>
        <v>3122000</v>
      </c>
      <c r="N159" s="49">
        <f>VLOOKUP($A159,'Data shares'!$C:$FB,63)</f>
        <v>3462200</v>
      </c>
      <c r="O159" s="140">
        <f>VLOOKUP($A159,'Data shares'!$C:$FB,65)*100</f>
        <v>-9.83</v>
      </c>
    </row>
    <row r="160" spans="1:15" x14ac:dyDescent="0.25">
      <c r="A160" s="101" t="str">
        <f>'Data Vlaue (Cr)'!C155</f>
        <v>ONGC</v>
      </c>
      <c r="B160" s="50">
        <f>VLOOKUP($A160,'Data shares'!$C:$FB,7)</f>
        <v>284.05</v>
      </c>
      <c r="C160" s="50">
        <f>VLOOKUP($A160,'Data shares'!$C:$FB,10)*100</f>
        <v>0.45999999999999996</v>
      </c>
      <c r="D160" s="49">
        <f>VLOOKUP($A160,'Data shares'!$C:$FB,66)</f>
        <v>94585500</v>
      </c>
      <c r="E160" s="49">
        <f>VLOOKUP($A160,'Data shares'!$C:$FB,67)</f>
        <v>111507750</v>
      </c>
      <c r="F160" s="50">
        <f>VLOOKUP($A160,'Data shares'!$C:$FB,69)*100</f>
        <v>-15.18</v>
      </c>
      <c r="G160" s="49">
        <f>VLOOKUP($A160,'Data shares'!$C:$FB,42)</f>
        <v>13473000</v>
      </c>
      <c r="H160" s="49">
        <f>VLOOKUP($A160,'Data shares'!$C:$FB,43)</f>
        <v>13655250</v>
      </c>
      <c r="I160" s="50">
        <f>VLOOKUP($A160,'Data shares'!$C:$FB,45)*100</f>
        <v>-1.3299999999999998</v>
      </c>
      <c r="J160" s="49">
        <f>VLOOKUP($A160,'Data shares'!$C:$FB,58)</f>
        <v>56157750</v>
      </c>
      <c r="K160" s="49">
        <f>VLOOKUP($A160,'Data shares'!$C:$FB,59)</f>
        <v>66541500</v>
      </c>
      <c r="L160" s="50">
        <f>VLOOKUP($A160,'Data shares'!$C:$FB,61)*100</f>
        <v>-15.6</v>
      </c>
      <c r="M160" s="49">
        <f>VLOOKUP($A160,'Data shares'!$C:$FB,62)</f>
        <v>24954750</v>
      </c>
      <c r="N160" s="49">
        <f>VLOOKUP($A160,'Data shares'!$C:$FB,63)</f>
        <v>31311000</v>
      </c>
      <c r="O160" s="140">
        <f>VLOOKUP($A160,'Data shares'!$C:$FB,65)*100</f>
        <v>-20.3</v>
      </c>
    </row>
    <row r="161" spans="1:15" x14ac:dyDescent="0.25">
      <c r="A161" s="101" t="str">
        <f>'Data Vlaue (Cr)'!C156</f>
        <v>PAGEIND</v>
      </c>
      <c r="B161" s="50">
        <f>VLOOKUP($A161,'Data shares'!$C:$FB,7)</f>
        <v>37975</v>
      </c>
      <c r="C161" s="50">
        <f>VLOOKUP($A161,'Data shares'!$C:$FB,10)*100</f>
        <v>2.69</v>
      </c>
      <c r="D161" s="49">
        <f>VLOOKUP($A161,'Data shares'!$C:$FB,66)</f>
        <v>353220</v>
      </c>
      <c r="E161" s="49">
        <f>VLOOKUP($A161,'Data shares'!$C:$FB,67)</f>
        <v>120300</v>
      </c>
      <c r="F161" s="50">
        <f>VLOOKUP($A161,'Data shares'!$C:$FB,69)*100</f>
        <v>193.62</v>
      </c>
      <c r="G161" s="49">
        <f>VLOOKUP($A161,'Data shares'!$C:$FB,42)</f>
        <v>81885</v>
      </c>
      <c r="H161" s="49">
        <f>VLOOKUP($A161,'Data shares'!$C:$FB,43)</f>
        <v>40695</v>
      </c>
      <c r="I161" s="50">
        <f>VLOOKUP($A161,'Data shares'!$C:$FB,45)*100</f>
        <v>101.22</v>
      </c>
      <c r="J161" s="49">
        <f>VLOOKUP($A161,'Data shares'!$C:$FB,58)</f>
        <v>168630</v>
      </c>
      <c r="K161" s="49">
        <f>VLOOKUP($A161,'Data shares'!$C:$FB,59)</f>
        <v>33975</v>
      </c>
      <c r="L161" s="50">
        <f>VLOOKUP($A161,'Data shares'!$C:$FB,61)*100</f>
        <v>396.34000000000003</v>
      </c>
      <c r="M161" s="49">
        <f>VLOOKUP($A161,'Data shares'!$C:$FB,62)</f>
        <v>102705</v>
      </c>
      <c r="N161" s="49">
        <f>VLOOKUP($A161,'Data shares'!$C:$FB,63)</f>
        <v>45630</v>
      </c>
      <c r="O161" s="140">
        <f>VLOOKUP($A161,'Data shares'!$C:$FB,65)*100</f>
        <v>125.07999999999998</v>
      </c>
    </row>
    <row r="162" spans="1:15" x14ac:dyDescent="0.25">
      <c r="A162" s="101" t="str">
        <f>'Data Vlaue (Cr)'!C157</f>
        <v>PATANJALI</v>
      </c>
      <c r="B162" s="50">
        <f>VLOOKUP($A162,'Data shares'!$C:$FB,7)</f>
        <v>468.3</v>
      </c>
      <c r="C162" s="50">
        <f>VLOOKUP($A162,'Data shares'!$C:$FB,10)*100</f>
        <v>0.72</v>
      </c>
      <c r="D162" s="49">
        <f>VLOOKUP($A162,'Data shares'!$C:$FB,66)</f>
        <v>20628000</v>
      </c>
      <c r="E162" s="49">
        <f>VLOOKUP($A162,'Data shares'!$C:$FB,67)</f>
        <v>6633900</v>
      </c>
      <c r="F162" s="50">
        <f>VLOOKUP($A162,'Data shares'!$C:$FB,69)*100</f>
        <v>210.95000000000002</v>
      </c>
      <c r="G162" s="49">
        <f>VLOOKUP($A162,'Data shares'!$C:$FB,42)</f>
        <v>5481000</v>
      </c>
      <c r="H162" s="49">
        <f>VLOOKUP($A162,'Data shares'!$C:$FB,43)</f>
        <v>2575800</v>
      </c>
      <c r="I162" s="50">
        <f>VLOOKUP($A162,'Data shares'!$C:$FB,45)*100</f>
        <v>112.78999999999999</v>
      </c>
      <c r="J162" s="49">
        <f>VLOOKUP($A162,'Data shares'!$C:$FB,58)</f>
        <v>12480300</v>
      </c>
      <c r="K162" s="49">
        <f>VLOOKUP($A162,'Data shares'!$C:$FB,59)</f>
        <v>3062700</v>
      </c>
      <c r="L162" s="50">
        <f>VLOOKUP($A162,'Data shares'!$C:$FB,61)*100</f>
        <v>307.49</v>
      </c>
      <c r="M162" s="49">
        <f>VLOOKUP($A162,'Data shares'!$C:$FB,62)</f>
        <v>2666700</v>
      </c>
      <c r="N162" s="49">
        <f>VLOOKUP($A162,'Data shares'!$C:$FB,63)</f>
        <v>995400</v>
      </c>
      <c r="O162" s="140">
        <f>VLOOKUP($A162,'Data shares'!$C:$FB,65)*100</f>
        <v>167.9</v>
      </c>
    </row>
    <row r="163" spans="1:15" x14ac:dyDescent="0.25">
      <c r="A163" s="101" t="str">
        <f>'Data Vlaue (Cr)'!C158</f>
        <v>PAYTM</v>
      </c>
      <c r="B163" s="50">
        <f>VLOOKUP($A163,'Data shares'!$C:$FB,7)</f>
        <v>1161.6500000000001</v>
      </c>
      <c r="C163" s="50">
        <f>VLOOKUP($A163,'Data shares'!$C:$FB,10)*100</f>
        <v>1.1100000000000001</v>
      </c>
      <c r="D163" s="49">
        <f>VLOOKUP($A163,'Data shares'!$C:$FB,66)</f>
        <v>13382775</v>
      </c>
      <c r="E163" s="49">
        <f>VLOOKUP($A163,'Data shares'!$C:$FB,67)</f>
        <v>14298450</v>
      </c>
      <c r="F163" s="50">
        <f>VLOOKUP($A163,'Data shares'!$C:$FB,69)*100</f>
        <v>-6.4</v>
      </c>
      <c r="G163" s="49">
        <f>VLOOKUP($A163,'Data shares'!$C:$FB,42)</f>
        <v>2160500</v>
      </c>
      <c r="H163" s="49">
        <f>VLOOKUP($A163,'Data shares'!$C:$FB,43)</f>
        <v>2568675</v>
      </c>
      <c r="I163" s="50">
        <f>VLOOKUP($A163,'Data shares'!$C:$FB,45)*100</f>
        <v>-15.89</v>
      </c>
      <c r="J163" s="49">
        <f>VLOOKUP($A163,'Data shares'!$C:$FB,58)</f>
        <v>6519925</v>
      </c>
      <c r="K163" s="49">
        <f>VLOOKUP($A163,'Data shares'!$C:$FB,59)</f>
        <v>7592200</v>
      </c>
      <c r="L163" s="50">
        <f>VLOOKUP($A163,'Data shares'!$C:$FB,61)*100</f>
        <v>-14.12</v>
      </c>
      <c r="M163" s="49">
        <f>VLOOKUP($A163,'Data shares'!$C:$FB,62)</f>
        <v>4702350</v>
      </c>
      <c r="N163" s="49">
        <f>VLOOKUP($A163,'Data shares'!$C:$FB,63)</f>
        <v>4137575</v>
      </c>
      <c r="O163" s="140">
        <f>VLOOKUP($A163,'Data shares'!$C:$FB,65)*100</f>
        <v>13.65</v>
      </c>
    </row>
    <row r="164" spans="1:15" x14ac:dyDescent="0.25">
      <c r="A164" s="101" t="str">
        <f>'Data Vlaue (Cr)'!C159</f>
        <v>PERSISTENT</v>
      </c>
      <c r="B164" s="50">
        <f>VLOOKUP($A164,'Data shares'!$C:$FB,7)</f>
        <v>5446.5</v>
      </c>
      <c r="C164" s="50">
        <f>VLOOKUP($A164,'Data shares'!$C:$FB,10)*100</f>
        <v>-0.98</v>
      </c>
      <c r="D164" s="49">
        <f>VLOOKUP($A164,'Data shares'!$C:$FB,66)</f>
        <v>5506000</v>
      </c>
      <c r="E164" s="49">
        <f>VLOOKUP($A164,'Data shares'!$C:$FB,67)</f>
        <v>4609300</v>
      </c>
      <c r="F164" s="50">
        <f>VLOOKUP($A164,'Data shares'!$C:$FB,69)*100</f>
        <v>19.45</v>
      </c>
      <c r="G164" s="49">
        <f>VLOOKUP($A164,'Data shares'!$C:$FB,42)</f>
        <v>1548900</v>
      </c>
      <c r="H164" s="49">
        <f>VLOOKUP($A164,'Data shares'!$C:$FB,43)</f>
        <v>1356900</v>
      </c>
      <c r="I164" s="50">
        <f>VLOOKUP($A164,'Data shares'!$C:$FB,45)*100</f>
        <v>14.149999999999999</v>
      </c>
      <c r="J164" s="49">
        <f>VLOOKUP($A164,'Data shares'!$C:$FB,58)</f>
        <v>2191500</v>
      </c>
      <c r="K164" s="49">
        <f>VLOOKUP($A164,'Data shares'!$C:$FB,59)</f>
        <v>1888100</v>
      </c>
      <c r="L164" s="50">
        <f>VLOOKUP($A164,'Data shares'!$C:$FB,61)*100</f>
        <v>16.07</v>
      </c>
      <c r="M164" s="49">
        <f>VLOOKUP($A164,'Data shares'!$C:$FB,62)</f>
        <v>1765600</v>
      </c>
      <c r="N164" s="49">
        <f>VLOOKUP($A164,'Data shares'!$C:$FB,63)</f>
        <v>1364300</v>
      </c>
      <c r="O164" s="140">
        <f>VLOOKUP($A164,'Data shares'!$C:$FB,65)*100</f>
        <v>29.409999999999997</v>
      </c>
    </row>
    <row r="165" spans="1:15" x14ac:dyDescent="0.25">
      <c r="A165" s="101" t="str">
        <f>'Data Vlaue (Cr)'!C160</f>
        <v>PETRONET</v>
      </c>
      <c r="B165" s="50">
        <f>VLOOKUP($A165,'Data shares'!$C:$FB,7)</f>
        <v>273.22000000000003</v>
      </c>
      <c r="C165" s="50">
        <f>VLOOKUP($A165,'Data shares'!$C:$FB,10)*100</f>
        <v>0.64</v>
      </c>
      <c r="D165" s="49">
        <f>VLOOKUP($A165,'Data shares'!$C:$FB,66)</f>
        <v>12329100</v>
      </c>
      <c r="E165" s="49">
        <f>VLOOKUP($A165,'Data shares'!$C:$FB,67)</f>
        <v>17318500</v>
      </c>
      <c r="F165" s="50">
        <f>VLOOKUP($A165,'Data shares'!$C:$FB,69)*100</f>
        <v>-28.810000000000002</v>
      </c>
      <c r="G165" s="49">
        <f>VLOOKUP($A165,'Data shares'!$C:$FB,42)</f>
        <v>2787300</v>
      </c>
      <c r="H165" s="49">
        <f>VLOOKUP($A165,'Data shares'!$C:$FB,43)</f>
        <v>3577700</v>
      </c>
      <c r="I165" s="50">
        <f>VLOOKUP($A165,'Data shares'!$C:$FB,45)*100</f>
        <v>-22.09</v>
      </c>
      <c r="J165" s="49">
        <f>VLOOKUP($A165,'Data shares'!$C:$FB,58)</f>
        <v>6644300</v>
      </c>
      <c r="K165" s="49">
        <f>VLOOKUP($A165,'Data shares'!$C:$FB,59)</f>
        <v>9030700</v>
      </c>
      <c r="L165" s="50">
        <f>VLOOKUP($A165,'Data shares'!$C:$FB,61)*100</f>
        <v>-26.43</v>
      </c>
      <c r="M165" s="49">
        <f>VLOOKUP($A165,'Data shares'!$C:$FB,62)</f>
        <v>2897500</v>
      </c>
      <c r="N165" s="49">
        <f>VLOOKUP($A165,'Data shares'!$C:$FB,63)</f>
        <v>4710100</v>
      </c>
      <c r="O165" s="140">
        <f>VLOOKUP($A165,'Data shares'!$C:$FB,65)*100</f>
        <v>-38.479999999999997</v>
      </c>
    </row>
    <row r="166" spans="1:15" x14ac:dyDescent="0.25">
      <c r="A166" s="101" t="str">
        <f>'Data Vlaue (Cr)'!C161</f>
        <v>PFC</v>
      </c>
      <c r="B166" s="50">
        <f>VLOOKUP($A166,'Data shares'!$C:$FB,7)</f>
        <v>464.85</v>
      </c>
      <c r="C166" s="50">
        <f>VLOOKUP($A166,'Data shares'!$C:$FB,10)*100</f>
        <v>1.3</v>
      </c>
      <c r="D166" s="49">
        <f>VLOOKUP($A166,'Data shares'!$C:$FB,66)</f>
        <v>88002200</v>
      </c>
      <c r="E166" s="49">
        <f>VLOOKUP($A166,'Data shares'!$C:$FB,67)</f>
        <v>170067300</v>
      </c>
      <c r="F166" s="50">
        <f>VLOOKUP($A166,'Data shares'!$C:$FB,69)*100</f>
        <v>-48.25</v>
      </c>
      <c r="G166" s="49">
        <f>VLOOKUP($A166,'Data shares'!$C:$FB,42)</f>
        <v>11954800</v>
      </c>
      <c r="H166" s="49">
        <f>VLOOKUP($A166,'Data shares'!$C:$FB,43)</f>
        <v>19714500</v>
      </c>
      <c r="I166" s="50">
        <f>VLOOKUP($A166,'Data shares'!$C:$FB,45)*100</f>
        <v>-39.36</v>
      </c>
      <c r="J166" s="49">
        <f>VLOOKUP($A166,'Data shares'!$C:$FB,58)</f>
        <v>49897900</v>
      </c>
      <c r="K166" s="49">
        <f>VLOOKUP($A166,'Data shares'!$C:$FB,59)</f>
        <v>99000200</v>
      </c>
      <c r="L166" s="50">
        <f>VLOOKUP($A166,'Data shares'!$C:$FB,61)*100</f>
        <v>-49.6</v>
      </c>
      <c r="M166" s="49">
        <f>VLOOKUP($A166,'Data shares'!$C:$FB,62)</f>
        <v>26149500</v>
      </c>
      <c r="N166" s="49">
        <f>VLOOKUP($A166,'Data shares'!$C:$FB,63)</f>
        <v>51352600</v>
      </c>
      <c r="O166" s="140">
        <f>VLOOKUP($A166,'Data shares'!$C:$FB,65)*100</f>
        <v>-49.08</v>
      </c>
    </row>
    <row r="167" spans="1:15" x14ac:dyDescent="0.25">
      <c r="A167" s="101" t="str">
        <f>'Data Vlaue (Cr)'!C162</f>
        <v>PGEL</v>
      </c>
      <c r="B167" s="50">
        <f>VLOOKUP($A167,'Data shares'!$C:$FB,7)</f>
        <v>561.4</v>
      </c>
      <c r="C167" s="50">
        <f>VLOOKUP($A167,'Data shares'!$C:$FB,10)*100</f>
        <v>0.67</v>
      </c>
      <c r="D167" s="49">
        <f>VLOOKUP($A167,'Data shares'!$C:$FB,66)</f>
        <v>24452050</v>
      </c>
      <c r="E167" s="49">
        <f>VLOOKUP($A167,'Data shares'!$C:$FB,67)</f>
        <v>48172600</v>
      </c>
      <c r="F167" s="50">
        <f>VLOOKUP($A167,'Data shares'!$C:$FB,69)*100</f>
        <v>-49.24</v>
      </c>
      <c r="G167" s="49">
        <f>VLOOKUP($A167,'Data shares'!$C:$FB,42)</f>
        <v>4114450</v>
      </c>
      <c r="H167" s="49">
        <f>VLOOKUP($A167,'Data shares'!$C:$FB,43)</f>
        <v>7575300</v>
      </c>
      <c r="I167" s="50">
        <f>VLOOKUP($A167,'Data shares'!$C:$FB,45)*100</f>
        <v>-45.69</v>
      </c>
      <c r="J167" s="49">
        <f>VLOOKUP($A167,'Data shares'!$C:$FB,58)</f>
        <v>10114650</v>
      </c>
      <c r="K167" s="49">
        <f>VLOOKUP($A167,'Data shares'!$C:$FB,59)</f>
        <v>25242450</v>
      </c>
      <c r="L167" s="50">
        <f>VLOOKUP($A167,'Data shares'!$C:$FB,61)*100</f>
        <v>-59.930000000000007</v>
      </c>
      <c r="M167" s="49">
        <f>VLOOKUP($A167,'Data shares'!$C:$FB,62)</f>
        <v>10222950</v>
      </c>
      <c r="N167" s="49">
        <f>VLOOKUP($A167,'Data shares'!$C:$FB,63)</f>
        <v>15354850</v>
      </c>
      <c r="O167" s="140">
        <f>VLOOKUP($A167,'Data shares'!$C:$FB,65)*100</f>
        <v>-33.42</v>
      </c>
    </row>
    <row r="168" spans="1:15" x14ac:dyDescent="0.25">
      <c r="A168" s="101" t="str">
        <f>'Data Vlaue (Cr)'!C163</f>
        <v>PHOENIXLTD</v>
      </c>
      <c r="B168" s="50">
        <f>VLOOKUP($A168,'Data shares'!$C:$FB,7)</f>
        <v>1792.2</v>
      </c>
      <c r="C168" s="50">
        <f>VLOOKUP($A168,'Data shares'!$C:$FB,10)*100</f>
        <v>0.55999999999999994</v>
      </c>
      <c r="D168" s="49">
        <f>VLOOKUP($A168,'Data shares'!$C:$FB,66)</f>
        <v>969150</v>
      </c>
      <c r="E168" s="49">
        <f>VLOOKUP($A168,'Data shares'!$C:$FB,67)</f>
        <v>1573600</v>
      </c>
      <c r="F168" s="50">
        <f>VLOOKUP($A168,'Data shares'!$C:$FB,69)*100</f>
        <v>-38.409999999999997</v>
      </c>
      <c r="G168" s="49">
        <f>VLOOKUP($A168,'Data shares'!$C:$FB,42)</f>
        <v>226450</v>
      </c>
      <c r="H168" s="49">
        <f>VLOOKUP($A168,'Data shares'!$C:$FB,43)</f>
        <v>923650</v>
      </c>
      <c r="I168" s="50">
        <f>VLOOKUP($A168,'Data shares'!$C:$FB,45)*100</f>
        <v>-75.48</v>
      </c>
      <c r="J168" s="49">
        <f>VLOOKUP($A168,'Data shares'!$C:$FB,58)</f>
        <v>431200</v>
      </c>
      <c r="K168" s="49">
        <f>VLOOKUP($A168,'Data shares'!$C:$FB,59)</f>
        <v>280350</v>
      </c>
      <c r="L168" s="50">
        <f>VLOOKUP($A168,'Data shares'!$C:$FB,61)*100</f>
        <v>53.81</v>
      </c>
      <c r="M168" s="49">
        <f>VLOOKUP($A168,'Data shares'!$C:$FB,62)</f>
        <v>311500</v>
      </c>
      <c r="N168" s="49">
        <f>VLOOKUP($A168,'Data shares'!$C:$FB,63)</f>
        <v>369600</v>
      </c>
      <c r="O168" s="140">
        <f>VLOOKUP($A168,'Data shares'!$C:$FB,65)*100</f>
        <v>-15.72</v>
      </c>
    </row>
    <row r="169" spans="1:15" x14ac:dyDescent="0.25">
      <c r="A169" s="101" t="str">
        <f>'Data Vlaue (Cr)'!C164</f>
        <v>PIDILITIND</v>
      </c>
      <c r="B169" s="50">
        <f>VLOOKUP($A169,'Data shares'!$C:$FB,7)</f>
        <v>1393.4</v>
      </c>
      <c r="C169" s="50">
        <f>VLOOKUP($A169,'Data shares'!$C:$FB,10)*100</f>
        <v>4.6899999999999995</v>
      </c>
      <c r="D169" s="49">
        <f>VLOOKUP($A169,'Data shares'!$C:$FB,66)</f>
        <v>13960000</v>
      </c>
      <c r="E169" s="49">
        <f>VLOOKUP($A169,'Data shares'!$C:$FB,67)</f>
        <v>5085000</v>
      </c>
      <c r="F169" s="50">
        <f>VLOOKUP($A169,'Data shares'!$C:$FB,69)*100</f>
        <v>174.53</v>
      </c>
      <c r="G169" s="49">
        <f>VLOOKUP($A169,'Data shares'!$C:$FB,42)</f>
        <v>2698000</v>
      </c>
      <c r="H169" s="49">
        <f>VLOOKUP($A169,'Data shares'!$C:$FB,43)</f>
        <v>2477000</v>
      </c>
      <c r="I169" s="50">
        <f>VLOOKUP($A169,'Data shares'!$C:$FB,45)*100</f>
        <v>8.92</v>
      </c>
      <c r="J169" s="49">
        <f>VLOOKUP($A169,'Data shares'!$C:$FB,58)</f>
        <v>8469500</v>
      </c>
      <c r="K169" s="49">
        <f>VLOOKUP($A169,'Data shares'!$C:$FB,59)</f>
        <v>1645000</v>
      </c>
      <c r="L169" s="50">
        <f>VLOOKUP($A169,'Data shares'!$C:$FB,61)*100</f>
        <v>414.86</v>
      </c>
      <c r="M169" s="49">
        <f>VLOOKUP($A169,'Data shares'!$C:$FB,62)</f>
        <v>2792500</v>
      </c>
      <c r="N169" s="49">
        <f>VLOOKUP($A169,'Data shares'!$C:$FB,63)</f>
        <v>963000</v>
      </c>
      <c r="O169" s="140">
        <f>VLOOKUP($A169,'Data shares'!$C:$FB,65)*100</f>
        <v>189.98</v>
      </c>
    </row>
    <row r="170" spans="1:15" x14ac:dyDescent="0.25">
      <c r="A170" s="101" t="str">
        <f>'Data Vlaue (Cr)'!C165</f>
        <v>PIIND</v>
      </c>
      <c r="B170" s="50">
        <f>VLOOKUP($A170,'Data shares'!$C:$FB,7)</f>
        <v>3139.7</v>
      </c>
      <c r="C170" s="50">
        <f>VLOOKUP($A170,'Data shares'!$C:$FB,10)*100</f>
        <v>0.88</v>
      </c>
      <c r="D170" s="49">
        <f>VLOOKUP($A170,'Data shares'!$C:$FB,66)</f>
        <v>2131500</v>
      </c>
      <c r="E170" s="49">
        <f>VLOOKUP($A170,'Data shares'!$C:$FB,67)</f>
        <v>3166975</v>
      </c>
      <c r="F170" s="50">
        <f>VLOOKUP($A170,'Data shares'!$C:$FB,69)*100</f>
        <v>-32.700000000000003</v>
      </c>
      <c r="G170" s="49">
        <f>VLOOKUP($A170,'Data shares'!$C:$FB,42)</f>
        <v>670600</v>
      </c>
      <c r="H170" s="49">
        <f>VLOOKUP($A170,'Data shares'!$C:$FB,43)</f>
        <v>555275</v>
      </c>
      <c r="I170" s="50">
        <f>VLOOKUP($A170,'Data shares'!$C:$FB,45)*100</f>
        <v>20.77</v>
      </c>
      <c r="J170" s="49">
        <f>VLOOKUP($A170,'Data shares'!$C:$FB,58)</f>
        <v>927675</v>
      </c>
      <c r="K170" s="49">
        <f>VLOOKUP($A170,'Data shares'!$C:$FB,59)</f>
        <v>1805475</v>
      </c>
      <c r="L170" s="50">
        <f>VLOOKUP($A170,'Data shares'!$C:$FB,61)*100</f>
        <v>-48.620000000000005</v>
      </c>
      <c r="M170" s="49">
        <f>VLOOKUP($A170,'Data shares'!$C:$FB,62)</f>
        <v>533225</v>
      </c>
      <c r="N170" s="49">
        <f>VLOOKUP($A170,'Data shares'!$C:$FB,63)</f>
        <v>806225</v>
      </c>
      <c r="O170" s="140">
        <f>VLOOKUP($A170,'Data shares'!$C:$FB,65)*100</f>
        <v>-33.86</v>
      </c>
    </row>
    <row r="171" spans="1:15" x14ac:dyDescent="0.25">
      <c r="A171" s="101" t="str">
        <f>'Data Vlaue (Cr)'!C166</f>
        <v>PNB</v>
      </c>
      <c r="B171" s="50">
        <f>VLOOKUP($A171,'Data shares'!$C:$FB,7)</f>
        <v>114.48</v>
      </c>
      <c r="C171" s="50">
        <f>VLOOKUP($A171,'Data shares'!$C:$FB,10)*100</f>
        <v>0.80999999999999994</v>
      </c>
      <c r="D171" s="49">
        <f>VLOOKUP($A171,'Data shares'!$C:$FB,66)</f>
        <v>173592000</v>
      </c>
      <c r="E171" s="49">
        <f>VLOOKUP($A171,'Data shares'!$C:$FB,67)</f>
        <v>184528000</v>
      </c>
      <c r="F171" s="50">
        <f>VLOOKUP($A171,'Data shares'!$C:$FB,69)*100</f>
        <v>-5.93</v>
      </c>
      <c r="G171" s="49">
        <f>VLOOKUP($A171,'Data shares'!$C:$FB,42)</f>
        <v>42152000</v>
      </c>
      <c r="H171" s="49">
        <f>VLOOKUP($A171,'Data shares'!$C:$FB,43)</f>
        <v>46968000</v>
      </c>
      <c r="I171" s="50">
        <f>VLOOKUP($A171,'Data shares'!$C:$FB,45)*100</f>
        <v>-10.25</v>
      </c>
      <c r="J171" s="49">
        <f>VLOOKUP($A171,'Data shares'!$C:$FB,58)</f>
        <v>82592000</v>
      </c>
      <c r="K171" s="49">
        <f>VLOOKUP($A171,'Data shares'!$C:$FB,59)</f>
        <v>86992000</v>
      </c>
      <c r="L171" s="50">
        <f>VLOOKUP($A171,'Data shares'!$C:$FB,61)*100</f>
        <v>-5.0599999999999996</v>
      </c>
      <c r="M171" s="49">
        <f>VLOOKUP($A171,'Data shares'!$C:$FB,62)</f>
        <v>48848000</v>
      </c>
      <c r="N171" s="49">
        <f>VLOOKUP($A171,'Data shares'!$C:$FB,63)</f>
        <v>50568000</v>
      </c>
      <c r="O171" s="140">
        <f>VLOOKUP($A171,'Data shares'!$C:$FB,65)*100</f>
        <v>-3.4000000000000004</v>
      </c>
    </row>
    <row r="172" spans="1:15" x14ac:dyDescent="0.25">
      <c r="A172" s="101" t="str">
        <f>'Data Vlaue (Cr)'!C167</f>
        <v>PNBHOUSING</v>
      </c>
      <c r="B172" s="50">
        <f>VLOOKUP($A172,'Data shares'!$C:$FB,7)</f>
        <v>923.7</v>
      </c>
      <c r="C172" s="50">
        <f>VLOOKUP($A172,'Data shares'!$C:$FB,10)*100</f>
        <v>3.35</v>
      </c>
      <c r="D172" s="49">
        <f>VLOOKUP($A172,'Data shares'!$C:$FB,66)</f>
        <v>16272100</v>
      </c>
      <c r="E172" s="49">
        <f>VLOOKUP($A172,'Data shares'!$C:$FB,67)</f>
        <v>16268200</v>
      </c>
      <c r="F172" s="50">
        <f>VLOOKUP($A172,'Data shares'!$C:$FB,69)*100</f>
        <v>0.02</v>
      </c>
      <c r="G172" s="49">
        <f>VLOOKUP($A172,'Data shares'!$C:$FB,42)</f>
        <v>4241900</v>
      </c>
      <c r="H172" s="49">
        <f>VLOOKUP($A172,'Data shares'!$C:$FB,43)</f>
        <v>3615950</v>
      </c>
      <c r="I172" s="50">
        <f>VLOOKUP($A172,'Data shares'!$C:$FB,45)*100</f>
        <v>17.309999999999999</v>
      </c>
      <c r="J172" s="49">
        <f>VLOOKUP($A172,'Data shares'!$C:$FB,58)</f>
        <v>8981700</v>
      </c>
      <c r="K172" s="49">
        <f>VLOOKUP($A172,'Data shares'!$C:$FB,59)</f>
        <v>9774050</v>
      </c>
      <c r="L172" s="50">
        <f>VLOOKUP($A172,'Data shares'!$C:$FB,61)*100</f>
        <v>-8.1100000000000012</v>
      </c>
      <c r="M172" s="49">
        <f>VLOOKUP($A172,'Data shares'!$C:$FB,62)</f>
        <v>3048500</v>
      </c>
      <c r="N172" s="49">
        <f>VLOOKUP($A172,'Data shares'!$C:$FB,63)</f>
        <v>2878200</v>
      </c>
      <c r="O172" s="140">
        <f>VLOOKUP($A172,'Data shares'!$C:$FB,65)*100</f>
        <v>5.92</v>
      </c>
    </row>
    <row r="173" spans="1:15" x14ac:dyDescent="0.25">
      <c r="A173" s="101" t="str">
        <f>'Data Vlaue (Cr)'!C168</f>
        <v>POLICYBZR</v>
      </c>
      <c r="B173" s="50">
        <f>VLOOKUP($A173,'Data shares'!$C:$FB,7)</f>
        <v>1600.6</v>
      </c>
      <c r="C173" s="50">
        <f>VLOOKUP($A173,'Data shares'!$C:$FB,10)*100</f>
        <v>3.2300000000000004</v>
      </c>
      <c r="D173" s="49">
        <f>VLOOKUP($A173,'Data shares'!$C:$FB,66)</f>
        <v>26378450</v>
      </c>
      <c r="E173" s="49">
        <f>VLOOKUP($A173,'Data shares'!$C:$FB,67)</f>
        <v>16936850</v>
      </c>
      <c r="F173" s="50">
        <f>VLOOKUP($A173,'Data shares'!$C:$FB,69)*100</f>
        <v>55.75</v>
      </c>
      <c r="G173" s="49">
        <f>VLOOKUP($A173,'Data shares'!$C:$FB,42)</f>
        <v>3527650</v>
      </c>
      <c r="H173" s="49">
        <f>VLOOKUP($A173,'Data shares'!$C:$FB,43)</f>
        <v>2730700</v>
      </c>
      <c r="I173" s="50">
        <f>VLOOKUP($A173,'Data shares'!$C:$FB,45)*100</f>
        <v>29.18</v>
      </c>
      <c r="J173" s="49">
        <f>VLOOKUP($A173,'Data shares'!$C:$FB,58)</f>
        <v>16956800</v>
      </c>
      <c r="K173" s="49">
        <f>VLOOKUP($A173,'Data shares'!$C:$FB,59)</f>
        <v>10947300</v>
      </c>
      <c r="L173" s="50">
        <f>VLOOKUP($A173,'Data shares'!$C:$FB,61)*100</f>
        <v>54.890000000000008</v>
      </c>
      <c r="M173" s="49">
        <f>VLOOKUP($A173,'Data shares'!$C:$FB,62)</f>
        <v>5894000</v>
      </c>
      <c r="N173" s="49">
        <f>VLOOKUP($A173,'Data shares'!$C:$FB,63)</f>
        <v>3258850</v>
      </c>
      <c r="O173" s="140">
        <f>VLOOKUP($A173,'Data shares'!$C:$FB,65)*100</f>
        <v>80.86</v>
      </c>
    </row>
    <row r="174" spans="1:15" x14ac:dyDescent="0.25">
      <c r="A174" s="101" t="str">
        <f>'Data Vlaue (Cr)'!C169</f>
        <v>POLYCAB</v>
      </c>
      <c r="B174" s="50">
        <f>VLOOKUP($A174,'Data shares'!$C:$FB,7)</f>
        <v>8182.5</v>
      </c>
      <c r="C174" s="50">
        <f>VLOOKUP($A174,'Data shares'!$C:$FB,10)*100</f>
        <v>3.53</v>
      </c>
      <c r="D174" s="49">
        <f>VLOOKUP($A174,'Data shares'!$C:$FB,66)</f>
        <v>11672750</v>
      </c>
      <c r="E174" s="49">
        <f>VLOOKUP($A174,'Data shares'!$C:$FB,67)</f>
        <v>3654250</v>
      </c>
      <c r="F174" s="50">
        <f>VLOOKUP($A174,'Data shares'!$C:$FB,69)*100</f>
        <v>219.43</v>
      </c>
      <c r="G174" s="49">
        <f>VLOOKUP($A174,'Data shares'!$C:$FB,42)</f>
        <v>810375</v>
      </c>
      <c r="H174" s="49">
        <f>VLOOKUP($A174,'Data shares'!$C:$FB,43)</f>
        <v>507375</v>
      </c>
      <c r="I174" s="50">
        <f>VLOOKUP($A174,'Data shares'!$C:$FB,45)*100</f>
        <v>59.72</v>
      </c>
      <c r="J174" s="49">
        <f>VLOOKUP($A174,'Data shares'!$C:$FB,58)</f>
        <v>6464875</v>
      </c>
      <c r="K174" s="49">
        <f>VLOOKUP($A174,'Data shares'!$C:$FB,59)</f>
        <v>1745000</v>
      </c>
      <c r="L174" s="50">
        <f>VLOOKUP($A174,'Data shares'!$C:$FB,61)*100</f>
        <v>270.48</v>
      </c>
      <c r="M174" s="49">
        <f>VLOOKUP($A174,'Data shares'!$C:$FB,62)</f>
        <v>4397500</v>
      </c>
      <c r="N174" s="49">
        <f>VLOOKUP($A174,'Data shares'!$C:$FB,63)</f>
        <v>1401875</v>
      </c>
      <c r="O174" s="140">
        <f>VLOOKUP($A174,'Data shares'!$C:$FB,65)*100</f>
        <v>213.68999999999997</v>
      </c>
    </row>
    <row r="175" spans="1:15" x14ac:dyDescent="0.25">
      <c r="A175" s="101" t="str">
        <f>'Data Vlaue (Cr)'!C170</f>
        <v>POWERGRID</v>
      </c>
      <c r="B175" s="50">
        <f>VLOOKUP($A175,'Data shares'!$C:$FB,7)</f>
        <v>318.10000000000002</v>
      </c>
      <c r="C175" s="50">
        <f>VLOOKUP($A175,'Data shares'!$C:$FB,10)*100</f>
        <v>1.87</v>
      </c>
      <c r="D175" s="49">
        <f>VLOOKUP($A175,'Data shares'!$C:$FB,66)</f>
        <v>130283000</v>
      </c>
      <c r="E175" s="49">
        <f>VLOOKUP($A175,'Data shares'!$C:$FB,67)</f>
        <v>126614100</v>
      </c>
      <c r="F175" s="50">
        <f>VLOOKUP($A175,'Data shares'!$C:$FB,69)*100</f>
        <v>2.9000000000000004</v>
      </c>
      <c r="G175" s="49">
        <f>VLOOKUP($A175,'Data shares'!$C:$FB,42)</f>
        <v>16201300</v>
      </c>
      <c r="H175" s="49">
        <f>VLOOKUP($A175,'Data shares'!$C:$FB,43)</f>
        <v>22165400</v>
      </c>
      <c r="I175" s="50">
        <f>VLOOKUP($A175,'Data shares'!$C:$FB,45)*100</f>
        <v>-26.91</v>
      </c>
      <c r="J175" s="49">
        <f>VLOOKUP($A175,'Data shares'!$C:$FB,58)</f>
        <v>82796300</v>
      </c>
      <c r="K175" s="49">
        <f>VLOOKUP($A175,'Data shares'!$C:$FB,59)</f>
        <v>81259200</v>
      </c>
      <c r="L175" s="50">
        <f>VLOOKUP($A175,'Data shares'!$C:$FB,61)*100</f>
        <v>1.8900000000000001</v>
      </c>
      <c r="M175" s="49">
        <f>VLOOKUP($A175,'Data shares'!$C:$FB,62)</f>
        <v>31285400</v>
      </c>
      <c r="N175" s="49">
        <f>VLOOKUP($A175,'Data shares'!$C:$FB,63)</f>
        <v>23189500</v>
      </c>
      <c r="O175" s="140">
        <f>VLOOKUP($A175,'Data shares'!$C:$FB,65)*100</f>
        <v>34.910000000000004</v>
      </c>
    </row>
    <row r="176" spans="1:15" x14ac:dyDescent="0.25">
      <c r="A176" s="101" t="str">
        <f>'Data Vlaue (Cr)'!C171</f>
        <v>POWERINDIA</v>
      </c>
      <c r="B176" s="50">
        <f>VLOOKUP($A176,'Data shares'!$C:$FB,7)</f>
        <v>28925</v>
      </c>
      <c r="C176" s="50">
        <f>VLOOKUP($A176,'Data shares'!$C:$FB,10)*100</f>
        <v>2.37</v>
      </c>
      <c r="D176" s="49">
        <f>VLOOKUP($A176,'Data shares'!$C:$FB,66)</f>
        <v>849550</v>
      </c>
      <c r="E176" s="49">
        <f>VLOOKUP($A176,'Data shares'!$C:$FB,67)</f>
        <v>883500</v>
      </c>
      <c r="F176" s="50">
        <f>VLOOKUP($A176,'Data shares'!$C:$FB,69)*100</f>
        <v>-3.84</v>
      </c>
      <c r="G176" s="49">
        <f>VLOOKUP($A176,'Data shares'!$C:$FB,42)</f>
        <v>100500</v>
      </c>
      <c r="H176" s="49">
        <f>VLOOKUP($A176,'Data shares'!$C:$FB,43)</f>
        <v>117200</v>
      </c>
      <c r="I176" s="50">
        <f>VLOOKUP($A176,'Data shares'!$C:$FB,45)*100</f>
        <v>-14.249999999999998</v>
      </c>
      <c r="J176" s="49">
        <f>VLOOKUP($A176,'Data shares'!$C:$FB,58)</f>
        <v>448800</v>
      </c>
      <c r="K176" s="49">
        <f>VLOOKUP($A176,'Data shares'!$C:$FB,59)</f>
        <v>479350</v>
      </c>
      <c r="L176" s="50">
        <f>VLOOKUP($A176,'Data shares'!$C:$FB,61)*100</f>
        <v>-6.370000000000001</v>
      </c>
      <c r="M176" s="49">
        <f>VLOOKUP($A176,'Data shares'!$C:$FB,62)</f>
        <v>300250</v>
      </c>
      <c r="N176" s="49">
        <f>VLOOKUP($A176,'Data shares'!$C:$FB,63)</f>
        <v>286950</v>
      </c>
      <c r="O176" s="140">
        <f>VLOOKUP($A176,'Data shares'!$C:$FB,65)*100</f>
        <v>4.63</v>
      </c>
    </row>
    <row r="177" spans="1:15" x14ac:dyDescent="0.25">
      <c r="A177" s="101" t="str">
        <f>'Data Vlaue (Cr)'!C172</f>
        <v>PPLPHARMA</v>
      </c>
      <c r="B177" s="50">
        <f>VLOOKUP($A177,'Data shares'!$C:$FB,7)</f>
        <v>148.85</v>
      </c>
      <c r="C177" s="50">
        <f>VLOOKUP($A177,'Data shares'!$C:$FB,10)*100</f>
        <v>0.91999999999999993</v>
      </c>
      <c r="D177" s="49">
        <f>VLOOKUP($A177,'Data shares'!$C:$FB,66)</f>
        <v>9366000</v>
      </c>
      <c r="E177" s="49">
        <f>VLOOKUP($A177,'Data shares'!$C:$FB,67)</f>
        <v>10195500</v>
      </c>
      <c r="F177" s="50">
        <f>VLOOKUP($A177,'Data shares'!$C:$FB,69)*100</f>
        <v>-8.14</v>
      </c>
      <c r="G177" s="49">
        <f>VLOOKUP($A177,'Data shares'!$C:$FB,42)</f>
        <v>2176125</v>
      </c>
      <c r="H177" s="49">
        <f>VLOOKUP($A177,'Data shares'!$C:$FB,43)</f>
        <v>2669625</v>
      </c>
      <c r="I177" s="50">
        <f>VLOOKUP($A177,'Data shares'!$C:$FB,45)*100</f>
        <v>-18.490000000000002</v>
      </c>
      <c r="J177" s="49">
        <f>VLOOKUP($A177,'Data shares'!$C:$FB,58)</f>
        <v>5738250</v>
      </c>
      <c r="K177" s="49">
        <f>VLOOKUP($A177,'Data shares'!$C:$FB,59)</f>
        <v>5635875</v>
      </c>
      <c r="L177" s="50">
        <f>VLOOKUP($A177,'Data shares'!$C:$FB,61)*100</f>
        <v>1.82</v>
      </c>
      <c r="M177" s="49">
        <f>VLOOKUP($A177,'Data shares'!$C:$FB,62)</f>
        <v>1451625</v>
      </c>
      <c r="N177" s="49">
        <f>VLOOKUP($A177,'Data shares'!$C:$FB,63)</f>
        <v>1890000</v>
      </c>
      <c r="O177" s="140">
        <f>VLOOKUP($A177,'Data shares'!$C:$FB,65)*100</f>
        <v>-23.189999999999998</v>
      </c>
    </row>
    <row r="178" spans="1:15" x14ac:dyDescent="0.25">
      <c r="A178" s="101" t="str">
        <f>'Data Vlaue (Cr)'!C173</f>
        <v>PREMIERENE</v>
      </c>
      <c r="B178" s="50">
        <f>VLOOKUP($A178,'Data shares'!$C:$FB,7)</f>
        <v>1034.5999999999999</v>
      </c>
      <c r="C178" s="50">
        <f>VLOOKUP($A178,'Data shares'!$C:$FB,10)*100</f>
        <v>3.1399999999999997</v>
      </c>
      <c r="D178" s="49">
        <f>VLOOKUP($A178,'Data shares'!$C:$FB,66)</f>
        <v>14350850</v>
      </c>
      <c r="E178" s="49">
        <f>VLOOKUP($A178,'Data shares'!$C:$FB,67)</f>
        <v>6324425</v>
      </c>
      <c r="F178" s="50">
        <f>VLOOKUP($A178,'Data shares'!$C:$FB,69)*100</f>
        <v>126.91</v>
      </c>
      <c r="G178" s="49">
        <f>VLOOKUP($A178,'Data shares'!$C:$FB,42)</f>
        <v>6743025</v>
      </c>
      <c r="H178" s="49">
        <f>VLOOKUP($A178,'Data shares'!$C:$FB,43)</f>
        <v>2879600</v>
      </c>
      <c r="I178" s="50">
        <f>VLOOKUP($A178,'Data shares'!$C:$FB,45)*100</f>
        <v>134.16999999999999</v>
      </c>
      <c r="J178" s="49">
        <f>VLOOKUP($A178,'Data shares'!$C:$FB,58)</f>
        <v>4509725</v>
      </c>
      <c r="K178" s="49">
        <f>VLOOKUP($A178,'Data shares'!$C:$FB,59)</f>
        <v>2396600</v>
      </c>
      <c r="L178" s="50">
        <f>VLOOKUP($A178,'Data shares'!$C:$FB,61)*100</f>
        <v>88.17</v>
      </c>
      <c r="M178" s="49">
        <f>VLOOKUP($A178,'Data shares'!$C:$FB,62)</f>
        <v>3098100</v>
      </c>
      <c r="N178" s="49">
        <f>VLOOKUP($A178,'Data shares'!$C:$FB,63)</f>
        <v>1048225</v>
      </c>
      <c r="O178" s="140">
        <f>VLOOKUP($A178,'Data shares'!$C:$FB,65)*100</f>
        <v>195.56</v>
      </c>
    </row>
    <row r="179" spans="1:15" x14ac:dyDescent="0.25">
      <c r="A179" s="101" t="str">
        <f>'Data Vlaue (Cr)'!C174</f>
        <v>PRESTIGE</v>
      </c>
      <c r="B179" s="50">
        <f>VLOOKUP($A179,'Data shares'!$C:$FB,7)</f>
        <v>1356.8</v>
      </c>
      <c r="C179" s="50">
        <f>VLOOKUP($A179,'Data shares'!$C:$FB,10)*100</f>
        <v>1.41</v>
      </c>
      <c r="D179" s="49">
        <f>VLOOKUP($A179,'Data shares'!$C:$FB,66)</f>
        <v>4607550</v>
      </c>
      <c r="E179" s="49">
        <f>VLOOKUP($A179,'Data shares'!$C:$FB,67)</f>
        <v>4872600</v>
      </c>
      <c r="F179" s="50">
        <f>VLOOKUP($A179,'Data shares'!$C:$FB,69)*100</f>
        <v>-5.4399999999999995</v>
      </c>
      <c r="G179" s="49">
        <f>VLOOKUP($A179,'Data shares'!$C:$FB,42)</f>
        <v>1077300</v>
      </c>
      <c r="H179" s="49">
        <f>VLOOKUP($A179,'Data shares'!$C:$FB,43)</f>
        <v>850500</v>
      </c>
      <c r="I179" s="50">
        <f>VLOOKUP($A179,'Data shares'!$C:$FB,45)*100</f>
        <v>26.669999999999998</v>
      </c>
      <c r="J179" s="49">
        <f>VLOOKUP($A179,'Data shares'!$C:$FB,58)</f>
        <v>2472300</v>
      </c>
      <c r="K179" s="49">
        <f>VLOOKUP($A179,'Data shares'!$C:$FB,59)</f>
        <v>2425950</v>
      </c>
      <c r="L179" s="50">
        <f>VLOOKUP($A179,'Data shares'!$C:$FB,61)*100</f>
        <v>1.91</v>
      </c>
      <c r="M179" s="49">
        <f>VLOOKUP($A179,'Data shares'!$C:$FB,62)</f>
        <v>1057950</v>
      </c>
      <c r="N179" s="49">
        <f>VLOOKUP($A179,'Data shares'!$C:$FB,63)</f>
        <v>1596150</v>
      </c>
      <c r="O179" s="140">
        <f>VLOOKUP($A179,'Data shares'!$C:$FB,65)*100</f>
        <v>-33.72</v>
      </c>
    </row>
    <row r="180" spans="1:15" x14ac:dyDescent="0.25">
      <c r="A180" s="101" t="str">
        <f>'Data Vlaue (Cr)'!C175</f>
        <v>RBLBANK</v>
      </c>
      <c r="B180" s="50">
        <f>VLOOKUP($A180,'Data shares'!$C:$FB,7)</f>
        <v>315.55</v>
      </c>
      <c r="C180" s="50">
        <f>VLOOKUP($A180,'Data shares'!$C:$FB,10)*100</f>
        <v>-0.11</v>
      </c>
      <c r="D180" s="49">
        <f>VLOOKUP($A180,'Data shares'!$C:$FB,66)</f>
        <v>55679975</v>
      </c>
      <c r="E180" s="49">
        <f>VLOOKUP($A180,'Data shares'!$C:$FB,67)</f>
        <v>46662975</v>
      </c>
      <c r="F180" s="50">
        <f>VLOOKUP($A180,'Data shares'!$C:$FB,69)*100</f>
        <v>19.32</v>
      </c>
      <c r="G180" s="49">
        <f>VLOOKUP($A180,'Data shares'!$C:$FB,42)</f>
        <v>7807325</v>
      </c>
      <c r="H180" s="49">
        <f>VLOOKUP($A180,'Data shares'!$C:$FB,43)</f>
        <v>9350375</v>
      </c>
      <c r="I180" s="50">
        <f>VLOOKUP($A180,'Data shares'!$C:$FB,45)*100</f>
        <v>-16.5</v>
      </c>
      <c r="J180" s="49">
        <f>VLOOKUP($A180,'Data shares'!$C:$FB,58)</f>
        <v>34442400</v>
      </c>
      <c r="K180" s="49">
        <f>VLOOKUP($A180,'Data shares'!$C:$FB,59)</f>
        <v>23698200</v>
      </c>
      <c r="L180" s="50">
        <f>VLOOKUP($A180,'Data shares'!$C:$FB,61)*100</f>
        <v>45.34</v>
      </c>
      <c r="M180" s="49">
        <f>VLOOKUP($A180,'Data shares'!$C:$FB,62)</f>
        <v>13430250</v>
      </c>
      <c r="N180" s="49">
        <f>VLOOKUP($A180,'Data shares'!$C:$FB,63)</f>
        <v>13614400</v>
      </c>
      <c r="O180" s="140">
        <f>VLOOKUP($A180,'Data shares'!$C:$FB,65)*100</f>
        <v>-1.35</v>
      </c>
    </row>
    <row r="181" spans="1:15" x14ac:dyDescent="0.25">
      <c r="A181" s="101" t="str">
        <f>'Data Vlaue (Cr)'!C176</f>
        <v>RECLTD</v>
      </c>
      <c r="B181" s="50">
        <f>VLOOKUP($A181,'Data shares'!$C:$FB,7)</f>
        <v>373.3</v>
      </c>
      <c r="C181" s="50">
        <f>VLOOKUP($A181,'Data shares'!$C:$FB,10)*100</f>
        <v>2.5</v>
      </c>
      <c r="D181" s="49">
        <f>VLOOKUP($A181,'Data shares'!$C:$FB,66)</f>
        <v>102711000</v>
      </c>
      <c r="E181" s="49">
        <f>VLOOKUP($A181,'Data shares'!$C:$FB,67)</f>
        <v>170258200</v>
      </c>
      <c r="F181" s="50">
        <f>VLOOKUP($A181,'Data shares'!$C:$FB,69)*100</f>
        <v>-39.67</v>
      </c>
      <c r="G181" s="49">
        <f>VLOOKUP($A181,'Data shares'!$C:$FB,42)</f>
        <v>15696800</v>
      </c>
      <c r="H181" s="49">
        <f>VLOOKUP($A181,'Data shares'!$C:$FB,43)</f>
        <v>16634800</v>
      </c>
      <c r="I181" s="50">
        <f>VLOOKUP($A181,'Data shares'!$C:$FB,45)*100</f>
        <v>-5.64</v>
      </c>
      <c r="J181" s="49">
        <f>VLOOKUP($A181,'Data shares'!$C:$FB,58)</f>
        <v>54629400</v>
      </c>
      <c r="K181" s="49">
        <f>VLOOKUP($A181,'Data shares'!$C:$FB,59)</f>
        <v>108798200</v>
      </c>
      <c r="L181" s="50">
        <f>VLOOKUP($A181,'Data shares'!$C:$FB,61)*100</f>
        <v>-49.79</v>
      </c>
      <c r="M181" s="49">
        <f>VLOOKUP($A181,'Data shares'!$C:$FB,62)</f>
        <v>32384800</v>
      </c>
      <c r="N181" s="49">
        <f>VLOOKUP($A181,'Data shares'!$C:$FB,63)</f>
        <v>44825200</v>
      </c>
      <c r="O181" s="140">
        <f>VLOOKUP($A181,'Data shares'!$C:$FB,65)*100</f>
        <v>-27.750000000000004</v>
      </c>
    </row>
    <row r="182" spans="1:15" x14ac:dyDescent="0.25">
      <c r="A182" s="101" t="str">
        <f>'Data Vlaue (Cr)'!C177</f>
        <v>RELIANCE</v>
      </c>
      <c r="B182" s="50">
        <f>VLOOKUP($A182,'Data shares'!$C:$FB,7)</f>
        <v>1365</v>
      </c>
      <c r="C182" s="50">
        <f>VLOOKUP($A182,'Data shares'!$C:$FB,10)*100</f>
        <v>1.6199999999999999</v>
      </c>
      <c r="D182" s="49">
        <f>VLOOKUP($A182,'Data shares'!$C:$FB,66)</f>
        <v>166007000</v>
      </c>
      <c r="E182" s="49">
        <f>VLOOKUP($A182,'Data shares'!$C:$FB,67)</f>
        <v>119887500</v>
      </c>
      <c r="F182" s="50">
        <f>VLOOKUP($A182,'Data shares'!$C:$FB,69)*100</f>
        <v>38.47</v>
      </c>
      <c r="G182" s="49">
        <f>VLOOKUP($A182,'Data shares'!$C:$FB,42)</f>
        <v>13348500</v>
      </c>
      <c r="H182" s="49">
        <f>VLOOKUP($A182,'Data shares'!$C:$FB,43)</f>
        <v>15707000</v>
      </c>
      <c r="I182" s="50">
        <f>VLOOKUP($A182,'Data shares'!$C:$FB,45)*100</f>
        <v>-15.02</v>
      </c>
      <c r="J182" s="49">
        <f>VLOOKUP($A182,'Data shares'!$C:$FB,58)</f>
        <v>103088000</v>
      </c>
      <c r="K182" s="49">
        <f>VLOOKUP($A182,'Data shares'!$C:$FB,59)</f>
        <v>68833500</v>
      </c>
      <c r="L182" s="50">
        <f>VLOOKUP($A182,'Data shares'!$C:$FB,61)*100</f>
        <v>49.76</v>
      </c>
      <c r="M182" s="49">
        <f>VLOOKUP($A182,'Data shares'!$C:$FB,62)</f>
        <v>49570500</v>
      </c>
      <c r="N182" s="49">
        <f>VLOOKUP($A182,'Data shares'!$C:$FB,63)</f>
        <v>35347000</v>
      </c>
      <c r="O182" s="140">
        <f>VLOOKUP($A182,'Data shares'!$C:$FB,65)*100</f>
        <v>40.239999999999995</v>
      </c>
    </row>
    <row r="183" spans="1:15" x14ac:dyDescent="0.25">
      <c r="A183" s="101" t="str">
        <f>'Data Vlaue (Cr)'!C178</f>
        <v>RVNL</v>
      </c>
      <c r="B183" s="50">
        <f>VLOOKUP($A183,'Data shares'!$C:$FB,7)</f>
        <v>303.06</v>
      </c>
      <c r="C183" s="50">
        <f>VLOOKUP($A183,'Data shares'!$C:$FB,10)*100</f>
        <v>3.1199999999999997</v>
      </c>
      <c r="D183" s="49">
        <f>VLOOKUP($A183,'Data shares'!$C:$FB,66)</f>
        <v>180646925</v>
      </c>
      <c r="E183" s="49">
        <f>VLOOKUP($A183,'Data shares'!$C:$FB,67)</f>
        <v>77752125</v>
      </c>
      <c r="F183" s="50">
        <f>VLOOKUP($A183,'Data shares'!$C:$FB,69)*100</f>
        <v>132.34</v>
      </c>
      <c r="G183" s="49">
        <f>VLOOKUP($A183,'Data shares'!$C:$FB,42)</f>
        <v>27189225</v>
      </c>
      <c r="H183" s="49">
        <f>VLOOKUP($A183,'Data shares'!$C:$FB,43)</f>
        <v>15789850</v>
      </c>
      <c r="I183" s="50">
        <f>VLOOKUP($A183,'Data shares'!$C:$FB,45)*100</f>
        <v>72.19</v>
      </c>
      <c r="J183" s="49">
        <f>VLOOKUP($A183,'Data shares'!$C:$FB,58)</f>
        <v>117882500</v>
      </c>
      <c r="K183" s="49">
        <f>VLOOKUP($A183,'Data shares'!$C:$FB,59)</f>
        <v>48308950</v>
      </c>
      <c r="L183" s="50">
        <f>VLOOKUP($A183,'Data shares'!$C:$FB,61)*100</f>
        <v>144.01999999999998</v>
      </c>
      <c r="M183" s="49">
        <f>VLOOKUP($A183,'Data shares'!$C:$FB,62)</f>
        <v>35575200</v>
      </c>
      <c r="N183" s="49">
        <f>VLOOKUP($A183,'Data shares'!$C:$FB,63)</f>
        <v>13653325</v>
      </c>
      <c r="O183" s="140">
        <f>VLOOKUP($A183,'Data shares'!$C:$FB,65)*100</f>
        <v>160.56</v>
      </c>
    </row>
    <row r="184" spans="1:15" x14ac:dyDescent="0.25">
      <c r="A184" s="101" t="str">
        <f>'Data Vlaue (Cr)'!C179</f>
        <v>SAIL</v>
      </c>
      <c r="B184" s="50">
        <f>VLOOKUP($A184,'Data shares'!$C:$FB,7)</f>
        <v>173.33</v>
      </c>
      <c r="C184" s="50">
        <f>VLOOKUP($A184,'Data shares'!$C:$FB,10)*100</f>
        <v>1.17</v>
      </c>
      <c r="D184" s="49">
        <f>VLOOKUP($A184,'Data shares'!$C:$FB,66)</f>
        <v>3149000</v>
      </c>
      <c r="E184" s="49">
        <f>VLOOKUP($A184,'Data shares'!$C:$FB,67)</f>
        <v>4361600</v>
      </c>
      <c r="F184" s="50">
        <f>VLOOKUP($A184,'Data shares'!$C:$FB,69)*100</f>
        <v>-27.800000000000004</v>
      </c>
      <c r="G184" s="49">
        <f>VLOOKUP($A184,'Data shares'!$C:$FB,42)</f>
        <v>2293600</v>
      </c>
      <c r="H184" s="49">
        <f>VLOOKUP($A184,'Data shares'!$C:$FB,43)</f>
        <v>3529700</v>
      </c>
      <c r="I184" s="50">
        <f>VLOOKUP($A184,'Data shares'!$C:$FB,45)*100</f>
        <v>-35.020000000000003</v>
      </c>
      <c r="J184" s="49">
        <f>VLOOKUP($A184,'Data shares'!$C:$FB,58)</f>
        <v>559300</v>
      </c>
      <c r="K184" s="49">
        <f>VLOOKUP($A184,'Data shares'!$C:$FB,59)</f>
        <v>643900</v>
      </c>
      <c r="L184" s="50">
        <f>VLOOKUP($A184,'Data shares'!$C:$FB,61)*100</f>
        <v>-13.139999999999999</v>
      </c>
      <c r="M184" s="49">
        <f>VLOOKUP($A184,'Data shares'!$C:$FB,62)</f>
        <v>296100</v>
      </c>
      <c r="N184" s="49">
        <f>VLOOKUP($A184,'Data shares'!$C:$FB,63)</f>
        <v>188000</v>
      </c>
      <c r="O184" s="140">
        <f>VLOOKUP($A184,'Data shares'!$C:$FB,65)*100</f>
        <v>57.499999999999993</v>
      </c>
    </row>
    <row r="185" spans="1:15" x14ac:dyDescent="0.25">
      <c r="A185" s="101" t="str">
        <f>'Data Vlaue (Cr)'!C180</f>
        <v>SAMMAANCAP</v>
      </c>
      <c r="B185" s="50">
        <f>VLOOKUP($A185,'Data shares'!$C:$FB,7)</f>
        <v>154.53</v>
      </c>
      <c r="C185" s="50">
        <f>VLOOKUP($A185,'Data shares'!$C:$FB,10)*100</f>
        <v>-0.27999999999999997</v>
      </c>
      <c r="D185" s="49">
        <f>VLOOKUP($A185,'Data shares'!$C:$FB,66)</f>
        <v>2171500</v>
      </c>
      <c r="E185" s="49">
        <f>VLOOKUP($A185,'Data shares'!$C:$FB,67)</f>
        <v>2614400</v>
      </c>
      <c r="F185" s="50">
        <f>VLOOKUP($A185,'Data shares'!$C:$FB,69)*100</f>
        <v>-16.939999999999998</v>
      </c>
      <c r="G185" s="49">
        <f>VLOOKUP($A185,'Data shares'!$C:$FB,42)</f>
        <v>1849000</v>
      </c>
      <c r="H185" s="49">
        <f>VLOOKUP($A185,'Data shares'!$C:$FB,43)</f>
        <v>1225500</v>
      </c>
      <c r="I185" s="50">
        <f>VLOOKUP($A185,'Data shares'!$C:$FB,45)*100</f>
        <v>50.88</v>
      </c>
      <c r="J185" s="49">
        <f>VLOOKUP($A185,'Data shares'!$C:$FB,58)</f>
        <v>163400</v>
      </c>
      <c r="K185" s="49">
        <f>VLOOKUP($A185,'Data shares'!$C:$FB,59)</f>
        <v>726700</v>
      </c>
      <c r="L185" s="50">
        <f>VLOOKUP($A185,'Data shares'!$C:$FB,61)*100</f>
        <v>-77.510000000000005</v>
      </c>
      <c r="M185" s="49">
        <f>VLOOKUP($A185,'Data shares'!$C:$FB,62)</f>
        <v>159100</v>
      </c>
      <c r="N185" s="49">
        <f>VLOOKUP($A185,'Data shares'!$C:$FB,63)</f>
        <v>662200</v>
      </c>
      <c r="O185" s="140">
        <f>VLOOKUP($A185,'Data shares'!$C:$FB,65)*100</f>
        <v>-75.97</v>
      </c>
    </row>
    <row r="186" spans="1:15" x14ac:dyDescent="0.25">
      <c r="A186" s="101" t="str">
        <f>'Data Vlaue (Cr)'!C181</f>
        <v>SBICARD</v>
      </c>
      <c r="B186" s="50">
        <f>VLOOKUP($A186,'Data shares'!$C:$FB,7)</f>
        <v>695.2</v>
      </c>
      <c r="C186" s="50">
        <f>VLOOKUP($A186,'Data shares'!$C:$FB,10)*100</f>
        <v>1.4000000000000001</v>
      </c>
      <c r="D186" s="49">
        <f>VLOOKUP($A186,'Data shares'!$C:$FB,66)</f>
        <v>12296000</v>
      </c>
      <c r="E186" s="49">
        <f>VLOOKUP($A186,'Data shares'!$C:$FB,67)</f>
        <v>10966400</v>
      </c>
      <c r="F186" s="50">
        <f>VLOOKUP($A186,'Data shares'!$C:$FB,69)*100</f>
        <v>12.120000000000001</v>
      </c>
      <c r="G186" s="49">
        <f>VLOOKUP($A186,'Data shares'!$C:$FB,42)</f>
        <v>4532800</v>
      </c>
      <c r="H186" s="49">
        <f>VLOOKUP($A186,'Data shares'!$C:$FB,43)</f>
        <v>4209600</v>
      </c>
      <c r="I186" s="50">
        <f>VLOOKUP($A186,'Data shares'!$C:$FB,45)*100</f>
        <v>7.68</v>
      </c>
      <c r="J186" s="49">
        <f>VLOOKUP($A186,'Data shares'!$C:$FB,58)</f>
        <v>4957600</v>
      </c>
      <c r="K186" s="49">
        <f>VLOOKUP($A186,'Data shares'!$C:$FB,59)</f>
        <v>3958400</v>
      </c>
      <c r="L186" s="50">
        <f>VLOOKUP($A186,'Data shares'!$C:$FB,61)*100</f>
        <v>25.240000000000002</v>
      </c>
      <c r="M186" s="49">
        <f>VLOOKUP($A186,'Data shares'!$C:$FB,62)</f>
        <v>2805600</v>
      </c>
      <c r="N186" s="49">
        <f>VLOOKUP($A186,'Data shares'!$C:$FB,63)</f>
        <v>2798400</v>
      </c>
      <c r="O186" s="140">
        <f>VLOOKUP($A186,'Data shares'!$C:$FB,65)*100</f>
        <v>0.26</v>
      </c>
    </row>
    <row r="187" spans="1:15" x14ac:dyDescent="0.25">
      <c r="A187" s="101" t="str">
        <f>'Data Vlaue (Cr)'!C182</f>
        <v>SBILIFE</v>
      </c>
      <c r="B187" s="50">
        <f>VLOOKUP($A187,'Data shares'!$C:$FB,7)</f>
        <v>1970.9</v>
      </c>
      <c r="C187" s="50">
        <f>VLOOKUP($A187,'Data shares'!$C:$FB,10)*100</f>
        <v>-0.19</v>
      </c>
      <c r="D187" s="49">
        <f>VLOOKUP($A187,'Data shares'!$C:$FB,66)</f>
        <v>4383000</v>
      </c>
      <c r="E187" s="49">
        <f>VLOOKUP($A187,'Data shares'!$C:$FB,67)</f>
        <v>5213250</v>
      </c>
      <c r="F187" s="50">
        <f>VLOOKUP($A187,'Data shares'!$C:$FB,69)*100</f>
        <v>-15.93</v>
      </c>
      <c r="G187" s="49">
        <f>VLOOKUP($A187,'Data shares'!$C:$FB,42)</f>
        <v>666375</v>
      </c>
      <c r="H187" s="49">
        <f>VLOOKUP($A187,'Data shares'!$C:$FB,43)</f>
        <v>1626750</v>
      </c>
      <c r="I187" s="50">
        <f>VLOOKUP($A187,'Data shares'!$C:$FB,45)*100</f>
        <v>-59.040000000000006</v>
      </c>
      <c r="J187" s="49">
        <f>VLOOKUP($A187,'Data shares'!$C:$FB,58)</f>
        <v>2588250</v>
      </c>
      <c r="K187" s="49">
        <f>VLOOKUP($A187,'Data shares'!$C:$FB,59)</f>
        <v>2251875</v>
      </c>
      <c r="L187" s="50">
        <f>VLOOKUP($A187,'Data shares'!$C:$FB,61)*100</f>
        <v>14.940000000000001</v>
      </c>
      <c r="M187" s="49">
        <f>VLOOKUP($A187,'Data shares'!$C:$FB,62)</f>
        <v>1128375</v>
      </c>
      <c r="N187" s="49">
        <f>VLOOKUP($A187,'Data shares'!$C:$FB,63)</f>
        <v>1334625</v>
      </c>
      <c r="O187" s="140">
        <f>VLOOKUP($A187,'Data shares'!$C:$FB,65)*100</f>
        <v>-15.45</v>
      </c>
    </row>
    <row r="188" spans="1:15" x14ac:dyDescent="0.25">
      <c r="A188" s="101" t="str">
        <f>'Data Vlaue (Cr)'!C183</f>
        <v>SBIN</v>
      </c>
      <c r="B188" s="50">
        <f>VLOOKUP($A188,'Data shares'!$C:$FB,7)</f>
        <v>1080.25</v>
      </c>
      <c r="C188" s="50">
        <f>VLOOKUP($A188,'Data shares'!$C:$FB,10)*100</f>
        <v>1.23</v>
      </c>
      <c r="D188" s="49">
        <f>VLOOKUP($A188,'Data shares'!$C:$FB,66)</f>
        <v>104343750</v>
      </c>
      <c r="E188" s="49">
        <f>VLOOKUP($A188,'Data shares'!$C:$FB,67)</f>
        <v>85534500</v>
      </c>
      <c r="F188" s="50">
        <f>VLOOKUP($A188,'Data shares'!$C:$FB,69)*100</f>
        <v>21.990000000000002</v>
      </c>
      <c r="G188" s="49">
        <f>VLOOKUP($A188,'Data shares'!$C:$FB,42)</f>
        <v>12119250</v>
      </c>
      <c r="H188" s="49">
        <f>VLOOKUP($A188,'Data shares'!$C:$FB,43)</f>
        <v>11087250</v>
      </c>
      <c r="I188" s="50">
        <f>VLOOKUP($A188,'Data shares'!$C:$FB,45)*100</f>
        <v>9.31</v>
      </c>
      <c r="J188" s="49">
        <f>VLOOKUP($A188,'Data shares'!$C:$FB,58)</f>
        <v>57024000</v>
      </c>
      <c r="K188" s="49">
        <f>VLOOKUP($A188,'Data shares'!$C:$FB,59)</f>
        <v>45171750</v>
      </c>
      <c r="L188" s="50">
        <f>VLOOKUP($A188,'Data shares'!$C:$FB,61)*100</f>
        <v>26.240000000000002</v>
      </c>
      <c r="M188" s="49">
        <f>VLOOKUP($A188,'Data shares'!$C:$FB,62)</f>
        <v>35200500</v>
      </c>
      <c r="N188" s="49">
        <f>VLOOKUP($A188,'Data shares'!$C:$FB,63)</f>
        <v>29275500</v>
      </c>
      <c r="O188" s="140">
        <f>VLOOKUP($A188,'Data shares'!$C:$FB,65)*100</f>
        <v>20.239999999999998</v>
      </c>
    </row>
    <row r="189" spans="1:15" x14ac:dyDescent="0.25">
      <c r="A189" s="101" t="str">
        <f>'Data Vlaue (Cr)'!C184</f>
        <v>SHREECEM</v>
      </c>
      <c r="B189" s="50">
        <f>VLOOKUP($A189,'Data shares'!$C:$FB,7)</f>
        <v>25290</v>
      </c>
      <c r="C189" s="50">
        <f>VLOOKUP($A189,'Data shares'!$C:$FB,10)*100</f>
        <v>0.72</v>
      </c>
      <c r="D189" s="49">
        <f>VLOOKUP($A189,'Data shares'!$C:$FB,66)</f>
        <v>64625</v>
      </c>
      <c r="E189" s="49">
        <f>VLOOKUP($A189,'Data shares'!$C:$FB,67)</f>
        <v>77875</v>
      </c>
      <c r="F189" s="50">
        <f>VLOOKUP($A189,'Data shares'!$C:$FB,69)*100</f>
        <v>-17.010000000000002</v>
      </c>
      <c r="G189" s="49">
        <f>VLOOKUP($A189,'Data shares'!$C:$FB,42)</f>
        <v>26700</v>
      </c>
      <c r="H189" s="49">
        <f>VLOOKUP($A189,'Data shares'!$C:$FB,43)</f>
        <v>31375</v>
      </c>
      <c r="I189" s="50">
        <f>VLOOKUP($A189,'Data shares'!$C:$FB,45)*100</f>
        <v>-14.899999999999999</v>
      </c>
      <c r="J189" s="49">
        <f>VLOOKUP($A189,'Data shares'!$C:$FB,58)</f>
        <v>31725</v>
      </c>
      <c r="K189" s="49">
        <f>VLOOKUP($A189,'Data shares'!$C:$FB,59)</f>
        <v>34150</v>
      </c>
      <c r="L189" s="50">
        <f>VLOOKUP($A189,'Data shares'!$C:$FB,61)*100</f>
        <v>-7.1</v>
      </c>
      <c r="M189" s="49">
        <f>VLOOKUP($A189,'Data shares'!$C:$FB,62)</f>
        <v>6200</v>
      </c>
      <c r="N189" s="49">
        <f>VLOOKUP($A189,'Data shares'!$C:$FB,63)</f>
        <v>12350</v>
      </c>
      <c r="O189" s="140">
        <f>VLOOKUP($A189,'Data shares'!$C:$FB,65)*100</f>
        <v>-49.8</v>
      </c>
    </row>
    <row r="190" spans="1:15" x14ac:dyDescent="0.25">
      <c r="A190" s="101" t="str">
        <f>'Data Vlaue (Cr)'!C185</f>
        <v>SHRIRAMFIN</v>
      </c>
      <c r="B190" s="50">
        <f>VLOOKUP($A190,'Data shares'!$C:$FB,7)</f>
        <v>1036.95</v>
      </c>
      <c r="C190" s="50">
        <f>VLOOKUP($A190,'Data shares'!$C:$FB,10)*100</f>
        <v>1.39</v>
      </c>
      <c r="D190" s="49">
        <f>VLOOKUP($A190,'Data shares'!$C:$FB,66)</f>
        <v>25090725</v>
      </c>
      <c r="E190" s="49">
        <f>VLOOKUP($A190,'Data shares'!$C:$FB,67)</f>
        <v>27530250</v>
      </c>
      <c r="F190" s="50">
        <f>VLOOKUP($A190,'Data shares'!$C:$FB,69)*100</f>
        <v>-8.86</v>
      </c>
      <c r="G190" s="49">
        <f>VLOOKUP($A190,'Data shares'!$C:$FB,42)</f>
        <v>5782425</v>
      </c>
      <c r="H190" s="49">
        <f>VLOOKUP($A190,'Data shares'!$C:$FB,43)</f>
        <v>7688175</v>
      </c>
      <c r="I190" s="50">
        <f>VLOOKUP($A190,'Data shares'!$C:$FB,45)*100</f>
        <v>-24.79</v>
      </c>
      <c r="J190" s="49">
        <f>VLOOKUP($A190,'Data shares'!$C:$FB,58)</f>
        <v>13279200</v>
      </c>
      <c r="K190" s="49">
        <f>VLOOKUP($A190,'Data shares'!$C:$FB,59)</f>
        <v>12747900</v>
      </c>
      <c r="L190" s="50">
        <f>VLOOKUP($A190,'Data shares'!$C:$FB,61)*100</f>
        <v>4.17</v>
      </c>
      <c r="M190" s="49">
        <f>VLOOKUP($A190,'Data shares'!$C:$FB,62)</f>
        <v>6029100</v>
      </c>
      <c r="N190" s="49">
        <f>VLOOKUP($A190,'Data shares'!$C:$FB,63)</f>
        <v>7094175</v>
      </c>
      <c r="O190" s="140">
        <f>VLOOKUP($A190,'Data shares'!$C:$FB,65)*100</f>
        <v>-15.010000000000002</v>
      </c>
    </row>
    <row r="191" spans="1:15" x14ac:dyDescent="0.25">
      <c r="A191" s="101" t="str">
        <f>'Data Vlaue (Cr)'!C186</f>
        <v>SIEMENS</v>
      </c>
      <c r="B191" s="50">
        <f>VLOOKUP($A191,'Data shares'!$C:$FB,7)</f>
        <v>3707.9</v>
      </c>
      <c r="C191" s="50">
        <f>VLOOKUP($A191,'Data shares'!$C:$FB,10)*100</f>
        <v>4.04</v>
      </c>
      <c r="D191" s="49">
        <f>VLOOKUP($A191,'Data shares'!$C:$FB,66)</f>
        <v>14361900</v>
      </c>
      <c r="E191" s="49">
        <f>VLOOKUP($A191,'Data shares'!$C:$FB,67)</f>
        <v>9171575</v>
      </c>
      <c r="F191" s="50">
        <f>VLOOKUP($A191,'Data shares'!$C:$FB,69)*100</f>
        <v>56.589999999999996</v>
      </c>
      <c r="G191" s="49">
        <f>VLOOKUP($A191,'Data shares'!$C:$FB,42)</f>
        <v>1145025</v>
      </c>
      <c r="H191" s="49">
        <f>VLOOKUP($A191,'Data shares'!$C:$FB,43)</f>
        <v>1157975</v>
      </c>
      <c r="I191" s="50">
        <f>VLOOKUP($A191,'Data shares'!$C:$FB,45)*100</f>
        <v>-1.1199999999999999</v>
      </c>
      <c r="J191" s="49">
        <f>VLOOKUP($A191,'Data shares'!$C:$FB,58)</f>
        <v>9022475</v>
      </c>
      <c r="K191" s="49">
        <f>VLOOKUP($A191,'Data shares'!$C:$FB,59)</f>
        <v>5378275</v>
      </c>
      <c r="L191" s="50">
        <f>VLOOKUP($A191,'Data shares'!$C:$FB,61)*100</f>
        <v>67.759999999999991</v>
      </c>
      <c r="M191" s="49">
        <f>VLOOKUP($A191,'Data shares'!$C:$FB,62)</f>
        <v>4194400</v>
      </c>
      <c r="N191" s="49">
        <f>VLOOKUP($A191,'Data shares'!$C:$FB,63)</f>
        <v>2635325</v>
      </c>
      <c r="O191" s="140">
        <f>VLOOKUP($A191,'Data shares'!$C:$FB,65)*100</f>
        <v>59.160000000000004</v>
      </c>
    </row>
    <row r="192" spans="1:15" x14ac:dyDescent="0.25">
      <c r="A192" s="101" t="str">
        <f>'Data Vlaue (Cr)'!C187</f>
        <v>SOLARINDS</v>
      </c>
      <c r="B192" s="50">
        <f>VLOOKUP($A192,'Data shares'!$C:$FB,7)</f>
        <v>15089</v>
      </c>
      <c r="C192" s="50">
        <f>VLOOKUP($A192,'Data shares'!$C:$FB,10)*100</f>
        <v>0.66</v>
      </c>
      <c r="D192" s="49">
        <f>VLOOKUP($A192,'Data shares'!$C:$FB,66)</f>
        <v>1286750</v>
      </c>
      <c r="E192" s="49">
        <f>VLOOKUP($A192,'Data shares'!$C:$FB,67)</f>
        <v>908850</v>
      </c>
      <c r="F192" s="50">
        <f>VLOOKUP($A192,'Data shares'!$C:$FB,69)*100</f>
        <v>41.58</v>
      </c>
      <c r="G192" s="49">
        <f>VLOOKUP($A192,'Data shares'!$C:$FB,42)</f>
        <v>124900</v>
      </c>
      <c r="H192" s="49">
        <f>VLOOKUP($A192,'Data shares'!$C:$FB,43)</f>
        <v>140650</v>
      </c>
      <c r="I192" s="50">
        <f>VLOOKUP($A192,'Data shares'!$C:$FB,45)*100</f>
        <v>-11.200000000000001</v>
      </c>
      <c r="J192" s="49">
        <f>VLOOKUP($A192,'Data shares'!$C:$FB,58)</f>
        <v>313300</v>
      </c>
      <c r="K192" s="49">
        <f>VLOOKUP($A192,'Data shares'!$C:$FB,59)</f>
        <v>493450</v>
      </c>
      <c r="L192" s="50">
        <f>VLOOKUP($A192,'Data shares'!$C:$FB,61)*100</f>
        <v>-36.51</v>
      </c>
      <c r="M192" s="49">
        <f>VLOOKUP($A192,'Data shares'!$C:$FB,62)</f>
        <v>848550</v>
      </c>
      <c r="N192" s="49">
        <f>VLOOKUP($A192,'Data shares'!$C:$FB,63)</f>
        <v>274750</v>
      </c>
      <c r="O192" s="140">
        <f>VLOOKUP($A192,'Data shares'!$C:$FB,65)*100</f>
        <v>208.84</v>
      </c>
    </row>
    <row r="193" spans="1:15" x14ac:dyDescent="0.25">
      <c r="A193" s="101" t="str">
        <f>'Data Vlaue (Cr)'!C188</f>
        <v>SONACOMS</v>
      </c>
      <c r="B193" s="50">
        <f>VLOOKUP($A193,'Data shares'!$C:$FB,7)</f>
        <v>593.85</v>
      </c>
      <c r="C193" s="50">
        <f>VLOOKUP($A193,'Data shares'!$C:$FB,10)*100</f>
        <v>2.2399999999999998</v>
      </c>
      <c r="D193" s="49">
        <f>VLOOKUP($A193,'Data shares'!$C:$FB,66)</f>
        <v>17935225</v>
      </c>
      <c r="E193" s="49">
        <f>VLOOKUP($A193,'Data shares'!$C:$FB,67)</f>
        <v>9394525</v>
      </c>
      <c r="F193" s="50">
        <f>VLOOKUP($A193,'Data shares'!$C:$FB,69)*100</f>
        <v>90.91</v>
      </c>
      <c r="G193" s="49">
        <f>VLOOKUP($A193,'Data shares'!$C:$FB,42)</f>
        <v>3994725</v>
      </c>
      <c r="H193" s="49">
        <f>VLOOKUP($A193,'Data shares'!$C:$FB,43)</f>
        <v>3175200</v>
      </c>
      <c r="I193" s="50">
        <f>VLOOKUP($A193,'Data shares'!$C:$FB,45)*100</f>
        <v>25.81</v>
      </c>
      <c r="J193" s="49">
        <f>VLOOKUP($A193,'Data shares'!$C:$FB,58)</f>
        <v>10296125</v>
      </c>
      <c r="K193" s="49">
        <f>VLOOKUP($A193,'Data shares'!$C:$FB,59)</f>
        <v>4030250</v>
      </c>
      <c r="L193" s="50">
        <f>VLOOKUP($A193,'Data shares'!$C:$FB,61)*100</f>
        <v>155.47</v>
      </c>
      <c r="M193" s="49">
        <f>VLOOKUP($A193,'Data shares'!$C:$FB,62)</f>
        <v>3644375</v>
      </c>
      <c r="N193" s="49">
        <f>VLOOKUP($A193,'Data shares'!$C:$FB,63)</f>
        <v>2189075</v>
      </c>
      <c r="O193" s="140">
        <f>VLOOKUP($A193,'Data shares'!$C:$FB,65)*100</f>
        <v>66.47999999999999</v>
      </c>
    </row>
    <row r="194" spans="1:15" x14ac:dyDescent="0.25">
      <c r="A194" s="101" t="str">
        <f>'Data Vlaue (Cr)'!C189</f>
        <v>SRF</v>
      </c>
      <c r="B194" s="50">
        <f>VLOOKUP($A194,'Data shares'!$C:$FB,7)</f>
        <v>2494.5</v>
      </c>
      <c r="C194" s="50">
        <f>VLOOKUP($A194,'Data shares'!$C:$FB,10)*100</f>
        <v>-0.38</v>
      </c>
      <c r="D194" s="49">
        <f>VLOOKUP($A194,'Data shares'!$C:$FB,66)</f>
        <v>4218200</v>
      </c>
      <c r="E194" s="49">
        <f>VLOOKUP($A194,'Data shares'!$C:$FB,67)</f>
        <v>3003800</v>
      </c>
      <c r="F194" s="50">
        <f>VLOOKUP($A194,'Data shares'!$C:$FB,69)*100</f>
        <v>40.43</v>
      </c>
      <c r="G194" s="49">
        <f>VLOOKUP($A194,'Data shares'!$C:$FB,42)</f>
        <v>710800</v>
      </c>
      <c r="H194" s="49">
        <f>VLOOKUP($A194,'Data shares'!$C:$FB,43)</f>
        <v>533200</v>
      </c>
      <c r="I194" s="50">
        <f>VLOOKUP($A194,'Data shares'!$C:$FB,45)*100</f>
        <v>33.31</v>
      </c>
      <c r="J194" s="49">
        <f>VLOOKUP($A194,'Data shares'!$C:$FB,58)</f>
        <v>2604400</v>
      </c>
      <c r="K194" s="49">
        <f>VLOOKUP($A194,'Data shares'!$C:$FB,59)</f>
        <v>1867800</v>
      </c>
      <c r="L194" s="50">
        <f>VLOOKUP($A194,'Data shares'!$C:$FB,61)*100</f>
        <v>39.44</v>
      </c>
      <c r="M194" s="49">
        <f>VLOOKUP($A194,'Data shares'!$C:$FB,62)</f>
        <v>903000</v>
      </c>
      <c r="N194" s="49">
        <f>VLOOKUP($A194,'Data shares'!$C:$FB,63)</f>
        <v>602800</v>
      </c>
      <c r="O194" s="140">
        <f>VLOOKUP($A194,'Data shares'!$C:$FB,65)*100</f>
        <v>49.8</v>
      </c>
    </row>
    <row r="195" spans="1:15" x14ac:dyDescent="0.25">
      <c r="A195" s="101" t="str">
        <f>'Data Vlaue (Cr)'!C190</f>
        <v>SUNPHARMA</v>
      </c>
      <c r="B195" s="50">
        <f>VLOOKUP($A195,'Data shares'!$C:$FB,7)</f>
        <v>1675.5</v>
      </c>
      <c r="C195" s="50">
        <f>VLOOKUP($A195,'Data shares'!$C:$FB,10)*100</f>
        <v>-1.04</v>
      </c>
      <c r="D195" s="49">
        <f>VLOOKUP($A195,'Data shares'!$C:$FB,66)</f>
        <v>19776050</v>
      </c>
      <c r="E195" s="49">
        <f>VLOOKUP($A195,'Data shares'!$C:$FB,67)</f>
        <v>32537750</v>
      </c>
      <c r="F195" s="50">
        <f>VLOOKUP($A195,'Data shares'!$C:$FB,69)*100</f>
        <v>-39.22</v>
      </c>
      <c r="G195" s="49">
        <f>VLOOKUP($A195,'Data shares'!$C:$FB,42)</f>
        <v>2747500</v>
      </c>
      <c r="H195" s="49">
        <f>VLOOKUP($A195,'Data shares'!$C:$FB,43)</f>
        <v>4410350</v>
      </c>
      <c r="I195" s="50">
        <f>VLOOKUP($A195,'Data shares'!$C:$FB,45)*100</f>
        <v>-37.700000000000003</v>
      </c>
      <c r="J195" s="49">
        <f>VLOOKUP($A195,'Data shares'!$C:$FB,58)</f>
        <v>9800000</v>
      </c>
      <c r="K195" s="49">
        <f>VLOOKUP($A195,'Data shares'!$C:$FB,59)</f>
        <v>15556450</v>
      </c>
      <c r="L195" s="50">
        <f>VLOOKUP($A195,'Data shares'!$C:$FB,61)*100</f>
        <v>-37</v>
      </c>
      <c r="M195" s="49">
        <f>VLOOKUP($A195,'Data shares'!$C:$FB,62)</f>
        <v>7228550</v>
      </c>
      <c r="N195" s="49">
        <f>VLOOKUP($A195,'Data shares'!$C:$FB,63)</f>
        <v>12570950</v>
      </c>
      <c r="O195" s="140">
        <f>VLOOKUP($A195,'Data shares'!$C:$FB,65)*100</f>
        <v>-42.5</v>
      </c>
    </row>
    <row r="196" spans="1:15" x14ac:dyDescent="0.25">
      <c r="A196" s="101" t="str">
        <f>'Data Vlaue (Cr)'!C191</f>
        <v>SUPREMEIND</v>
      </c>
      <c r="B196" s="50">
        <f>VLOOKUP($A196,'Data shares'!$C:$FB,7)</f>
        <v>3709</v>
      </c>
      <c r="C196" s="50">
        <f>VLOOKUP($A196,'Data shares'!$C:$FB,10)*100</f>
        <v>1.23</v>
      </c>
      <c r="D196" s="49">
        <f>VLOOKUP($A196,'Data shares'!$C:$FB,66)</f>
        <v>2318050</v>
      </c>
      <c r="E196" s="49">
        <f>VLOOKUP($A196,'Data shares'!$C:$FB,67)</f>
        <v>2951025</v>
      </c>
      <c r="F196" s="50">
        <f>VLOOKUP($A196,'Data shares'!$C:$FB,69)*100</f>
        <v>-21.45</v>
      </c>
      <c r="G196" s="49">
        <f>VLOOKUP($A196,'Data shares'!$C:$FB,42)</f>
        <v>758800</v>
      </c>
      <c r="H196" s="49">
        <f>VLOOKUP($A196,'Data shares'!$C:$FB,43)</f>
        <v>604800</v>
      </c>
      <c r="I196" s="50">
        <f>VLOOKUP($A196,'Data shares'!$C:$FB,45)*100</f>
        <v>25.46</v>
      </c>
      <c r="J196" s="49">
        <f>VLOOKUP($A196,'Data shares'!$C:$FB,58)</f>
        <v>1099175</v>
      </c>
      <c r="K196" s="49">
        <f>VLOOKUP($A196,'Data shares'!$C:$FB,59)</f>
        <v>1263675</v>
      </c>
      <c r="L196" s="50">
        <f>VLOOKUP($A196,'Data shares'!$C:$FB,61)*100</f>
        <v>-13.020000000000001</v>
      </c>
      <c r="M196" s="49">
        <f>VLOOKUP($A196,'Data shares'!$C:$FB,62)</f>
        <v>460075</v>
      </c>
      <c r="N196" s="49">
        <f>VLOOKUP($A196,'Data shares'!$C:$FB,63)</f>
        <v>1082550</v>
      </c>
      <c r="O196" s="140">
        <f>VLOOKUP($A196,'Data shares'!$C:$FB,65)*100</f>
        <v>-57.499999999999993</v>
      </c>
    </row>
    <row r="197" spans="1:15" x14ac:dyDescent="0.25">
      <c r="A197" s="101" t="str">
        <f>'Data Vlaue (Cr)'!C192</f>
        <v>SUZLON</v>
      </c>
      <c r="B197" s="50">
        <f>VLOOKUP($A197,'Data shares'!$C:$FB,7)</f>
        <v>52.93</v>
      </c>
      <c r="C197" s="50">
        <f>VLOOKUP($A197,'Data shares'!$C:$FB,10)*100</f>
        <v>5.33</v>
      </c>
      <c r="D197" s="49">
        <f>VLOOKUP($A197,'Data shares'!$C:$FB,66)</f>
        <v>1120544000</v>
      </c>
      <c r="E197" s="49">
        <f>VLOOKUP($A197,'Data shares'!$C:$FB,67)</f>
        <v>596687875</v>
      </c>
      <c r="F197" s="50">
        <f>VLOOKUP($A197,'Data shares'!$C:$FB,69)*100</f>
        <v>87.79</v>
      </c>
      <c r="G197" s="49">
        <f>VLOOKUP($A197,'Data shares'!$C:$FB,42)</f>
        <v>204244775</v>
      </c>
      <c r="H197" s="49">
        <f>VLOOKUP($A197,'Data shares'!$C:$FB,43)</f>
        <v>110339650</v>
      </c>
      <c r="I197" s="50">
        <f>VLOOKUP($A197,'Data shares'!$C:$FB,45)*100</f>
        <v>85.11</v>
      </c>
      <c r="J197" s="49">
        <f>VLOOKUP($A197,'Data shares'!$C:$FB,58)</f>
        <v>623564325</v>
      </c>
      <c r="K197" s="49">
        <f>VLOOKUP($A197,'Data shares'!$C:$FB,59)</f>
        <v>304395200</v>
      </c>
      <c r="L197" s="50">
        <f>VLOOKUP($A197,'Data shares'!$C:$FB,61)*100</f>
        <v>104.85</v>
      </c>
      <c r="M197" s="49">
        <f>VLOOKUP($A197,'Data shares'!$C:$FB,62)</f>
        <v>292734900</v>
      </c>
      <c r="N197" s="49">
        <f>VLOOKUP($A197,'Data shares'!$C:$FB,63)</f>
        <v>181953025</v>
      </c>
      <c r="O197" s="140">
        <f>VLOOKUP($A197,'Data shares'!$C:$FB,65)*100</f>
        <v>60.88</v>
      </c>
    </row>
    <row r="198" spans="1:15" x14ac:dyDescent="0.25">
      <c r="A198" s="101" t="str">
        <f>'Data Vlaue (Cr)'!C193</f>
        <v>SWIGGY</v>
      </c>
      <c r="B198" s="50">
        <f>VLOOKUP($A198,'Data shares'!$C:$FB,7)</f>
        <v>277.45</v>
      </c>
      <c r="C198" s="50">
        <f>VLOOKUP($A198,'Data shares'!$C:$FB,10)*100</f>
        <v>-1.05</v>
      </c>
      <c r="D198" s="49">
        <f>VLOOKUP($A198,'Data shares'!$C:$FB,66)</f>
        <v>32104800</v>
      </c>
      <c r="E198" s="49">
        <f>VLOOKUP($A198,'Data shares'!$C:$FB,67)</f>
        <v>32832800</v>
      </c>
      <c r="F198" s="50">
        <f>VLOOKUP($A198,'Data shares'!$C:$FB,69)*100</f>
        <v>-2.2200000000000002</v>
      </c>
      <c r="G198" s="49">
        <f>VLOOKUP($A198,'Data shares'!$C:$FB,42)</f>
        <v>8244600</v>
      </c>
      <c r="H198" s="49">
        <f>VLOOKUP($A198,'Data shares'!$C:$FB,43)</f>
        <v>7098000</v>
      </c>
      <c r="I198" s="50">
        <f>VLOOKUP($A198,'Data shares'!$C:$FB,45)*100</f>
        <v>16.150000000000002</v>
      </c>
      <c r="J198" s="49">
        <f>VLOOKUP($A198,'Data shares'!$C:$FB,58)</f>
        <v>18175300</v>
      </c>
      <c r="K198" s="49">
        <f>VLOOKUP($A198,'Data shares'!$C:$FB,59)</f>
        <v>19082700</v>
      </c>
      <c r="L198" s="50">
        <f>VLOOKUP($A198,'Data shares'!$C:$FB,61)*100</f>
        <v>-4.7600000000000007</v>
      </c>
      <c r="M198" s="49">
        <f>VLOOKUP($A198,'Data shares'!$C:$FB,62)</f>
        <v>5684900</v>
      </c>
      <c r="N198" s="49">
        <f>VLOOKUP($A198,'Data shares'!$C:$FB,63)</f>
        <v>6652100</v>
      </c>
      <c r="O198" s="140">
        <f>VLOOKUP($A198,'Data shares'!$C:$FB,65)*100</f>
        <v>-14.540000000000001</v>
      </c>
    </row>
    <row r="199" spans="1:15" x14ac:dyDescent="0.25">
      <c r="A199" s="101" t="str">
        <f>'Data Vlaue (Cr)'!C194</f>
        <v>TATACONSUM</v>
      </c>
      <c r="B199" s="50">
        <f>VLOOKUP($A199,'Data shares'!$C:$FB,7)</f>
        <v>1113.2</v>
      </c>
      <c r="C199" s="50">
        <f>VLOOKUP($A199,'Data shares'!$C:$FB,10)*100</f>
        <v>0.96</v>
      </c>
      <c r="D199" s="49">
        <f>VLOOKUP($A199,'Data shares'!$C:$FB,66)</f>
        <v>9319750</v>
      </c>
      <c r="E199" s="49">
        <f>VLOOKUP($A199,'Data shares'!$C:$FB,67)</f>
        <v>4384050</v>
      </c>
      <c r="F199" s="50">
        <f>VLOOKUP($A199,'Data shares'!$C:$FB,69)*100</f>
        <v>112.57999999999998</v>
      </c>
      <c r="G199" s="49">
        <f>VLOOKUP($A199,'Data shares'!$C:$FB,42)</f>
        <v>1689600</v>
      </c>
      <c r="H199" s="49">
        <f>VLOOKUP($A199,'Data shares'!$C:$FB,43)</f>
        <v>1500400</v>
      </c>
      <c r="I199" s="50">
        <f>VLOOKUP($A199,'Data shares'!$C:$FB,45)*100</f>
        <v>12.61</v>
      </c>
      <c r="J199" s="49">
        <f>VLOOKUP($A199,'Data shares'!$C:$FB,58)</f>
        <v>6153400</v>
      </c>
      <c r="K199" s="49">
        <f>VLOOKUP($A199,'Data shares'!$C:$FB,59)</f>
        <v>1874400</v>
      </c>
      <c r="L199" s="50">
        <f>VLOOKUP($A199,'Data shares'!$C:$FB,61)*100</f>
        <v>228.29000000000002</v>
      </c>
      <c r="M199" s="49">
        <f>VLOOKUP($A199,'Data shares'!$C:$FB,62)</f>
        <v>1476750</v>
      </c>
      <c r="N199" s="49">
        <f>VLOOKUP($A199,'Data shares'!$C:$FB,63)</f>
        <v>1009250</v>
      </c>
      <c r="O199" s="140">
        <f>VLOOKUP($A199,'Data shares'!$C:$FB,65)*100</f>
        <v>46.32</v>
      </c>
    </row>
    <row r="200" spans="1:15" x14ac:dyDescent="0.25">
      <c r="A200" s="101" t="str">
        <f>'Data Vlaue (Cr)'!C195</f>
        <v>TATAELXSI</v>
      </c>
      <c r="B200" s="50">
        <f>VLOOKUP($A200,'Data shares'!$C:$FB,7)</f>
        <v>4592.5</v>
      </c>
      <c r="C200" s="50">
        <f>VLOOKUP($A200,'Data shares'!$C:$FB,10)*100</f>
        <v>-0.02</v>
      </c>
      <c r="D200" s="49">
        <f>VLOOKUP($A200,'Data shares'!$C:$FB,66)</f>
        <v>3808100</v>
      </c>
      <c r="E200" s="49">
        <f>VLOOKUP($A200,'Data shares'!$C:$FB,67)</f>
        <v>3065400</v>
      </c>
      <c r="F200" s="50">
        <f>VLOOKUP($A200,'Data shares'!$C:$FB,69)*100</f>
        <v>24.23</v>
      </c>
      <c r="G200" s="49">
        <f>VLOOKUP($A200,'Data shares'!$C:$FB,42)</f>
        <v>517400</v>
      </c>
      <c r="H200" s="49">
        <f>VLOOKUP($A200,'Data shares'!$C:$FB,43)</f>
        <v>629600</v>
      </c>
      <c r="I200" s="50">
        <f>VLOOKUP($A200,'Data shares'!$C:$FB,45)*100</f>
        <v>-17.82</v>
      </c>
      <c r="J200" s="49">
        <f>VLOOKUP($A200,'Data shares'!$C:$FB,58)</f>
        <v>2317900</v>
      </c>
      <c r="K200" s="49">
        <f>VLOOKUP($A200,'Data shares'!$C:$FB,59)</f>
        <v>1663300</v>
      </c>
      <c r="L200" s="50">
        <f>VLOOKUP($A200,'Data shares'!$C:$FB,61)*100</f>
        <v>39.36</v>
      </c>
      <c r="M200" s="49">
        <f>VLOOKUP($A200,'Data shares'!$C:$FB,62)</f>
        <v>972800</v>
      </c>
      <c r="N200" s="49">
        <f>VLOOKUP($A200,'Data shares'!$C:$FB,63)</f>
        <v>772500</v>
      </c>
      <c r="O200" s="140">
        <f>VLOOKUP($A200,'Data shares'!$C:$FB,65)*100</f>
        <v>25.929999999999996</v>
      </c>
    </row>
    <row r="201" spans="1:15" x14ac:dyDescent="0.25">
      <c r="A201" s="101" t="str">
        <f>'Data Vlaue (Cr)'!C196</f>
        <v>TATAPOWER</v>
      </c>
      <c r="B201" s="50">
        <f>VLOOKUP($A201,'Data shares'!$C:$FB,7)</f>
        <v>427.6</v>
      </c>
      <c r="C201" s="50">
        <f>VLOOKUP($A201,'Data shares'!$C:$FB,10)*100</f>
        <v>0.22999999999999998</v>
      </c>
      <c r="D201" s="49">
        <f>VLOOKUP($A201,'Data shares'!$C:$FB,66)</f>
        <v>97145650</v>
      </c>
      <c r="E201" s="49">
        <f>VLOOKUP($A201,'Data shares'!$C:$FB,67)</f>
        <v>153048950</v>
      </c>
      <c r="F201" s="50">
        <f>VLOOKUP($A201,'Data shares'!$C:$FB,69)*100</f>
        <v>-36.53</v>
      </c>
      <c r="G201" s="49">
        <f>VLOOKUP($A201,'Data shares'!$C:$FB,42)</f>
        <v>10577750</v>
      </c>
      <c r="H201" s="49">
        <f>VLOOKUP($A201,'Data shares'!$C:$FB,43)</f>
        <v>18177200</v>
      </c>
      <c r="I201" s="50">
        <f>VLOOKUP($A201,'Data shares'!$C:$FB,45)*100</f>
        <v>-41.81</v>
      </c>
      <c r="J201" s="49">
        <f>VLOOKUP($A201,'Data shares'!$C:$FB,58)</f>
        <v>49584200</v>
      </c>
      <c r="K201" s="49">
        <f>VLOOKUP($A201,'Data shares'!$C:$FB,59)</f>
        <v>96426450</v>
      </c>
      <c r="L201" s="50">
        <f>VLOOKUP($A201,'Data shares'!$C:$FB,61)*100</f>
        <v>-48.58</v>
      </c>
      <c r="M201" s="49">
        <f>VLOOKUP($A201,'Data shares'!$C:$FB,62)</f>
        <v>36983700</v>
      </c>
      <c r="N201" s="49">
        <f>VLOOKUP($A201,'Data shares'!$C:$FB,63)</f>
        <v>38445300</v>
      </c>
      <c r="O201" s="140">
        <f>VLOOKUP($A201,'Data shares'!$C:$FB,65)*100</f>
        <v>-3.8</v>
      </c>
    </row>
    <row r="202" spans="1:15" x14ac:dyDescent="0.25">
      <c r="A202" s="101" t="str">
        <f>'Data Vlaue (Cr)'!C197</f>
        <v>TATASTEEL</v>
      </c>
      <c r="B202" s="50">
        <f>VLOOKUP($A202,'Data shares'!$C:$FB,7)</f>
        <v>212.12</v>
      </c>
      <c r="C202" s="50">
        <f>VLOOKUP($A202,'Data shares'!$C:$FB,10)*100</f>
        <v>0.67999999999999994</v>
      </c>
      <c r="D202" s="49">
        <f>VLOOKUP($A202,'Data shares'!$C:$FB,66)</f>
        <v>224889500</v>
      </c>
      <c r="E202" s="49">
        <f>VLOOKUP($A202,'Data shares'!$C:$FB,67)</f>
        <v>271859500</v>
      </c>
      <c r="F202" s="50">
        <f>VLOOKUP($A202,'Data shares'!$C:$FB,69)*100</f>
        <v>-17.28</v>
      </c>
      <c r="G202" s="49">
        <f>VLOOKUP($A202,'Data shares'!$C:$FB,42)</f>
        <v>29694500</v>
      </c>
      <c r="H202" s="49">
        <f>VLOOKUP($A202,'Data shares'!$C:$FB,43)</f>
        <v>38500000</v>
      </c>
      <c r="I202" s="50">
        <f>VLOOKUP($A202,'Data shares'!$C:$FB,45)*100</f>
        <v>-22.869999999999997</v>
      </c>
      <c r="J202" s="49">
        <f>VLOOKUP($A202,'Data shares'!$C:$FB,58)</f>
        <v>118387500</v>
      </c>
      <c r="K202" s="49">
        <f>VLOOKUP($A202,'Data shares'!$C:$FB,59)</f>
        <v>153279500</v>
      </c>
      <c r="L202" s="50">
        <f>VLOOKUP($A202,'Data shares'!$C:$FB,61)*100</f>
        <v>-22.759999999999998</v>
      </c>
      <c r="M202" s="49">
        <f>VLOOKUP($A202,'Data shares'!$C:$FB,62)</f>
        <v>76807500</v>
      </c>
      <c r="N202" s="49">
        <f>VLOOKUP($A202,'Data shares'!$C:$FB,63)</f>
        <v>80080000</v>
      </c>
      <c r="O202" s="140">
        <f>VLOOKUP($A202,'Data shares'!$C:$FB,65)*100</f>
        <v>-4.09</v>
      </c>
    </row>
    <row r="203" spans="1:15" x14ac:dyDescent="0.25">
      <c r="A203" s="101" t="str">
        <f>'Data Vlaue (Cr)'!C198</f>
        <v>TATATECH</v>
      </c>
      <c r="B203" s="50">
        <f>VLOOKUP($A203,'Data shares'!$C:$FB,7)</f>
        <v>589.29999999999995</v>
      </c>
      <c r="C203" s="50">
        <f>VLOOKUP($A203,'Data shares'!$C:$FB,10)*100</f>
        <v>0.44</v>
      </c>
      <c r="D203" s="49">
        <f>VLOOKUP($A203,'Data shares'!$C:$FB,66)</f>
        <v>2275200</v>
      </c>
      <c r="E203" s="49">
        <f>VLOOKUP($A203,'Data shares'!$C:$FB,67)</f>
        <v>6507200</v>
      </c>
      <c r="F203" s="50">
        <f>VLOOKUP($A203,'Data shares'!$C:$FB,69)*100</f>
        <v>-65.039999999999992</v>
      </c>
      <c r="G203" s="49">
        <f>VLOOKUP($A203,'Data shares'!$C:$FB,42)</f>
        <v>502400</v>
      </c>
      <c r="H203" s="49">
        <f>VLOOKUP($A203,'Data shares'!$C:$FB,43)</f>
        <v>1116000</v>
      </c>
      <c r="I203" s="50">
        <f>VLOOKUP($A203,'Data shares'!$C:$FB,45)*100</f>
        <v>-54.98</v>
      </c>
      <c r="J203" s="49">
        <f>VLOOKUP($A203,'Data shares'!$C:$FB,58)</f>
        <v>1348000</v>
      </c>
      <c r="K203" s="49">
        <f>VLOOKUP($A203,'Data shares'!$C:$FB,59)</f>
        <v>4203200</v>
      </c>
      <c r="L203" s="50">
        <f>VLOOKUP($A203,'Data shares'!$C:$FB,61)*100</f>
        <v>-67.930000000000007</v>
      </c>
      <c r="M203" s="49">
        <f>VLOOKUP($A203,'Data shares'!$C:$FB,62)</f>
        <v>424800</v>
      </c>
      <c r="N203" s="49">
        <f>VLOOKUP($A203,'Data shares'!$C:$FB,63)</f>
        <v>1188000</v>
      </c>
      <c r="O203" s="140">
        <f>VLOOKUP($A203,'Data shares'!$C:$FB,65)*100</f>
        <v>-64.239999999999995</v>
      </c>
    </row>
    <row r="204" spans="1:15" x14ac:dyDescent="0.25">
      <c r="A204" s="101" t="str">
        <f>'Data Vlaue (Cr)'!C199</f>
        <v>TCS</v>
      </c>
      <c r="B204" s="50">
        <f>VLOOKUP($A204,'Data shares'!$C:$FB,7)</f>
        <v>2581.5</v>
      </c>
      <c r="C204" s="50">
        <f>VLOOKUP($A204,'Data shares'!$C:$FB,10)*100</f>
        <v>0.18</v>
      </c>
      <c r="D204" s="49">
        <f>VLOOKUP($A204,'Data shares'!$C:$FB,66)</f>
        <v>29588825</v>
      </c>
      <c r="E204" s="49">
        <f>VLOOKUP($A204,'Data shares'!$C:$FB,67)</f>
        <v>43231825</v>
      </c>
      <c r="F204" s="50">
        <f>VLOOKUP($A204,'Data shares'!$C:$FB,69)*100</f>
        <v>-31.56</v>
      </c>
      <c r="G204" s="49">
        <f>VLOOKUP($A204,'Data shares'!$C:$FB,42)</f>
        <v>2889075</v>
      </c>
      <c r="H204" s="49">
        <f>VLOOKUP($A204,'Data shares'!$C:$FB,43)</f>
        <v>4617375</v>
      </c>
      <c r="I204" s="50">
        <f>VLOOKUP($A204,'Data shares'!$C:$FB,45)*100</f>
        <v>-37.43</v>
      </c>
      <c r="J204" s="49">
        <f>VLOOKUP($A204,'Data shares'!$C:$FB,58)</f>
        <v>16866500</v>
      </c>
      <c r="K204" s="49">
        <f>VLOOKUP($A204,'Data shares'!$C:$FB,59)</f>
        <v>24906700</v>
      </c>
      <c r="L204" s="50">
        <f>VLOOKUP($A204,'Data shares'!$C:$FB,61)*100</f>
        <v>-32.28</v>
      </c>
      <c r="M204" s="49">
        <f>VLOOKUP($A204,'Data shares'!$C:$FB,62)</f>
        <v>9833250</v>
      </c>
      <c r="N204" s="49">
        <f>VLOOKUP($A204,'Data shares'!$C:$FB,63)</f>
        <v>13707750</v>
      </c>
      <c r="O204" s="140">
        <f>VLOOKUP($A204,'Data shares'!$C:$FB,65)*100</f>
        <v>-28.27</v>
      </c>
    </row>
    <row r="205" spans="1:15" x14ac:dyDescent="0.25">
      <c r="A205" s="101" t="str">
        <f>'Data Vlaue (Cr)'!C200</f>
        <v>TECHM</v>
      </c>
      <c r="B205" s="50">
        <f>VLOOKUP($A205,'Data shares'!$C:$FB,7)</f>
        <v>1511.4</v>
      </c>
      <c r="C205" s="50">
        <f>VLOOKUP($A205,'Data shares'!$C:$FB,10)*100</f>
        <v>1.37</v>
      </c>
      <c r="D205" s="49">
        <f>VLOOKUP($A205,'Data shares'!$C:$FB,66)</f>
        <v>19380600</v>
      </c>
      <c r="E205" s="49">
        <f>VLOOKUP($A205,'Data shares'!$C:$FB,67)</f>
        <v>12498600</v>
      </c>
      <c r="F205" s="50">
        <f>VLOOKUP($A205,'Data shares'!$C:$FB,69)*100</f>
        <v>55.059999999999995</v>
      </c>
      <c r="G205" s="49">
        <f>VLOOKUP($A205,'Data shares'!$C:$FB,42)</f>
        <v>2550000</v>
      </c>
      <c r="H205" s="49">
        <f>VLOOKUP($A205,'Data shares'!$C:$FB,43)</f>
        <v>2329800</v>
      </c>
      <c r="I205" s="50">
        <f>VLOOKUP($A205,'Data shares'!$C:$FB,45)*100</f>
        <v>9.4499999999999993</v>
      </c>
      <c r="J205" s="49">
        <f>VLOOKUP($A205,'Data shares'!$C:$FB,58)</f>
        <v>11515200</v>
      </c>
      <c r="K205" s="49">
        <f>VLOOKUP($A205,'Data shares'!$C:$FB,59)</f>
        <v>6520800</v>
      </c>
      <c r="L205" s="50">
        <f>VLOOKUP($A205,'Data shares'!$C:$FB,61)*100</f>
        <v>76.59</v>
      </c>
      <c r="M205" s="49">
        <f>VLOOKUP($A205,'Data shares'!$C:$FB,62)</f>
        <v>5315400</v>
      </c>
      <c r="N205" s="49">
        <f>VLOOKUP($A205,'Data shares'!$C:$FB,63)</f>
        <v>3648000</v>
      </c>
      <c r="O205" s="140">
        <f>VLOOKUP($A205,'Data shares'!$C:$FB,65)*100</f>
        <v>45.71</v>
      </c>
    </row>
    <row r="206" spans="1:15" x14ac:dyDescent="0.25">
      <c r="A206" s="101" t="str">
        <f>'Data Vlaue (Cr)'!C201</f>
        <v>TIINDIA</v>
      </c>
      <c r="B206" s="50">
        <f>VLOOKUP($A206,'Data shares'!$C:$FB,7)</f>
        <v>2790.2</v>
      </c>
      <c r="C206" s="50">
        <f>VLOOKUP($A206,'Data shares'!$C:$FB,10)*100</f>
        <v>1.35</v>
      </c>
      <c r="D206" s="49">
        <f>VLOOKUP($A206,'Data shares'!$C:$FB,66)</f>
        <v>1415000</v>
      </c>
      <c r="E206" s="49">
        <f>VLOOKUP($A206,'Data shares'!$C:$FB,67)</f>
        <v>994000</v>
      </c>
      <c r="F206" s="50">
        <f>VLOOKUP($A206,'Data shares'!$C:$FB,69)*100</f>
        <v>42.35</v>
      </c>
      <c r="G206" s="49">
        <f>VLOOKUP($A206,'Data shares'!$C:$FB,42)</f>
        <v>283600</v>
      </c>
      <c r="H206" s="49">
        <f>VLOOKUP($A206,'Data shares'!$C:$FB,43)</f>
        <v>318400</v>
      </c>
      <c r="I206" s="50">
        <f>VLOOKUP($A206,'Data shares'!$C:$FB,45)*100</f>
        <v>-10.93</v>
      </c>
      <c r="J206" s="49">
        <f>VLOOKUP($A206,'Data shares'!$C:$FB,58)</f>
        <v>993800</v>
      </c>
      <c r="K206" s="49">
        <f>VLOOKUP($A206,'Data shares'!$C:$FB,59)</f>
        <v>555000</v>
      </c>
      <c r="L206" s="50">
        <f>VLOOKUP($A206,'Data shares'!$C:$FB,61)*100</f>
        <v>79.06</v>
      </c>
      <c r="M206" s="49">
        <f>VLOOKUP($A206,'Data shares'!$C:$FB,62)</f>
        <v>137600</v>
      </c>
      <c r="N206" s="49">
        <f>VLOOKUP($A206,'Data shares'!$C:$FB,63)</f>
        <v>120600</v>
      </c>
      <c r="O206" s="140">
        <f>VLOOKUP($A206,'Data shares'!$C:$FB,65)*100</f>
        <v>14.099999999999998</v>
      </c>
    </row>
    <row r="207" spans="1:15" x14ac:dyDescent="0.25">
      <c r="A207" s="101" t="str">
        <f>'Data Vlaue (Cr)'!C202</f>
        <v>TITAN</v>
      </c>
      <c r="B207" s="50">
        <f>VLOOKUP($A207,'Data shares'!$C:$FB,7)</f>
        <v>4525.8999999999996</v>
      </c>
      <c r="C207" s="50">
        <f>VLOOKUP($A207,'Data shares'!$C:$FB,10)*100</f>
        <v>1.4500000000000002</v>
      </c>
      <c r="D207" s="49">
        <f>VLOOKUP($A207,'Data shares'!$C:$FB,66)</f>
        <v>29014475</v>
      </c>
      <c r="E207" s="49">
        <f>VLOOKUP($A207,'Data shares'!$C:$FB,67)</f>
        <v>8516900</v>
      </c>
      <c r="F207" s="50">
        <f>VLOOKUP($A207,'Data shares'!$C:$FB,69)*100</f>
        <v>240.67</v>
      </c>
      <c r="G207" s="49">
        <f>VLOOKUP($A207,'Data shares'!$C:$FB,42)</f>
        <v>3196375</v>
      </c>
      <c r="H207" s="49">
        <f>VLOOKUP($A207,'Data shares'!$C:$FB,43)</f>
        <v>1708350</v>
      </c>
      <c r="I207" s="50">
        <f>VLOOKUP($A207,'Data shares'!$C:$FB,45)*100</f>
        <v>87.1</v>
      </c>
      <c r="J207" s="49">
        <f>VLOOKUP($A207,'Data shares'!$C:$FB,58)</f>
        <v>13395375</v>
      </c>
      <c r="K207" s="49">
        <f>VLOOKUP($A207,'Data shares'!$C:$FB,59)</f>
        <v>3953600</v>
      </c>
      <c r="L207" s="50">
        <f>VLOOKUP($A207,'Data shares'!$C:$FB,61)*100</f>
        <v>238.81</v>
      </c>
      <c r="M207" s="49">
        <f>VLOOKUP($A207,'Data shares'!$C:$FB,62)</f>
        <v>12422725</v>
      </c>
      <c r="N207" s="49">
        <f>VLOOKUP($A207,'Data shares'!$C:$FB,63)</f>
        <v>2854950</v>
      </c>
      <c r="O207" s="140">
        <f>VLOOKUP($A207,'Data shares'!$C:$FB,65)*100</f>
        <v>335.13</v>
      </c>
    </row>
    <row r="208" spans="1:15" x14ac:dyDescent="0.25">
      <c r="A208" s="101" t="str">
        <f>'Data Vlaue (Cr)'!C203</f>
        <v>TMPV</v>
      </c>
      <c r="B208" s="50">
        <f>VLOOKUP($A208,'Data shares'!$C:$FB,7)</f>
        <v>360.1</v>
      </c>
      <c r="C208" s="50">
        <f>VLOOKUP($A208,'Data shares'!$C:$FB,10)*100</f>
        <v>1.0699999999999998</v>
      </c>
      <c r="D208" s="49">
        <f>VLOOKUP($A208,'Data shares'!$C:$FB,66)</f>
        <v>68090400</v>
      </c>
      <c r="E208" s="49">
        <f>VLOOKUP($A208,'Data shares'!$C:$FB,67)</f>
        <v>72284000</v>
      </c>
      <c r="F208" s="50">
        <f>VLOOKUP($A208,'Data shares'!$C:$FB,69)*100</f>
        <v>-5.8000000000000007</v>
      </c>
      <c r="G208" s="49">
        <f>VLOOKUP($A208,'Data shares'!$C:$FB,42)</f>
        <v>9039200</v>
      </c>
      <c r="H208" s="49">
        <f>VLOOKUP($A208,'Data shares'!$C:$FB,43)</f>
        <v>9655200</v>
      </c>
      <c r="I208" s="50">
        <f>VLOOKUP($A208,'Data shares'!$C:$FB,45)*100</f>
        <v>-6.38</v>
      </c>
      <c r="J208" s="49">
        <f>VLOOKUP($A208,'Data shares'!$C:$FB,58)</f>
        <v>34878400</v>
      </c>
      <c r="K208" s="49">
        <f>VLOOKUP($A208,'Data shares'!$C:$FB,59)</f>
        <v>39248000</v>
      </c>
      <c r="L208" s="50">
        <f>VLOOKUP($A208,'Data shares'!$C:$FB,61)*100</f>
        <v>-11.129999999999999</v>
      </c>
      <c r="M208" s="49">
        <f>VLOOKUP($A208,'Data shares'!$C:$FB,62)</f>
        <v>24172800</v>
      </c>
      <c r="N208" s="49">
        <f>VLOOKUP($A208,'Data shares'!$C:$FB,63)</f>
        <v>23380800</v>
      </c>
      <c r="O208" s="140">
        <f>VLOOKUP($A208,'Data shares'!$C:$FB,65)*100</f>
        <v>3.39</v>
      </c>
    </row>
    <row r="209" spans="1:15" x14ac:dyDescent="0.25">
      <c r="A209" s="101" t="str">
        <f>'Data Vlaue (Cr)'!C204</f>
        <v>TORNTPHARM</v>
      </c>
      <c r="B209" s="50">
        <f>VLOOKUP($A209,'Data shares'!$C:$FB,7)</f>
        <v>4179.5</v>
      </c>
      <c r="C209" s="50">
        <f>VLOOKUP($A209,'Data shares'!$C:$FB,10)*100</f>
        <v>0.57000000000000006</v>
      </c>
      <c r="D209" s="49">
        <f>VLOOKUP($A209,'Data shares'!$C:$FB,66)</f>
        <v>1280250</v>
      </c>
      <c r="E209" s="49">
        <f>VLOOKUP($A209,'Data shares'!$C:$FB,67)</f>
        <v>1429000</v>
      </c>
      <c r="F209" s="50">
        <f>VLOOKUP($A209,'Data shares'!$C:$FB,69)*100</f>
        <v>-10.41</v>
      </c>
      <c r="G209" s="49">
        <f>VLOOKUP($A209,'Data shares'!$C:$FB,42)</f>
        <v>252000</v>
      </c>
      <c r="H209" s="49">
        <f>VLOOKUP($A209,'Data shares'!$C:$FB,43)</f>
        <v>326500</v>
      </c>
      <c r="I209" s="50">
        <f>VLOOKUP($A209,'Data shares'!$C:$FB,45)*100</f>
        <v>-22.82</v>
      </c>
      <c r="J209" s="49">
        <f>VLOOKUP($A209,'Data shares'!$C:$FB,58)</f>
        <v>701000</v>
      </c>
      <c r="K209" s="49">
        <f>VLOOKUP($A209,'Data shares'!$C:$FB,59)</f>
        <v>588500</v>
      </c>
      <c r="L209" s="50">
        <f>VLOOKUP($A209,'Data shares'!$C:$FB,61)*100</f>
        <v>19.12</v>
      </c>
      <c r="M209" s="49">
        <f>VLOOKUP($A209,'Data shares'!$C:$FB,62)</f>
        <v>327250</v>
      </c>
      <c r="N209" s="49">
        <f>VLOOKUP($A209,'Data shares'!$C:$FB,63)</f>
        <v>514000</v>
      </c>
      <c r="O209" s="140">
        <f>VLOOKUP($A209,'Data shares'!$C:$FB,65)*100</f>
        <v>-36.33</v>
      </c>
    </row>
    <row r="210" spans="1:15" x14ac:dyDescent="0.25">
      <c r="A210" s="101" t="str">
        <f>'Data Vlaue (Cr)'!C205</f>
        <v>TORNTPOWER</v>
      </c>
      <c r="B210" s="50">
        <f>VLOOKUP($A210,'Data shares'!$C:$FB,7)</f>
        <v>1565</v>
      </c>
      <c r="C210" s="50">
        <f>VLOOKUP($A210,'Data shares'!$C:$FB,10)*100</f>
        <v>2.85</v>
      </c>
      <c r="D210" s="49">
        <f>VLOOKUP($A210,'Data shares'!$C:$FB,66)</f>
        <v>2924425</v>
      </c>
      <c r="E210" s="49">
        <f>VLOOKUP($A210,'Data shares'!$C:$FB,67)</f>
        <v>1873400</v>
      </c>
      <c r="F210" s="50">
        <f>VLOOKUP($A210,'Data shares'!$C:$FB,69)*100</f>
        <v>56.100000000000009</v>
      </c>
      <c r="G210" s="49">
        <f>VLOOKUP($A210,'Data shares'!$C:$FB,42)</f>
        <v>565250</v>
      </c>
      <c r="H210" s="49">
        <f>VLOOKUP($A210,'Data shares'!$C:$FB,43)</f>
        <v>399500</v>
      </c>
      <c r="I210" s="50">
        <f>VLOOKUP($A210,'Data shares'!$C:$FB,45)*100</f>
        <v>41.49</v>
      </c>
      <c r="J210" s="49">
        <f>VLOOKUP($A210,'Data shares'!$C:$FB,58)</f>
        <v>1843225</v>
      </c>
      <c r="K210" s="49">
        <f>VLOOKUP($A210,'Data shares'!$C:$FB,59)</f>
        <v>1184900</v>
      </c>
      <c r="L210" s="50">
        <f>VLOOKUP($A210,'Data shares'!$C:$FB,61)*100</f>
        <v>55.559999999999995</v>
      </c>
      <c r="M210" s="49">
        <f>VLOOKUP($A210,'Data shares'!$C:$FB,62)</f>
        <v>515950</v>
      </c>
      <c r="N210" s="49">
        <f>VLOOKUP($A210,'Data shares'!$C:$FB,63)</f>
        <v>289000</v>
      </c>
      <c r="O210" s="140">
        <f>VLOOKUP($A210,'Data shares'!$C:$FB,65)*100</f>
        <v>78.53</v>
      </c>
    </row>
    <row r="211" spans="1:15" x14ac:dyDescent="0.25">
      <c r="A211" s="101" t="str">
        <f>'Data Vlaue (Cr)'!C206</f>
        <v>TRENT</v>
      </c>
      <c r="B211" s="50">
        <f>VLOOKUP($A211,'Data shares'!$C:$FB,7)</f>
        <v>4107.7</v>
      </c>
      <c r="C211" s="50">
        <f>VLOOKUP($A211,'Data shares'!$C:$FB,10)*100</f>
        <v>0.6</v>
      </c>
      <c r="D211" s="49">
        <f>VLOOKUP($A211,'Data shares'!$C:$FB,66)</f>
        <v>10686300</v>
      </c>
      <c r="E211" s="49">
        <f>VLOOKUP($A211,'Data shares'!$C:$FB,67)</f>
        <v>15560900</v>
      </c>
      <c r="F211" s="50">
        <f>VLOOKUP($A211,'Data shares'!$C:$FB,69)*100</f>
        <v>-31.330000000000002</v>
      </c>
      <c r="G211" s="49">
        <f>VLOOKUP($A211,'Data shares'!$C:$FB,42)</f>
        <v>1114100</v>
      </c>
      <c r="H211" s="49">
        <f>VLOOKUP($A211,'Data shares'!$C:$FB,43)</f>
        <v>1567800</v>
      </c>
      <c r="I211" s="50">
        <f>VLOOKUP($A211,'Data shares'!$C:$FB,45)*100</f>
        <v>-28.939999999999998</v>
      </c>
      <c r="J211" s="49">
        <f>VLOOKUP($A211,'Data shares'!$C:$FB,58)</f>
        <v>6474400</v>
      </c>
      <c r="K211" s="49">
        <f>VLOOKUP($A211,'Data shares'!$C:$FB,59)</f>
        <v>9502700</v>
      </c>
      <c r="L211" s="50">
        <f>VLOOKUP($A211,'Data shares'!$C:$FB,61)*100</f>
        <v>-31.869999999999997</v>
      </c>
      <c r="M211" s="49">
        <f>VLOOKUP($A211,'Data shares'!$C:$FB,62)</f>
        <v>3097800</v>
      </c>
      <c r="N211" s="49">
        <f>VLOOKUP($A211,'Data shares'!$C:$FB,63)</f>
        <v>4490400</v>
      </c>
      <c r="O211" s="140">
        <f>VLOOKUP($A211,'Data shares'!$C:$FB,65)*100</f>
        <v>-31.009999999999998</v>
      </c>
    </row>
    <row r="212" spans="1:15" x14ac:dyDescent="0.25">
      <c r="A212" s="101" t="str">
        <f>'Data Vlaue (Cr)'!C207</f>
        <v>TVSMOTOR</v>
      </c>
      <c r="B212" s="50">
        <f>VLOOKUP($A212,'Data shares'!$C:$FB,7)</f>
        <v>3735.8</v>
      </c>
      <c r="C212" s="50">
        <f>VLOOKUP($A212,'Data shares'!$C:$FB,10)*100</f>
        <v>-0.57000000000000006</v>
      </c>
      <c r="D212" s="49">
        <f>VLOOKUP($A212,'Data shares'!$C:$FB,66)</f>
        <v>3058825</v>
      </c>
      <c r="E212" s="49">
        <f>VLOOKUP($A212,'Data shares'!$C:$FB,67)</f>
        <v>2892750</v>
      </c>
      <c r="F212" s="50">
        <f>VLOOKUP($A212,'Data shares'!$C:$FB,69)*100</f>
        <v>5.74</v>
      </c>
      <c r="G212" s="49">
        <f>VLOOKUP($A212,'Data shares'!$C:$FB,42)</f>
        <v>1233050</v>
      </c>
      <c r="H212" s="49">
        <f>VLOOKUP($A212,'Data shares'!$C:$FB,43)</f>
        <v>553000</v>
      </c>
      <c r="I212" s="50">
        <f>VLOOKUP($A212,'Data shares'!$C:$FB,45)*100</f>
        <v>122.97</v>
      </c>
      <c r="J212" s="49">
        <f>VLOOKUP($A212,'Data shares'!$C:$FB,58)</f>
        <v>1125250</v>
      </c>
      <c r="K212" s="49">
        <f>VLOOKUP($A212,'Data shares'!$C:$FB,59)</f>
        <v>1515675</v>
      </c>
      <c r="L212" s="50">
        <f>VLOOKUP($A212,'Data shares'!$C:$FB,61)*100</f>
        <v>-25.759999999999998</v>
      </c>
      <c r="M212" s="49">
        <f>VLOOKUP($A212,'Data shares'!$C:$FB,62)</f>
        <v>700525</v>
      </c>
      <c r="N212" s="49">
        <f>VLOOKUP($A212,'Data shares'!$C:$FB,63)</f>
        <v>824075</v>
      </c>
      <c r="O212" s="140">
        <f>VLOOKUP($A212,'Data shares'!$C:$FB,65)*100</f>
        <v>-14.99</v>
      </c>
    </row>
    <row r="213" spans="1:15" x14ac:dyDescent="0.25">
      <c r="A213" s="101" t="str">
        <f>'Data Vlaue (Cr)'!C208</f>
        <v>ULTRACEMCO</v>
      </c>
      <c r="B213" s="50">
        <f>VLOOKUP($A213,'Data shares'!$C:$FB,7)</f>
        <v>11886</v>
      </c>
      <c r="C213" s="50">
        <f>VLOOKUP($A213,'Data shares'!$C:$FB,10)*100</f>
        <v>0.51</v>
      </c>
      <c r="D213" s="49">
        <f>VLOOKUP($A213,'Data shares'!$C:$FB,66)</f>
        <v>1642100</v>
      </c>
      <c r="E213" s="49">
        <f>VLOOKUP($A213,'Data shares'!$C:$FB,67)</f>
        <v>1369150</v>
      </c>
      <c r="F213" s="50">
        <f>VLOOKUP($A213,'Data shares'!$C:$FB,69)*100</f>
        <v>19.939999999999998</v>
      </c>
      <c r="G213" s="49">
        <f>VLOOKUP($A213,'Data shares'!$C:$FB,42)</f>
        <v>406300</v>
      </c>
      <c r="H213" s="49">
        <f>VLOOKUP($A213,'Data shares'!$C:$FB,43)</f>
        <v>372100</v>
      </c>
      <c r="I213" s="50">
        <f>VLOOKUP($A213,'Data shares'!$C:$FB,45)*100</f>
        <v>9.19</v>
      </c>
      <c r="J213" s="49">
        <f>VLOOKUP($A213,'Data shares'!$C:$FB,58)</f>
        <v>841700</v>
      </c>
      <c r="K213" s="49">
        <f>VLOOKUP($A213,'Data shares'!$C:$FB,59)</f>
        <v>662600</v>
      </c>
      <c r="L213" s="50">
        <f>VLOOKUP($A213,'Data shares'!$C:$FB,61)*100</f>
        <v>27.029999999999998</v>
      </c>
      <c r="M213" s="49">
        <f>VLOOKUP($A213,'Data shares'!$C:$FB,62)</f>
        <v>394100</v>
      </c>
      <c r="N213" s="49">
        <f>VLOOKUP($A213,'Data shares'!$C:$FB,63)</f>
        <v>334450</v>
      </c>
      <c r="O213" s="140">
        <f>VLOOKUP($A213,'Data shares'!$C:$FB,65)*100</f>
        <v>17.84</v>
      </c>
    </row>
    <row r="214" spans="1:15" x14ac:dyDescent="0.25">
      <c r="A214" s="101" t="str">
        <f>'Data Vlaue (Cr)'!C209</f>
        <v>UNIONBANK</v>
      </c>
      <c r="B214" s="50">
        <f>VLOOKUP($A214,'Data shares'!$C:$FB,7)</f>
        <v>188.91</v>
      </c>
      <c r="C214" s="50">
        <f>VLOOKUP($A214,'Data shares'!$C:$FB,10)*100</f>
        <v>0.22</v>
      </c>
      <c r="D214" s="49">
        <f>VLOOKUP($A214,'Data shares'!$C:$FB,66)</f>
        <v>56396625</v>
      </c>
      <c r="E214" s="49">
        <f>VLOOKUP($A214,'Data shares'!$C:$FB,67)</f>
        <v>68476875</v>
      </c>
      <c r="F214" s="50">
        <f>VLOOKUP($A214,'Data shares'!$C:$FB,69)*100</f>
        <v>-17.64</v>
      </c>
      <c r="G214" s="49">
        <f>VLOOKUP($A214,'Data shares'!$C:$FB,42)</f>
        <v>17452200</v>
      </c>
      <c r="H214" s="49">
        <f>VLOOKUP($A214,'Data shares'!$C:$FB,43)</f>
        <v>22018800</v>
      </c>
      <c r="I214" s="50">
        <f>VLOOKUP($A214,'Data shares'!$C:$FB,45)*100</f>
        <v>-20.74</v>
      </c>
      <c r="J214" s="49">
        <f>VLOOKUP($A214,'Data shares'!$C:$FB,58)</f>
        <v>24917175</v>
      </c>
      <c r="K214" s="49">
        <f>VLOOKUP($A214,'Data shares'!$C:$FB,59)</f>
        <v>28390800</v>
      </c>
      <c r="L214" s="50">
        <f>VLOOKUP($A214,'Data shares'!$C:$FB,61)*100</f>
        <v>-12.24</v>
      </c>
      <c r="M214" s="49">
        <f>VLOOKUP($A214,'Data shares'!$C:$FB,62)</f>
        <v>14027250</v>
      </c>
      <c r="N214" s="49">
        <f>VLOOKUP($A214,'Data shares'!$C:$FB,63)</f>
        <v>18067275</v>
      </c>
      <c r="O214" s="140">
        <f>VLOOKUP($A214,'Data shares'!$C:$FB,65)*100</f>
        <v>-22.36</v>
      </c>
    </row>
    <row r="215" spans="1:15" x14ac:dyDescent="0.25">
      <c r="A215" s="101" t="str">
        <f>'Data Vlaue (Cr)'!C210</f>
        <v>UNITDSPR</v>
      </c>
      <c r="B215" s="50">
        <f>VLOOKUP($A215,'Data shares'!$C:$FB,7)</f>
        <v>1302.9000000000001</v>
      </c>
      <c r="C215" s="50">
        <f>VLOOKUP($A215,'Data shares'!$C:$FB,10)*100</f>
        <v>3.8600000000000003</v>
      </c>
      <c r="D215" s="49">
        <f>VLOOKUP($A215,'Data shares'!$C:$FB,66)</f>
        <v>22348400</v>
      </c>
      <c r="E215" s="49">
        <f>VLOOKUP($A215,'Data shares'!$C:$FB,67)</f>
        <v>6763200</v>
      </c>
      <c r="F215" s="50">
        <f>VLOOKUP($A215,'Data shares'!$C:$FB,69)*100</f>
        <v>230.43999999999997</v>
      </c>
      <c r="G215" s="49">
        <f>VLOOKUP($A215,'Data shares'!$C:$FB,42)</f>
        <v>3193600</v>
      </c>
      <c r="H215" s="49">
        <f>VLOOKUP($A215,'Data shares'!$C:$FB,43)</f>
        <v>1684000</v>
      </c>
      <c r="I215" s="50">
        <f>VLOOKUP($A215,'Data shares'!$C:$FB,45)*100</f>
        <v>89.64</v>
      </c>
      <c r="J215" s="49">
        <f>VLOOKUP($A215,'Data shares'!$C:$FB,58)</f>
        <v>15045600</v>
      </c>
      <c r="K215" s="49">
        <f>VLOOKUP($A215,'Data shares'!$C:$FB,59)</f>
        <v>4093200</v>
      </c>
      <c r="L215" s="50">
        <f>VLOOKUP($A215,'Data shares'!$C:$FB,61)*100</f>
        <v>267.58000000000004</v>
      </c>
      <c r="M215" s="49">
        <f>VLOOKUP($A215,'Data shares'!$C:$FB,62)</f>
        <v>4109200</v>
      </c>
      <c r="N215" s="49">
        <f>VLOOKUP($A215,'Data shares'!$C:$FB,63)</f>
        <v>986000</v>
      </c>
      <c r="O215" s="140">
        <f>VLOOKUP($A215,'Data shares'!$C:$FB,65)*100</f>
        <v>316.75</v>
      </c>
    </row>
    <row r="216" spans="1:15" x14ac:dyDescent="0.25">
      <c r="A216" s="101" t="str">
        <f>'Data Vlaue (Cr)'!C211</f>
        <v>UNOMINDA</v>
      </c>
      <c r="B216" s="50">
        <f>VLOOKUP($A216,'Data shares'!$C:$FB,7)</f>
        <v>1097.8</v>
      </c>
      <c r="C216" s="50">
        <f>VLOOKUP($A216,'Data shares'!$C:$FB,10)*100</f>
        <v>-1.05</v>
      </c>
      <c r="D216" s="49">
        <f>VLOOKUP($A216,'Data shares'!$C:$FB,66)</f>
        <v>2035000</v>
      </c>
      <c r="E216" s="49">
        <f>VLOOKUP($A216,'Data shares'!$C:$FB,67)</f>
        <v>1684100</v>
      </c>
      <c r="F216" s="50">
        <f>VLOOKUP($A216,'Data shares'!$C:$FB,69)*100</f>
        <v>20.84</v>
      </c>
      <c r="G216" s="49">
        <f>VLOOKUP($A216,'Data shares'!$C:$FB,42)</f>
        <v>465850</v>
      </c>
      <c r="H216" s="49">
        <f>VLOOKUP($A216,'Data shares'!$C:$FB,43)</f>
        <v>646800</v>
      </c>
      <c r="I216" s="50">
        <f>VLOOKUP($A216,'Data shares'!$C:$FB,45)*100</f>
        <v>-27.98</v>
      </c>
      <c r="J216" s="49">
        <f>VLOOKUP($A216,'Data shares'!$C:$FB,58)</f>
        <v>1283150</v>
      </c>
      <c r="K216" s="49">
        <f>VLOOKUP($A216,'Data shares'!$C:$FB,59)</f>
        <v>849200</v>
      </c>
      <c r="L216" s="50">
        <f>VLOOKUP($A216,'Data shares'!$C:$FB,61)*100</f>
        <v>51.1</v>
      </c>
      <c r="M216" s="49">
        <f>VLOOKUP($A216,'Data shares'!$C:$FB,62)</f>
        <v>286000</v>
      </c>
      <c r="N216" s="49">
        <f>VLOOKUP($A216,'Data shares'!$C:$FB,63)</f>
        <v>188100</v>
      </c>
      <c r="O216" s="140">
        <f>VLOOKUP($A216,'Data shares'!$C:$FB,65)*100</f>
        <v>52.05</v>
      </c>
    </row>
    <row r="217" spans="1:15" x14ac:dyDescent="0.25">
      <c r="A217" s="101" t="str">
        <f>'Data Vlaue (Cr)'!C212</f>
        <v>UPL</v>
      </c>
      <c r="B217" s="50">
        <f>VLOOKUP($A217,'Data shares'!$C:$FB,7)</f>
        <v>664.7</v>
      </c>
      <c r="C217" s="50">
        <f>VLOOKUP($A217,'Data shares'!$C:$FB,10)*100</f>
        <v>0.72</v>
      </c>
      <c r="D217" s="49">
        <f>VLOOKUP($A217,'Data shares'!$C:$FB,66)</f>
        <v>14844025</v>
      </c>
      <c r="E217" s="49">
        <f>VLOOKUP($A217,'Data shares'!$C:$FB,67)</f>
        <v>22285685</v>
      </c>
      <c r="F217" s="50">
        <f>VLOOKUP($A217,'Data shares'!$C:$FB,69)*100</f>
        <v>-33.39</v>
      </c>
      <c r="G217" s="49">
        <f>VLOOKUP($A217,'Data shares'!$C:$FB,42)</f>
        <v>2760135</v>
      </c>
      <c r="H217" s="49">
        <f>VLOOKUP($A217,'Data shares'!$C:$FB,43)</f>
        <v>4598870</v>
      </c>
      <c r="I217" s="50">
        <f>VLOOKUP($A217,'Data shares'!$C:$FB,45)*100</f>
        <v>-39.979999999999997</v>
      </c>
      <c r="J217" s="49">
        <f>VLOOKUP($A217,'Data shares'!$C:$FB,58)</f>
        <v>7010770</v>
      </c>
      <c r="K217" s="49">
        <f>VLOOKUP($A217,'Data shares'!$C:$FB,59)</f>
        <v>11777660</v>
      </c>
      <c r="L217" s="50">
        <f>VLOOKUP($A217,'Data shares'!$C:$FB,61)*100</f>
        <v>-40.47</v>
      </c>
      <c r="M217" s="49">
        <f>VLOOKUP($A217,'Data shares'!$C:$FB,62)</f>
        <v>5073120</v>
      </c>
      <c r="N217" s="49">
        <f>VLOOKUP($A217,'Data shares'!$C:$FB,63)</f>
        <v>5909155</v>
      </c>
      <c r="O217" s="140">
        <f>VLOOKUP($A217,'Data shares'!$C:$FB,65)*100</f>
        <v>-14.149999999999999</v>
      </c>
    </row>
    <row r="218" spans="1:15" x14ac:dyDescent="0.25">
      <c r="A218" s="101" t="str">
        <f>'Data Vlaue (Cr)'!C213</f>
        <v>VBL</v>
      </c>
      <c r="B218" s="50">
        <f>VLOOKUP($A218,'Data shares'!$C:$FB,7)</f>
        <v>473.9</v>
      </c>
      <c r="C218" s="50">
        <f>VLOOKUP($A218,'Data shares'!$C:$FB,10)*100</f>
        <v>2.93</v>
      </c>
      <c r="D218" s="49">
        <f>VLOOKUP($A218,'Data shares'!$C:$FB,66)</f>
        <v>65037375</v>
      </c>
      <c r="E218" s="49">
        <f>VLOOKUP($A218,'Data shares'!$C:$FB,67)</f>
        <v>58084875</v>
      </c>
      <c r="F218" s="50">
        <f>VLOOKUP($A218,'Data shares'!$C:$FB,69)*100</f>
        <v>11.97</v>
      </c>
      <c r="G218" s="49">
        <f>VLOOKUP($A218,'Data shares'!$C:$FB,42)</f>
        <v>15298875</v>
      </c>
      <c r="H218" s="49">
        <f>VLOOKUP($A218,'Data shares'!$C:$FB,43)</f>
        <v>12722625</v>
      </c>
      <c r="I218" s="50">
        <f>VLOOKUP($A218,'Data shares'!$C:$FB,45)*100</f>
        <v>20.25</v>
      </c>
      <c r="J218" s="49">
        <f>VLOOKUP($A218,'Data shares'!$C:$FB,58)</f>
        <v>34314750</v>
      </c>
      <c r="K218" s="49">
        <f>VLOOKUP($A218,'Data shares'!$C:$FB,59)</f>
        <v>30501000</v>
      </c>
      <c r="L218" s="50">
        <f>VLOOKUP($A218,'Data shares'!$C:$FB,61)*100</f>
        <v>12.5</v>
      </c>
      <c r="M218" s="49">
        <f>VLOOKUP($A218,'Data shares'!$C:$FB,62)</f>
        <v>15423750</v>
      </c>
      <c r="N218" s="49">
        <f>VLOOKUP($A218,'Data shares'!$C:$FB,63)</f>
        <v>14861250</v>
      </c>
      <c r="O218" s="140">
        <f>VLOOKUP($A218,'Data shares'!$C:$FB,65)*100</f>
        <v>3.7900000000000005</v>
      </c>
    </row>
    <row r="219" spans="1:15" x14ac:dyDescent="0.25">
      <c r="A219" s="101" t="str">
        <f>'Data Vlaue (Cr)'!C214</f>
        <v>VEDL</v>
      </c>
      <c r="B219" s="50">
        <f>VLOOKUP($A219,'Data shares'!$C:$FB,7)</f>
        <v>787.5</v>
      </c>
      <c r="C219" s="50">
        <f>VLOOKUP($A219,'Data shares'!$C:$FB,10)*100</f>
        <v>0.59</v>
      </c>
      <c r="D219" s="49">
        <f>VLOOKUP($A219,'Data shares'!$C:$FB,66)</f>
        <v>90294550</v>
      </c>
      <c r="E219" s="49">
        <f>VLOOKUP($A219,'Data shares'!$C:$FB,67)</f>
        <v>114205350</v>
      </c>
      <c r="F219" s="50">
        <f>VLOOKUP($A219,'Data shares'!$C:$FB,69)*100</f>
        <v>-20.94</v>
      </c>
      <c r="G219" s="49">
        <f>VLOOKUP($A219,'Data shares'!$C:$FB,42)</f>
        <v>11163050</v>
      </c>
      <c r="H219" s="49">
        <f>VLOOKUP($A219,'Data shares'!$C:$FB,43)</f>
        <v>12494750</v>
      </c>
      <c r="I219" s="50">
        <f>VLOOKUP($A219,'Data shares'!$C:$FB,45)*100</f>
        <v>-10.66</v>
      </c>
      <c r="J219" s="49">
        <f>VLOOKUP($A219,'Data shares'!$C:$FB,58)</f>
        <v>46672750</v>
      </c>
      <c r="K219" s="49">
        <f>VLOOKUP($A219,'Data shares'!$C:$FB,59)</f>
        <v>62442700</v>
      </c>
      <c r="L219" s="50">
        <f>VLOOKUP($A219,'Data shares'!$C:$FB,61)*100</f>
        <v>-25.259999999999998</v>
      </c>
      <c r="M219" s="49">
        <f>VLOOKUP($A219,'Data shares'!$C:$FB,62)</f>
        <v>32458750</v>
      </c>
      <c r="N219" s="49">
        <f>VLOOKUP($A219,'Data shares'!$C:$FB,63)</f>
        <v>39267900</v>
      </c>
      <c r="O219" s="140">
        <f>VLOOKUP($A219,'Data shares'!$C:$FB,65)*100</f>
        <v>-17.34</v>
      </c>
    </row>
    <row r="220" spans="1:15" x14ac:dyDescent="0.25">
      <c r="A220" s="101" t="str">
        <f>'Data Vlaue (Cr)'!C215</f>
        <v>VMM</v>
      </c>
      <c r="B220" s="50">
        <f>VLOOKUP($A220,'Data shares'!$C:$FB,7)</f>
        <v>118.95</v>
      </c>
      <c r="C220" s="50">
        <f>VLOOKUP($A220,'Data shares'!$C:$FB,10)*100</f>
        <v>1.1900000000000002</v>
      </c>
      <c r="D220" s="49">
        <f>VLOOKUP($A220,'Data shares'!$C:$FB,66)</f>
        <v>27853550</v>
      </c>
      <c r="E220" s="49">
        <f>VLOOKUP($A220,'Data shares'!$C:$FB,67)</f>
        <v>7672700</v>
      </c>
      <c r="F220" s="50">
        <f>VLOOKUP($A220,'Data shares'!$C:$FB,69)*100</f>
        <v>263.02</v>
      </c>
      <c r="G220" s="49">
        <f>VLOOKUP($A220,'Data shares'!$C:$FB,42)</f>
        <v>12837950</v>
      </c>
      <c r="H220" s="49">
        <f>VLOOKUP($A220,'Data shares'!$C:$FB,43)</f>
        <v>4331050</v>
      </c>
      <c r="I220" s="50">
        <f>VLOOKUP($A220,'Data shares'!$C:$FB,45)*100</f>
        <v>196.42</v>
      </c>
      <c r="J220" s="49">
        <f>VLOOKUP($A220,'Data shares'!$C:$FB,58)</f>
        <v>12799150</v>
      </c>
      <c r="K220" s="49">
        <f>VLOOKUP($A220,'Data shares'!$C:$FB,59)</f>
        <v>2264950</v>
      </c>
      <c r="L220" s="50">
        <f>VLOOKUP($A220,'Data shares'!$C:$FB,61)*100</f>
        <v>465.09999999999997</v>
      </c>
      <c r="M220" s="49">
        <f>VLOOKUP($A220,'Data shares'!$C:$FB,62)</f>
        <v>2216450</v>
      </c>
      <c r="N220" s="49">
        <f>VLOOKUP($A220,'Data shares'!$C:$FB,63)</f>
        <v>1076700</v>
      </c>
      <c r="O220" s="140">
        <f>VLOOKUP($A220,'Data shares'!$C:$FB,65)*100</f>
        <v>105.86</v>
      </c>
    </row>
    <row r="221" spans="1:15" x14ac:dyDescent="0.25">
      <c r="A221" s="101" t="str">
        <f>'Data Vlaue (Cr)'!C216</f>
        <v>VOLTAS</v>
      </c>
      <c r="B221" s="50">
        <f>VLOOKUP($A221,'Data shares'!$C:$FB,7)</f>
        <v>1440.1</v>
      </c>
      <c r="C221" s="50">
        <f>VLOOKUP($A221,'Data shares'!$C:$FB,10)*100</f>
        <v>2.2200000000000002</v>
      </c>
      <c r="D221" s="49">
        <f>VLOOKUP($A221,'Data shares'!$C:$FB,66)</f>
        <v>15021375</v>
      </c>
      <c r="E221" s="49">
        <f>VLOOKUP($A221,'Data shares'!$C:$FB,67)</f>
        <v>13250250</v>
      </c>
      <c r="F221" s="50">
        <f>VLOOKUP($A221,'Data shares'!$C:$FB,69)*100</f>
        <v>13.370000000000001</v>
      </c>
      <c r="G221" s="49">
        <f>VLOOKUP($A221,'Data shares'!$C:$FB,42)</f>
        <v>1898625</v>
      </c>
      <c r="H221" s="49">
        <f>VLOOKUP($A221,'Data shares'!$C:$FB,43)</f>
        <v>2178000</v>
      </c>
      <c r="I221" s="50">
        <f>VLOOKUP($A221,'Data shares'!$C:$FB,45)*100</f>
        <v>-12.83</v>
      </c>
      <c r="J221" s="49">
        <f>VLOOKUP($A221,'Data shares'!$C:$FB,58)</f>
        <v>8657250</v>
      </c>
      <c r="K221" s="49">
        <f>VLOOKUP($A221,'Data shares'!$C:$FB,59)</f>
        <v>7289250</v>
      </c>
      <c r="L221" s="50">
        <f>VLOOKUP($A221,'Data shares'!$C:$FB,61)*100</f>
        <v>18.77</v>
      </c>
      <c r="M221" s="49">
        <f>VLOOKUP($A221,'Data shares'!$C:$FB,62)</f>
        <v>4465500</v>
      </c>
      <c r="N221" s="49">
        <f>VLOOKUP($A221,'Data shares'!$C:$FB,63)</f>
        <v>3783000</v>
      </c>
      <c r="O221" s="140">
        <f>VLOOKUP($A221,'Data shares'!$C:$FB,65)*100</f>
        <v>18.04</v>
      </c>
    </row>
    <row r="222" spans="1:15" x14ac:dyDescent="0.25">
      <c r="A222" s="101" t="str">
        <f>'Data Vlaue (Cr)'!C217</f>
        <v>WAAREEENER</v>
      </c>
      <c r="B222" s="50">
        <f>VLOOKUP($A222,'Data shares'!$C:$FB,7)</f>
        <v>3466.2</v>
      </c>
      <c r="C222" s="50">
        <f>VLOOKUP($A222,'Data shares'!$C:$FB,10)*100</f>
        <v>0.8</v>
      </c>
      <c r="D222" s="49">
        <f>VLOOKUP($A222,'Data shares'!$C:$FB,66)</f>
        <v>12404350</v>
      </c>
      <c r="E222" s="49">
        <f>VLOOKUP($A222,'Data shares'!$C:$FB,67)</f>
        <v>6341825</v>
      </c>
      <c r="F222" s="50">
        <f>VLOOKUP($A222,'Data shares'!$C:$FB,69)*100</f>
        <v>95.6</v>
      </c>
      <c r="G222" s="49">
        <f>VLOOKUP($A222,'Data shares'!$C:$FB,42)</f>
        <v>1911000</v>
      </c>
      <c r="H222" s="49">
        <f>VLOOKUP($A222,'Data shares'!$C:$FB,43)</f>
        <v>894075</v>
      </c>
      <c r="I222" s="50">
        <f>VLOOKUP($A222,'Data shares'!$C:$FB,45)*100</f>
        <v>113.74</v>
      </c>
      <c r="J222" s="49">
        <f>VLOOKUP($A222,'Data shares'!$C:$FB,58)</f>
        <v>7021875</v>
      </c>
      <c r="K222" s="49">
        <f>VLOOKUP($A222,'Data shares'!$C:$FB,59)</f>
        <v>3162775</v>
      </c>
      <c r="L222" s="50">
        <f>VLOOKUP($A222,'Data shares'!$C:$FB,61)*100</f>
        <v>122.02</v>
      </c>
      <c r="M222" s="49">
        <f>VLOOKUP($A222,'Data shares'!$C:$FB,62)</f>
        <v>3471475</v>
      </c>
      <c r="N222" s="49">
        <f>VLOOKUP($A222,'Data shares'!$C:$FB,63)</f>
        <v>2284975</v>
      </c>
      <c r="O222" s="140">
        <f>VLOOKUP($A222,'Data shares'!$C:$FB,65)*100</f>
        <v>51.93</v>
      </c>
    </row>
    <row r="223" spans="1:15" x14ac:dyDescent="0.25">
      <c r="A223" s="101" t="str">
        <f>'Data Vlaue (Cr)'!C218</f>
        <v>WIPRO</v>
      </c>
      <c r="B223" s="50">
        <f>VLOOKUP($A223,'Data shares'!$C:$FB,7)</f>
        <v>204.32</v>
      </c>
      <c r="C223" s="50">
        <f>VLOOKUP($A223,'Data shares'!$C:$FB,10)*100</f>
        <v>-2.83</v>
      </c>
      <c r="D223" s="49">
        <f>VLOOKUP($A223,'Data shares'!$C:$FB,66)</f>
        <v>799029000</v>
      </c>
      <c r="E223" s="49">
        <f>VLOOKUP($A223,'Data shares'!$C:$FB,67)</f>
        <v>429738000</v>
      </c>
      <c r="F223" s="50">
        <f>VLOOKUP($A223,'Data shares'!$C:$FB,69)*100</f>
        <v>85.929999999999993</v>
      </c>
      <c r="G223" s="49">
        <f>VLOOKUP($A223,'Data shares'!$C:$FB,42)</f>
        <v>114093000</v>
      </c>
      <c r="H223" s="49">
        <f>VLOOKUP($A223,'Data shares'!$C:$FB,43)</f>
        <v>65778000</v>
      </c>
      <c r="I223" s="50">
        <f>VLOOKUP($A223,'Data shares'!$C:$FB,45)*100</f>
        <v>73.45</v>
      </c>
      <c r="J223" s="49">
        <f>VLOOKUP($A223,'Data shares'!$C:$FB,58)</f>
        <v>451926000</v>
      </c>
      <c r="K223" s="49">
        <f>VLOOKUP($A223,'Data shares'!$C:$FB,59)</f>
        <v>252696000</v>
      </c>
      <c r="L223" s="50">
        <f>VLOOKUP($A223,'Data shares'!$C:$FB,61)*100</f>
        <v>78.84</v>
      </c>
      <c r="M223" s="49">
        <f>VLOOKUP($A223,'Data shares'!$C:$FB,62)</f>
        <v>233010000</v>
      </c>
      <c r="N223" s="49">
        <f>VLOOKUP($A223,'Data shares'!$C:$FB,63)</f>
        <v>111264000</v>
      </c>
      <c r="O223" s="140">
        <f>VLOOKUP($A223,'Data shares'!$C:$FB,65)*100</f>
        <v>109.42</v>
      </c>
    </row>
    <row r="224" spans="1:15" x14ac:dyDescent="0.25">
      <c r="A224" s="101" t="str">
        <f>'Data Vlaue (Cr)'!C219</f>
        <v>YESBANK</v>
      </c>
      <c r="B224" s="50">
        <f>VLOOKUP($A224,'Data shares'!$C:$FB,7)</f>
        <v>20.190000000000001</v>
      </c>
      <c r="C224" s="50">
        <f>VLOOKUP($A224,'Data shares'!$C:$FB,10)*100</f>
        <v>1.2</v>
      </c>
      <c r="D224" s="49">
        <f>VLOOKUP($A224,'Data shares'!$C:$FB,66)</f>
        <v>1804422000</v>
      </c>
      <c r="E224" s="49">
        <f>VLOOKUP($A224,'Data shares'!$C:$FB,67)</f>
        <v>1364263700</v>
      </c>
      <c r="F224" s="50">
        <f>VLOOKUP($A224,'Data shares'!$C:$FB,69)*100</f>
        <v>32.26</v>
      </c>
      <c r="G224" s="49">
        <f>VLOOKUP($A224,'Data shares'!$C:$FB,42)</f>
        <v>280490900</v>
      </c>
      <c r="H224" s="49">
        <f>VLOOKUP($A224,'Data shares'!$C:$FB,43)</f>
        <v>273680000</v>
      </c>
      <c r="I224" s="50">
        <f>VLOOKUP($A224,'Data shares'!$C:$FB,45)*100</f>
        <v>2.4899999999999998</v>
      </c>
      <c r="J224" s="49">
        <f>VLOOKUP($A224,'Data shares'!$C:$FB,58)</f>
        <v>1263313100</v>
      </c>
      <c r="K224" s="49">
        <f>VLOOKUP($A224,'Data shares'!$C:$FB,59)</f>
        <v>814757800</v>
      </c>
      <c r="L224" s="50">
        <f>VLOOKUP($A224,'Data shares'!$C:$FB,61)*100</f>
        <v>55.05</v>
      </c>
      <c r="M224" s="49">
        <f>VLOOKUP($A224,'Data shares'!$C:$FB,62)</f>
        <v>260618000</v>
      </c>
      <c r="N224" s="49">
        <f>VLOOKUP($A224,'Data shares'!$C:$FB,63)</f>
        <v>275825900</v>
      </c>
      <c r="O224" s="140">
        <f>VLOOKUP($A224,'Data shares'!$C:$FB,65)*100</f>
        <v>-5.5100000000000007</v>
      </c>
    </row>
    <row r="225" spans="1:15" x14ac:dyDescent="0.25">
      <c r="A225" s="101" t="str">
        <f>'Data Vlaue (Cr)'!C220</f>
        <v>ZYDUSLIFE</v>
      </c>
      <c r="B225" s="50">
        <f>VLOOKUP($A225,'Data shares'!$C:$FB,7)</f>
        <v>943.95</v>
      </c>
      <c r="C225" s="50">
        <f>VLOOKUP($A225,'Data shares'!$C:$FB,10)*100</f>
        <v>0.52</v>
      </c>
      <c r="D225" s="49">
        <f>VLOOKUP($A225,'Data shares'!$C:$FB,66)</f>
        <v>5775300</v>
      </c>
      <c r="E225" s="49">
        <f>VLOOKUP($A225,'Data shares'!$C:$FB,67)</f>
        <v>4833900</v>
      </c>
      <c r="F225" s="50">
        <f>VLOOKUP($A225,'Data shares'!$C:$FB,69)*100</f>
        <v>19.470000000000002</v>
      </c>
      <c r="G225" s="49">
        <f>VLOOKUP($A225,'Data shares'!$C:$FB,42)</f>
        <v>818100</v>
      </c>
      <c r="H225" s="49">
        <f>VLOOKUP($A225,'Data shares'!$C:$FB,43)</f>
        <v>1386000</v>
      </c>
      <c r="I225" s="50">
        <f>VLOOKUP($A225,'Data shares'!$C:$FB,45)*100</f>
        <v>-40.97</v>
      </c>
      <c r="J225" s="49">
        <f>VLOOKUP($A225,'Data shares'!$C:$FB,58)</f>
        <v>3638700</v>
      </c>
      <c r="K225" s="49">
        <f>VLOOKUP($A225,'Data shares'!$C:$FB,59)</f>
        <v>2660400</v>
      </c>
      <c r="L225" s="50">
        <f>VLOOKUP($A225,'Data shares'!$C:$FB,61)*100</f>
        <v>36.770000000000003</v>
      </c>
      <c r="M225" s="49">
        <f>VLOOKUP($A225,'Data shares'!$C:$FB,62)</f>
        <v>1318500</v>
      </c>
      <c r="N225" s="49">
        <f>VLOOKUP($A225,'Data shares'!$C:$FB,63)</f>
        <v>787500</v>
      </c>
      <c r="O225" s="140">
        <f>VLOOKUP($A225,'Data shares'!$C:$FB,65)*100</f>
        <v>67.430000000000007</v>
      </c>
    </row>
    <row r="226" spans="1:15" x14ac:dyDescent="0.25">
      <c r="A226" s="101"/>
      <c r="B226" s="50"/>
      <c r="C226" s="50"/>
      <c r="D226" s="49"/>
      <c r="E226" s="49"/>
      <c r="F226" s="50"/>
      <c r="G226" s="49"/>
      <c r="H226" s="49"/>
      <c r="I226" s="50"/>
      <c r="J226" s="49"/>
      <c r="K226" s="49"/>
      <c r="L226" s="50"/>
      <c r="M226" s="49"/>
      <c r="N226" s="49"/>
      <c r="O226" s="140"/>
    </row>
    <row r="227" spans="1:15" x14ac:dyDescent="0.25">
      <c r="A227" s="101"/>
      <c r="B227" s="50"/>
      <c r="C227" s="50"/>
      <c r="D227" s="49"/>
      <c r="E227" s="49"/>
      <c r="F227" s="50"/>
      <c r="G227" s="49"/>
      <c r="H227" s="49"/>
      <c r="I227" s="50"/>
      <c r="J227" s="49"/>
      <c r="K227" s="49"/>
      <c r="L227" s="50"/>
      <c r="M227" s="49"/>
      <c r="N227" s="49"/>
      <c r="O227" s="140"/>
    </row>
    <row r="228" spans="1:15" x14ac:dyDescent="0.25">
      <c r="A228" s="101"/>
      <c r="B228" s="50"/>
      <c r="C228" s="50"/>
      <c r="D228" s="49"/>
      <c r="E228" s="49"/>
      <c r="F228" s="50"/>
      <c r="G228" s="49"/>
      <c r="H228" s="49"/>
      <c r="I228" s="50"/>
      <c r="J228" s="49"/>
      <c r="K228" s="49"/>
      <c r="L228" s="50"/>
      <c r="M228" s="49"/>
      <c r="N228" s="49"/>
      <c r="O228" s="140"/>
    </row>
    <row r="229" spans="1:15" x14ac:dyDescent="0.25">
      <c r="A229" s="101"/>
      <c r="B229" s="17"/>
      <c r="C229" s="17"/>
      <c r="D229" s="17"/>
      <c r="E229" s="17"/>
      <c r="F229" s="17"/>
      <c r="G229" s="17"/>
      <c r="H229" s="17"/>
      <c r="I229" s="17"/>
      <c r="J229" s="17"/>
      <c r="K229" s="17"/>
      <c r="L229" s="17"/>
      <c r="M229" s="17"/>
      <c r="N229" s="17"/>
      <c r="O229" s="17"/>
    </row>
    <row r="230" spans="1:15" x14ac:dyDescent="0.25">
      <c r="A230" s="102"/>
      <c r="B230" s="17"/>
      <c r="C230" s="17"/>
      <c r="D230" s="17"/>
      <c r="E230" s="17"/>
      <c r="F230" s="17"/>
      <c r="G230" s="17"/>
      <c r="H230" s="17"/>
      <c r="I230" s="17"/>
      <c r="J230" s="17"/>
      <c r="K230" s="17"/>
      <c r="L230" s="17"/>
      <c r="M230" s="17"/>
      <c r="N230" s="17"/>
      <c r="O230" s="17"/>
    </row>
    <row r="231" spans="1:15" x14ac:dyDescent="0.25">
      <c r="A231" s="133" t="s">
        <v>391</v>
      </c>
      <c r="B231" s="133"/>
      <c r="C231" s="133"/>
      <c r="D231" s="133">
        <f>SUM(D7:D225)</f>
        <v>19667767018</v>
      </c>
      <c r="E231" s="133">
        <f>SUM(E7:E225)</f>
        <v>15047009110</v>
      </c>
      <c r="F231" s="134">
        <f>(D231-E231)/E231</f>
        <v>0.30708813121732736</v>
      </c>
      <c r="G231" s="133">
        <f>SUM(G7:G225)</f>
        <v>3063192888</v>
      </c>
      <c r="H231" s="133">
        <f>SUM(H7:H225)</f>
        <v>2453338978</v>
      </c>
      <c r="I231" s="134">
        <f>(G231-H231)/H231</f>
        <v>0.24858118485410538</v>
      </c>
      <c r="J231" s="133">
        <f>SUM(J7:J225)</f>
        <v>10811582232</v>
      </c>
      <c r="K231" s="133">
        <f>SUM(K7:K225)</f>
        <v>8036326582</v>
      </c>
      <c r="L231" s="134">
        <f>(J231-K231)/K231</f>
        <v>0.34533883381694552</v>
      </c>
      <c r="M231" s="133">
        <f>SUM(M7:M225)</f>
        <v>5792991898</v>
      </c>
      <c r="N231" s="133">
        <f>SUM(N7:N225)</f>
        <v>4557343550</v>
      </c>
      <c r="O231" s="134">
        <f>(M231-N231)/N231</f>
        <v>0.2711334650204284</v>
      </c>
    </row>
    <row r="232" spans="1:15" x14ac:dyDescent="0.25">
      <c r="A232" s="133" t="s">
        <v>398</v>
      </c>
      <c r="B232" s="133"/>
      <c r="C232" s="133"/>
      <c r="D232" s="133">
        <f>D231/10000000</f>
        <v>1966.7767018</v>
      </c>
      <c r="E232" s="133">
        <f>E231/10000000</f>
        <v>1504.7009109999999</v>
      </c>
      <c r="F232" s="134">
        <f>(D232-E232)/E232</f>
        <v>0.30708813121732742</v>
      </c>
      <c r="G232" s="133">
        <f>G231/10000000</f>
        <v>306.31928879999998</v>
      </c>
      <c r="H232" s="133">
        <f>H231/10000000</f>
        <v>245.33389779999999</v>
      </c>
      <c r="I232" s="134">
        <f>(G232-H232)/H232</f>
        <v>0.24858118485410538</v>
      </c>
      <c r="J232" s="133">
        <f>J231/10000000</f>
        <v>1081.1582232000001</v>
      </c>
      <c r="K232" s="133">
        <f>K231/10000000</f>
        <v>803.63265820000004</v>
      </c>
      <c r="L232" s="134">
        <f>(J232-K232)/K232</f>
        <v>0.34533883381694558</v>
      </c>
      <c r="M232" s="133">
        <f>M231/10000000</f>
        <v>579.29918980000002</v>
      </c>
      <c r="N232" s="133">
        <f>N231/10000000</f>
        <v>455.73435499999999</v>
      </c>
      <c r="O232" s="134">
        <f>(M232-N232)/N232</f>
        <v>0.27113346502042845</v>
      </c>
    </row>
    <row r="233" spans="1:15" x14ac:dyDescent="0.25">
      <c r="A233" s="17"/>
      <c r="B233" s="17"/>
      <c r="C233" s="17"/>
      <c r="D233" s="17"/>
      <c r="E233" s="17"/>
      <c r="F233" s="17"/>
      <c r="G233" s="17"/>
      <c r="H233" s="17"/>
      <c r="I233" s="17"/>
      <c r="J233" s="17"/>
      <c r="K233" s="17"/>
      <c r="L233" s="17"/>
      <c r="M233" s="17"/>
      <c r="N233" s="17"/>
      <c r="O233"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7" activePane="bottomLeft" state="frozen"/>
      <selection pane="bottomLeft" activeCell="A7" sqref="A7:A225"/>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7" t="s">
        <v>311</v>
      </c>
      <c r="B3" s="308"/>
      <c r="C3" s="308"/>
      <c r="D3" s="308"/>
      <c r="E3" s="308"/>
      <c r="F3" s="308"/>
      <c r="G3" s="308"/>
      <c r="H3" s="308"/>
      <c r="I3" s="308"/>
      <c r="J3" s="308"/>
      <c r="K3" s="308"/>
      <c r="L3" s="267"/>
      <c r="M3" s="267"/>
      <c r="N3" s="267"/>
      <c r="O3" s="309"/>
    </row>
    <row r="4" spans="1:19" s="104" customFormat="1" x14ac:dyDescent="0.25">
      <c r="A4" s="286" t="s">
        <v>330</v>
      </c>
      <c r="B4" s="286" t="s">
        <v>311</v>
      </c>
      <c r="C4" s="286"/>
      <c r="D4" s="286"/>
      <c r="E4" s="286"/>
      <c r="F4" s="286"/>
      <c r="G4" s="286"/>
      <c r="H4" s="286" t="s">
        <v>365</v>
      </c>
      <c r="I4" s="286"/>
      <c r="J4" s="286"/>
      <c r="K4" s="286"/>
      <c r="L4" s="286" t="s">
        <v>309</v>
      </c>
      <c r="M4" s="286"/>
      <c r="N4" s="286"/>
      <c r="O4" s="286"/>
    </row>
    <row r="5" spans="1:19" s="104" customFormat="1" x14ac:dyDescent="0.25">
      <c r="A5" s="305"/>
      <c r="B5" s="305" t="s">
        <v>316</v>
      </c>
      <c r="C5" s="305"/>
      <c r="D5" s="305"/>
      <c r="E5" s="305" t="s">
        <v>317</v>
      </c>
      <c r="F5" s="305"/>
      <c r="G5" s="305"/>
      <c r="H5" s="305" t="s">
        <v>336</v>
      </c>
      <c r="I5" s="305"/>
      <c r="J5" s="305" t="s">
        <v>342</v>
      </c>
      <c r="K5" s="305"/>
      <c r="L5" s="305" t="s">
        <v>336</v>
      </c>
      <c r="M5" s="305"/>
      <c r="N5" s="305" t="s">
        <v>342</v>
      </c>
      <c r="O5" s="306"/>
    </row>
    <row r="6" spans="1:19" s="104" customFormat="1" x14ac:dyDescent="0.25">
      <c r="A6" s="76" t="s">
        <v>318</v>
      </c>
      <c r="B6" s="3">
        <f>'Total Valume'!B6</f>
        <v>46129</v>
      </c>
      <c r="C6" s="76" t="s">
        <v>322</v>
      </c>
      <c r="D6" s="76" t="s">
        <v>328</v>
      </c>
      <c r="E6" s="3">
        <f>B6</f>
        <v>46129</v>
      </c>
      <c r="F6" s="76" t="s">
        <v>322</v>
      </c>
      <c r="G6" s="76" t="s">
        <v>328</v>
      </c>
      <c r="H6" s="3">
        <f>E6</f>
        <v>46129</v>
      </c>
      <c r="I6" s="76" t="s">
        <v>333</v>
      </c>
      <c r="J6" s="3">
        <f>E6</f>
        <v>46129</v>
      </c>
      <c r="K6" s="76" t="s">
        <v>333</v>
      </c>
      <c r="L6" s="3">
        <f>E6</f>
        <v>46129</v>
      </c>
      <c r="M6" s="76" t="s">
        <v>333</v>
      </c>
      <c r="N6" s="3">
        <f>E6</f>
        <v>46129</v>
      </c>
      <c r="O6" s="76" t="s">
        <v>333</v>
      </c>
    </row>
    <row r="7" spans="1:19" x14ac:dyDescent="0.25">
      <c r="A7" s="105" t="str">
        <f>'Data Vlaue (Cr)'!C2</f>
        <v>360ONE</v>
      </c>
      <c r="B7" s="143">
        <f>VLOOKUP($A7,'Data shares'!$C:$FA,118)</f>
        <v>1.23</v>
      </c>
      <c r="C7" s="143">
        <f>VLOOKUP($A7,'Data shares'!$C:$FA,119)</f>
        <v>1.27</v>
      </c>
      <c r="D7" s="143">
        <f>VLOOKUP($A7,'Data shares'!$C:$FA,121)*100</f>
        <v>-3.15</v>
      </c>
      <c r="E7" s="143">
        <f>VLOOKUP($A7,'Data shares'!$C:$FA,124)</f>
        <v>0.54</v>
      </c>
      <c r="F7" s="143">
        <f>VLOOKUP($A7,'Data shares'!$C:$FA,125)</f>
        <v>0.98</v>
      </c>
      <c r="G7" s="143">
        <f>VLOOKUP($A7,'Data shares'!$C:$FA,127)*100</f>
        <v>-44.9</v>
      </c>
      <c r="H7" s="103">
        <f>VLOOKUP($A7,'OI(Volume)'!$A$7:$O$445,8)</f>
        <v>1780500</v>
      </c>
      <c r="I7" s="103">
        <f>VLOOKUP($A7,'OI(Volume)'!$A$7:$O$445,9)</f>
        <v>310000</v>
      </c>
      <c r="J7" s="103">
        <f>VLOOKUP($A7,'OI(Volume)'!$A$7:$O$445,11)</f>
        <v>2182000</v>
      </c>
      <c r="K7" s="103">
        <f>VLOOKUP($A7,'OI(Volume)'!$A$7:$O$445,12)</f>
        <v>319000</v>
      </c>
      <c r="L7" s="103">
        <f>VLOOKUP($A7,'OI(Value)'!$A$7:$O$329,8,0)</f>
        <v>198</v>
      </c>
      <c r="M7" s="103">
        <f>VLOOKUP($A7,'OI(Value)'!$A$7:$O$329,9,0)</f>
        <v>35</v>
      </c>
      <c r="N7" s="103">
        <f>VLOOKUP($A7,'OI(Value)'!$A$7:$O$329,11,0)</f>
        <v>243</v>
      </c>
      <c r="O7" s="103">
        <f>VLOOKUP($A7,'OI(Value)'!$A$7:$O$329,12,0)</f>
        <v>36</v>
      </c>
      <c r="P7" s="179">
        <f>VLOOKUP(A7,'OI(Value)'!A7:O182,8,0)</f>
        <v>198</v>
      </c>
      <c r="Q7" s="179">
        <f>VLOOKUP(A7,'OI(Value)'!A7:O182,9,0)</f>
        <v>35</v>
      </c>
      <c r="R7" s="179">
        <f>VLOOKUP(A7,'OI(Value)'!A7:O182,11,0)</f>
        <v>243</v>
      </c>
      <c r="S7" s="179">
        <f>VLOOKUP(A7,'OI(Value)'!A7:O182,12,0)</f>
        <v>36</v>
      </c>
    </row>
    <row r="8" spans="1:19" x14ac:dyDescent="0.25">
      <c r="A8" s="105" t="str">
        <f>'Data Vlaue (Cr)'!C3</f>
        <v>ABB</v>
      </c>
      <c r="B8" s="143">
        <f>VLOOKUP($A8,'Data shares'!$C:$FA,118)</f>
        <v>1.1299999999999999</v>
      </c>
      <c r="C8" s="143">
        <f>VLOOKUP($A8,'Data shares'!$C:$FA,119)</f>
        <v>1.07</v>
      </c>
      <c r="D8" s="143">
        <f>VLOOKUP($A8,'Data shares'!$C:$FA,121)*100</f>
        <v>5.6099999999999994</v>
      </c>
      <c r="E8" s="143">
        <f>VLOOKUP($A8,'Data shares'!$C:$FA,124)</f>
        <v>0.48</v>
      </c>
      <c r="F8" s="143">
        <f>VLOOKUP($A8,'Data shares'!$C:$FA,125)</f>
        <v>0.82</v>
      </c>
      <c r="G8" s="143">
        <f>VLOOKUP($A8,'Data shares'!$C:$FA,127)*100</f>
        <v>-41.46</v>
      </c>
      <c r="H8" s="103">
        <f>VLOOKUP($A8,'OI(Volume)'!$A$7:$O$445,8)</f>
        <v>999500</v>
      </c>
      <c r="I8" s="103">
        <f>VLOOKUP($A8,'OI(Volume)'!$A$7:$O$445,9)</f>
        <v>20250</v>
      </c>
      <c r="J8" s="103">
        <f>VLOOKUP($A8,'OI(Volume)'!$A$7:$O$445,11)</f>
        <v>1131500</v>
      </c>
      <c r="K8" s="103">
        <f>VLOOKUP($A8,'OI(Volume)'!$A$7:$O$445,12)</f>
        <v>84250</v>
      </c>
      <c r="L8" s="103">
        <f>VLOOKUP($A8,'OI(Value)'!$A$7:$O$329,8,0)</f>
        <v>703</v>
      </c>
      <c r="M8" s="103">
        <f>VLOOKUP($A8,'OI(Value)'!$A$7:$O$329,9,0)</f>
        <v>14</v>
      </c>
      <c r="N8" s="103">
        <f>VLOOKUP($A8,'OI(Value)'!$A$7:$O$329,11,0)</f>
        <v>796</v>
      </c>
      <c r="O8" s="103">
        <f>VLOOKUP($A8,'OI(Value)'!$A$7:$O$329,12,0)</f>
        <v>59</v>
      </c>
      <c r="P8" s="179">
        <f>VLOOKUP(A8,'OI(Value)'!A8:O232,8,0)</f>
        <v>703</v>
      </c>
      <c r="Q8" s="179">
        <f>VLOOKUP(A8,'OI(Value)'!A8:O232,9,0)</f>
        <v>14</v>
      </c>
      <c r="R8" s="179">
        <f>VLOOKUP(A8,'OI(Value)'!A8:O232,11,0)</f>
        <v>796</v>
      </c>
      <c r="S8" s="179">
        <f>VLOOKUP(A8,'OI(Value)'!A8:O232,11,0)</f>
        <v>796</v>
      </c>
    </row>
    <row r="9" spans="1:19" x14ac:dyDescent="0.25">
      <c r="A9" s="105" t="str">
        <f>'Data Vlaue (Cr)'!C4</f>
        <v>ABCAPITAL</v>
      </c>
      <c r="B9" s="143">
        <f>VLOOKUP($A9,'Data shares'!$C:$FA,118)</f>
        <v>0.61</v>
      </c>
      <c r="C9" s="143">
        <f>VLOOKUP($A9,'Data shares'!$C:$FA,119)</f>
        <v>0.78</v>
      </c>
      <c r="D9" s="143">
        <f>VLOOKUP($A9,'Data shares'!$C:$FA,121)*100</f>
        <v>-21.790000000000003</v>
      </c>
      <c r="E9" s="143">
        <f>VLOOKUP($A9,'Data shares'!$C:$FA,124)</f>
        <v>0.24</v>
      </c>
      <c r="F9" s="143">
        <f>VLOOKUP($A9,'Data shares'!$C:$FA,125)</f>
        <v>0.6</v>
      </c>
      <c r="G9" s="143">
        <f>VLOOKUP($A9,'Data shares'!$C:$FA,127)*100</f>
        <v>-60</v>
      </c>
      <c r="H9" s="103">
        <f>VLOOKUP($A9,'OI(Volume)'!$A$7:$O$445,8)</f>
        <v>16433100</v>
      </c>
      <c r="I9" s="103">
        <f>VLOOKUP($A9,'OI(Volume)'!$A$7:$O$445,9)</f>
        <v>5074700</v>
      </c>
      <c r="J9" s="103">
        <f>VLOOKUP($A9,'OI(Volume)'!$A$7:$O$445,11)</f>
        <v>10099800</v>
      </c>
      <c r="K9" s="103">
        <f>VLOOKUP($A9,'OI(Volume)'!$A$7:$O$445,12)</f>
        <v>1221400</v>
      </c>
      <c r="L9" s="103">
        <f>VLOOKUP($A9,'OI(Value)'!$A$7:$O$329,8,0)</f>
        <v>560</v>
      </c>
      <c r="M9" s="103">
        <f>VLOOKUP($A9,'OI(Value)'!$A$7:$O$329,9,0)</f>
        <v>173</v>
      </c>
      <c r="N9" s="103">
        <f>VLOOKUP($A9,'OI(Value)'!$A$7:$O$329,11,0)</f>
        <v>344</v>
      </c>
      <c r="O9" s="103">
        <f>VLOOKUP($A9,'OI(Value)'!$A$7:$O$329,12,0)</f>
        <v>42</v>
      </c>
      <c r="P9" s="179">
        <f>VLOOKUP(A9,'OI(Value)'!A9:O233,8,0)</f>
        <v>560</v>
      </c>
      <c r="Q9" s="179">
        <f>VLOOKUP(A9,'OI(Value)'!A9:O233,9,0)</f>
        <v>173</v>
      </c>
      <c r="R9" s="179">
        <f>VLOOKUP(A9,'OI(Value)'!A9:O233,11,0)</f>
        <v>344</v>
      </c>
      <c r="S9" s="179">
        <f>VLOOKUP(A9,'OI(Value)'!A9:O233,11,0)</f>
        <v>344</v>
      </c>
    </row>
    <row r="10" spans="1:19" x14ac:dyDescent="0.25">
      <c r="A10" s="105" t="str">
        <f>'Data Vlaue (Cr)'!C5</f>
        <v>ADANIENSOL</v>
      </c>
      <c r="B10" s="143">
        <f>VLOOKUP($A10,'Data shares'!$C:$FA,118)</f>
        <v>0.69</v>
      </c>
      <c r="C10" s="143">
        <f>VLOOKUP($A10,'Data shares'!$C:$FA,119)</f>
        <v>0.7</v>
      </c>
      <c r="D10" s="143">
        <f>VLOOKUP($A10,'Data shares'!$C:$FA,121)*100</f>
        <v>-1.43</v>
      </c>
      <c r="E10" s="143">
        <f>VLOOKUP($A10,'Data shares'!$C:$FA,124)</f>
        <v>0.55000000000000004</v>
      </c>
      <c r="F10" s="143">
        <f>VLOOKUP($A10,'Data shares'!$C:$FA,125)</f>
        <v>0.42</v>
      </c>
      <c r="G10" s="143">
        <f>VLOOKUP($A10,'Data shares'!$C:$FA,127)*100</f>
        <v>30.95</v>
      </c>
      <c r="H10" s="103">
        <f>VLOOKUP($A10,'OI(Volume)'!$A$7:$O$445,8)</f>
        <v>3996675</v>
      </c>
      <c r="I10" s="103">
        <f>VLOOKUP($A10,'OI(Volume)'!$A$7:$O$445,9)</f>
        <v>257175</v>
      </c>
      <c r="J10" s="103">
        <f>VLOOKUP($A10,'OI(Volume)'!$A$7:$O$445,11)</f>
        <v>2743875</v>
      </c>
      <c r="K10" s="103">
        <f>VLOOKUP($A10,'OI(Volume)'!$A$7:$O$445,12)</f>
        <v>119475</v>
      </c>
      <c r="L10" s="103">
        <f>VLOOKUP($A10,'OI(Value)'!$A$7:$O$329,8,0)</f>
        <v>504</v>
      </c>
      <c r="M10" s="103">
        <f>VLOOKUP($A10,'OI(Value)'!$A$7:$O$329,9,0)</f>
        <v>32</v>
      </c>
      <c r="N10" s="103">
        <f>VLOOKUP($A10,'OI(Value)'!$A$7:$O$329,11,0)</f>
        <v>346</v>
      </c>
      <c r="O10" s="103">
        <f>VLOOKUP($A10,'OI(Value)'!$A$7:$O$329,12,0)</f>
        <v>15</v>
      </c>
      <c r="P10" s="179">
        <f>VLOOKUP(A10,'OI(Value)'!A10:O234,8,0)</f>
        <v>504</v>
      </c>
      <c r="Q10" s="179">
        <f>VLOOKUP(A10,'OI(Value)'!A10:O234,9,0)</f>
        <v>32</v>
      </c>
      <c r="R10" s="179">
        <f>VLOOKUP(A10,'OI(Value)'!A10:O234,11,0)</f>
        <v>346</v>
      </c>
      <c r="S10" s="179">
        <f>VLOOKUP(A10,'OI(Value)'!A10:O234,11,0)</f>
        <v>346</v>
      </c>
    </row>
    <row r="11" spans="1:19" x14ac:dyDescent="0.25">
      <c r="A11" s="105" t="str">
        <f>'Data Vlaue (Cr)'!C6</f>
        <v>ADANIENT</v>
      </c>
      <c r="B11" s="143">
        <f>VLOOKUP($A11,'Data shares'!$C:$FA,118)</f>
        <v>0.94</v>
      </c>
      <c r="C11" s="143">
        <f>VLOOKUP($A11,'Data shares'!$C:$FA,119)</f>
        <v>0.99</v>
      </c>
      <c r="D11" s="143">
        <f>VLOOKUP($A11,'Data shares'!$C:$FA,121)*100</f>
        <v>-5.0500000000000007</v>
      </c>
      <c r="E11" s="143">
        <f>VLOOKUP($A11,'Data shares'!$C:$FA,124)</f>
        <v>0.48</v>
      </c>
      <c r="F11" s="143">
        <f>VLOOKUP($A11,'Data shares'!$C:$FA,125)</f>
        <v>0.47</v>
      </c>
      <c r="G11" s="143">
        <f>VLOOKUP($A11,'Data shares'!$C:$FA,127)*100</f>
        <v>2.13</v>
      </c>
      <c r="H11" s="103">
        <f>VLOOKUP($A11,'OI(Volume)'!$A$7:$O$445,8)</f>
        <v>7272315</v>
      </c>
      <c r="I11" s="103">
        <f>VLOOKUP($A11,'OI(Volume)'!$A$7:$O$445,9)</f>
        <v>383778</v>
      </c>
      <c r="J11" s="103">
        <f>VLOOKUP($A11,'OI(Volume)'!$A$7:$O$445,11)</f>
        <v>6807270</v>
      </c>
      <c r="K11" s="103">
        <f>VLOOKUP($A11,'OI(Volume)'!$A$7:$O$445,12)</f>
        <v>8034</v>
      </c>
      <c r="L11" s="103">
        <f>VLOOKUP($A11,'OI(Value)'!$A$7:$O$329,8,0)</f>
        <v>1618</v>
      </c>
      <c r="M11" s="103">
        <f>VLOOKUP($A11,'OI(Value)'!$A$7:$O$329,9,0)</f>
        <v>85</v>
      </c>
      <c r="N11" s="103">
        <f>VLOOKUP($A11,'OI(Value)'!$A$7:$O$329,11,0)</f>
        <v>1515</v>
      </c>
      <c r="O11" s="103">
        <f>VLOOKUP($A11,'OI(Value)'!$A$7:$O$329,12,0)</f>
        <v>2</v>
      </c>
      <c r="P11" s="179">
        <f>VLOOKUP(A11,'OI(Value)'!A11:O235,8,0)</f>
        <v>1618</v>
      </c>
      <c r="Q11" s="179">
        <f>VLOOKUP(A11,'OI(Value)'!A11:O235,9,0)</f>
        <v>85</v>
      </c>
      <c r="R11" s="179">
        <f>VLOOKUP(A11,'OI(Value)'!A11:O235,11,0)</f>
        <v>1515</v>
      </c>
      <c r="S11" s="179">
        <f>VLOOKUP(A11,'OI(Value)'!A11:O235,11,0)</f>
        <v>1515</v>
      </c>
    </row>
    <row r="12" spans="1:19" x14ac:dyDescent="0.25">
      <c r="A12" s="105" t="str">
        <f>'Data Vlaue (Cr)'!C7</f>
        <v>ADANIGREEN</v>
      </c>
      <c r="B12" s="143">
        <f>VLOOKUP($A12,'Data shares'!$C:$FA,118)</f>
        <v>0.84</v>
      </c>
      <c r="C12" s="143">
        <f>VLOOKUP($A12,'Data shares'!$C:$FA,119)</f>
        <v>0.86</v>
      </c>
      <c r="D12" s="143">
        <f>VLOOKUP($A12,'Data shares'!$C:$FA,121)*100</f>
        <v>-2.33</v>
      </c>
      <c r="E12" s="143">
        <f>VLOOKUP($A12,'Data shares'!$C:$FA,124)</f>
        <v>0.5</v>
      </c>
      <c r="F12" s="143">
        <f>VLOOKUP($A12,'Data shares'!$C:$FA,125)</f>
        <v>0.54</v>
      </c>
      <c r="G12" s="143">
        <f>VLOOKUP($A12,'Data shares'!$C:$FA,127)*100</f>
        <v>-7.41</v>
      </c>
      <c r="H12" s="103">
        <f>VLOOKUP($A12,'OI(Volume)'!$A$7:$O$445,8)</f>
        <v>8115600</v>
      </c>
      <c r="I12" s="103">
        <f>VLOOKUP($A12,'OI(Volume)'!$A$7:$O$445,9)</f>
        <v>247200</v>
      </c>
      <c r="J12" s="103">
        <f>VLOOKUP($A12,'OI(Volume)'!$A$7:$O$445,11)</f>
        <v>6835800</v>
      </c>
      <c r="K12" s="103">
        <f>VLOOKUP($A12,'OI(Volume)'!$A$7:$O$445,12)</f>
        <v>76800</v>
      </c>
      <c r="L12" s="103">
        <f>VLOOKUP($A12,'OI(Value)'!$A$7:$O$329,8,0)</f>
        <v>916</v>
      </c>
      <c r="M12" s="103">
        <f>VLOOKUP($A12,'OI(Value)'!$A$7:$O$329,9,0)</f>
        <v>28</v>
      </c>
      <c r="N12" s="103">
        <f>VLOOKUP($A12,'OI(Value)'!$A$7:$O$329,11,0)</f>
        <v>772</v>
      </c>
      <c r="O12" s="103">
        <f>VLOOKUP($A12,'OI(Value)'!$A$7:$O$329,12,0)</f>
        <v>9</v>
      </c>
      <c r="P12" s="179">
        <f>VLOOKUP(A12,'OI(Value)'!A12:O236,8,0)</f>
        <v>916</v>
      </c>
      <c r="Q12" s="179">
        <f>VLOOKUP(A12,'OI(Value)'!A12:O236,9,0)</f>
        <v>28</v>
      </c>
      <c r="R12" s="179">
        <f>VLOOKUP(A12,'OI(Value)'!A12:O236,11,0)</f>
        <v>772</v>
      </c>
      <c r="S12" s="179">
        <f>VLOOKUP(A12,'OI(Value)'!A12:O236,11,0)</f>
        <v>772</v>
      </c>
    </row>
    <row r="13" spans="1:19" x14ac:dyDescent="0.25">
      <c r="A13" s="105" t="str">
        <f>'Data Vlaue (Cr)'!C8</f>
        <v>ADANIPORTS</v>
      </c>
      <c r="B13" s="143">
        <f>VLOOKUP($A13,'Data shares'!$C:$FA,118)</f>
        <v>0.84</v>
      </c>
      <c r="C13" s="143">
        <f>VLOOKUP($A13,'Data shares'!$C:$FA,119)</f>
        <v>0.84</v>
      </c>
      <c r="D13" s="143">
        <f>VLOOKUP($A13,'Data shares'!$C:$FA,121)*100</f>
        <v>0</v>
      </c>
      <c r="E13" s="143">
        <f>VLOOKUP($A13,'Data shares'!$C:$FA,124)</f>
        <v>0.48</v>
      </c>
      <c r="F13" s="143">
        <f>VLOOKUP($A13,'Data shares'!$C:$FA,125)</f>
        <v>0.43</v>
      </c>
      <c r="G13" s="143">
        <f>VLOOKUP($A13,'Data shares'!$C:$FA,127)*100</f>
        <v>11.63</v>
      </c>
      <c r="H13" s="103">
        <f>VLOOKUP($A13,'OI(Volume)'!$A$7:$O$445,8)</f>
        <v>9410225</v>
      </c>
      <c r="I13" s="103">
        <f>VLOOKUP($A13,'OI(Volume)'!$A$7:$O$445,9)</f>
        <v>993700</v>
      </c>
      <c r="J13" s="103">
        <f>VLOOKUP($A13,'OI(Volume)'!$A$7:$O$445,11)</f>
        <v>7909225</v>
      </c>
      <c r="K13" s="103">
        <f>VLOOKUP($A13,'OI(Volume)'!$A$7:$O$445,12)</f>
        <v>846925</v>
      </c>
      <c r="L13" s="103">
        <f>VLOOKUP($A13,'OI(Value)'!$A$7:$O$329,8,0)</f>
        <v>1480</v>
      </c>
      <c r="M13" s="103">
        <f>VLOOKUP($A13,'OI(Value)'!$A$7:$O$329,9,0)</f>
        <v>156</v>
      </c>
      <c r="N13" s="103">
        <f>VLOOKUP($A13,'OI(Value)'!$A$7:$O$329,11,0)</f>
        <v>1244</v>
      </c>
      <c r="O13" s="103">
        <f>VLOOKUP($A13,'OI(Value)'!$A$7:$O$329,12,0)</f>
        <v>133</v>
      </c>
      <c r="P13" s="179">
        <f>VLOOKUP(A13,'OI(Value)'!A13:O237,8,0)</f>
        <v>1480</v>
      </c>
      <c r="Q13" s="179">
        <f>VLOOKUP(A13,'OI(Value)'!A13:O237,9,0)</f>
        <v>156</v>
      </c>
      <c r="R13" s="179">
        <f>VLOOKUP(A13,'OI(Value)'!A13:O237,11,0)</f>
        <v>1244</v>
      </c>
      <c r="S13" s="179">
        <f>VLOOKUP(A13,'OI(Value)'!A13:O237,11,0)</f>
        <v>1244</v>
      </c>
    </row>
    <row r="14" spans="1:19" x14ac:dyDescent="0.25">
      <c r="A14" s="105" t="str">
        <f>'Data Vlaue (Cr)'!C9</f>
        <v>ADANIPOWER</v>
      </c>
      <c r="B14" s="143">
        <f>VLOOKUP($A14,'Data shares'!$C:$FA,118)</f>
        <v>0.74</v>
      </c>
      <c r="C14" s="143">
        <f>VLOOKUP($A14,'Data shares'!$C:$FA,119)</f>
        <v>0.64</v>
      </c>
      <c r="D14" s="143">
        <f>VLOOKUP($A14,'Data shares'!$C:$FA,121)*100</f>
        <v>15.620000000000001</v>
      </c>
      <c r="E14" s="143">
        <f>VLOOKUP($A14,'Data shares'!$C:$FA,124)</f>
        <v>0.37</v>
      </c>
      <c r="F14" s="143">
        <f>VLOOKUP($A14,'Data shares'!$C:$FA,125)</f>
        <v>0.35</v>
      </c>
      <c r="G14" s="143">
        <f>VLOOKUP($A14,'Data shares'!$C:$FA,127)*100</f>
        <v>5.71</v>
      </c>
      <c r="H14" s="103">
        <f>VLOOKUP($A14,'OI(Volume)'!$A$7:$O$445,8)</f>
        <v>29564400</v>
      </c>
      <c r="I14" s="103">
        <f>VLOOKUP($A14,'OI(Volume)'!$A$7:$O$445,9)</f>
        <v>1672050</v>
      </c>
      <c r="J14" s="103">
        <f>VLOOKUP($A14,'OI(Volume)'!$A$7:$O$445,11)</f>
        <v>21921250</v>
      </c>
      <c r="K14" s="103">
        <f>VLOOKUP($A14,'OI(Volume)'!$A$7:$O$445,12)</f>
        <v>4135750</v>
      </c>
      <c r="L14" s="103">
        <f>VLOOKUP($A14,'OI(Value)'!$A$7:$O$329,8,0)</f>
        <v>589</v>
      </c>
      <c r="M14" s="103">
        <f>VLOOKUP($A14,'OI(Value)'!$A$7:$O$329,9,0)</f>
        <v>33</v>
      </c>
      <c r="N14" s="103">
        <f>VLOOKUP($A14,'OI(Value)'!$A$7:$O$329,11,0)</f>
        <v>437</v>
      </c>
      <c r="O14" s="103">
        <f>VLOOKUP($A14,'OI(Value)'!$A$7:$O$329,12,0)</f>
        <v>82</v>
      </c>
      <c r="P14" s="179">
        <f>VLOOKUP(A14,'OI(Value)'!A14:O238,8,0)</f>
        <v>589</v>
      </c>
      <c r="Q14" s="179">
        <f>VLOOKUP(A14,'OI(Value)'!A14:O238,9,0)</f>
        <v>33</v>
      </c>
      <c r="R14" s="179">
        <f>VLOOKUP(A14,'OI(Value)'!A14:O238,11,0)</f>
        <v>437</v>
      </c>
      <c r="S14" s="179">
        <f>VLOOKUP(A14,'OI(Value)'!A14:O238,11,0)</f>
        <v>437</v>
      </c>
    </row>
    <row r="15" spans="1:19" x14ac:dyDescent="0.25">
      <c r="A15" s="105" t="str">
        <f>'Data Vlaue (Cr)'!C10</f>
        <v>ALKEM</v>
      </c>
      <c r="B15" s="143">
        <f>VLOOKUP($A15,'Data shares'!$C:$FA,118)</f>
        <v>0.54</v>
      </c>
      <c r="C15" s="143">
        <f>VLOOKUP($A15,'Data shares'!$C:$FA,119)</f>
        <v>0.6</v>
      </c>
      <c r="D15" s="143">
        <f>VLOOKUP($A15,'Data shares'!$C:$FA,121)*100</f>
        <v>-10</v>
      </c>
      <c r="E15" s="143">
        <f>VLOOKUP($A15,'Data shares'!$C:$FA,124)</f>
        <v>0.33</v>
      </c>
      <c r="F15" s="143">
        <f>VLOOKUP($A15,'Data shares'!$C:$FA,125)</f>
        <v>0.36</v>
      </c>
      <c r="G15" s="143">
        <f>VLOOKUP($A15,'Data shares'!$C:$FA,127)*100</f>
        <v>-8.33</v>
      </c>
      <c r="H15" s="103">
        <f>VLOOKUP($A15,'OI(Volume)'!$A$7:$O$445,8)</f>
        <v>280000</v>
      </c>
      <c r="I15" s="103">
        <f>VLOOKUP($A15,'OI(Volume)'!$A$7:$O$445,9)</f>
        <v>30250</v>
      </c>
      <c r="J15" s="103">
        <f>VLOOKUP($A15,'OI(Volume)'!$A$7:$O$445,11)</f>
        <v>152000</v>
      </c>
      <c r="K15" s="103">
        <f>VLOOKUP($A15,'OI(Volume)'!$A$7:$O$445,12)</f>
        <v>1750</v>
      </c>
      <c r="L15" s="103">
        <f>VLOOKUP($A15,'OI(Value)'!$A$7:$O$329,8,0)</f>
        <v>156</v>
      </c>
      <c r="M15" s="103">
        <f>VLOOKUP($A15,'OI(Value)'!$A$7:$O$329,9,0)</f>
        <v>17</v>
      </c>
      <c r="N15" s="103">
        <f>VLOOKUP($A15,'OI(Value)'!$A$7:$O$329,11,0)</f>
        <v>85</v>
      </c>
      <c r="O15" s="103">
        <f>VLOOKUP($A15,'OI(Value)'!$A$7:$O$329,12,0)</f>
        <v>1</v>
      </c>
      <c r="P15" s="179">
        <f>VLOOKUP(A15,'OI(Value)'!A15:O239,8,0)</f>
        <v>156</v>
      </c>
      <c r="Q15" s="179">
        <f>VLOOKUP(A15,'OI(Value)'!A15:O239,9,0)</f>
        <v>17</v>
      </c>
      <c r="R15" s="179">
        <f>VLOOKUP(A15,'OI(Value)'!A15:O239,11,0)</f>
        <v>85</v>
      </c>
      <c r="S15" s="179">
        <f>VLOOKUP(A15,'OI(Value)'!A15:O239,11,0)</f>
        <v>85</v>
      </c>
    </row>
    <row r="16" spans="1:19" x14ac:dyDescent="0.25">
      <c r="A16" s="105" t="str">
        <f>'Data Vlaue (Cr)'!C11</f>
        <v>AMBER</v>
      </c>
      <c r="B16" s="143">
        <f>VLOOKUP($A16,'Data shares'!$C:$FA,118)</f>
        <v>0.78</v>
      </c>
      <c r="C16" s="143">
        <f>VLOOKUP($A16,'Data shares'!$C:$FA,119)</f>
        <v>0.74</v>
      </c>
      <c r="D16" s="143">
        <f>VLOOKUP($A16,'Data shares'!$C:$FA,121)*100</f>
        <v>5.41</v>
      </c>
      <c r="E16" s="143">
        <f>VLOOKUP($A16,'Data shares'!$C:$FA,124)</f>
        <v>0.55000000000000004</v>
      </c>
      <c r="F16" s="143">
        <f>VLOOKUP($A16,'Data shares'!$C:$FA,125)</f>
        <v>0.44</v>
      </c>
      <c r="G16" s="143">
        <f>VLOOKUP($A16,'Data shares'!$C:$FA,127)*100</f>
        <v>25</v>
      </c>
      <c r="H16" s="103">
        <f>VLOOKUP($A16,'OI(Volume)'!$A$7:$O$445,8)</f>
        <v>1005300</v>
      </c>
      <c r="I16" s="103">
        <f>VLOOKUP($A16,'OI(Volume)'!$A$7:$O$445,9)</f>
        <v>40600</v>
      </c>
      <c r="J16" s="103">
        <f>VLOOKUP($A16,'OI(Volume)'!$A$7:$O$445,11)</f>
        <v>782600</v>
      </c>
      <c r="K16" s="103">
        <f>VLOOKUP($A16,'OI(Volume)'!$A$7:$O$445,12)</f>
        <v>67800</v>
      </c>
      <c r="L16" s="103">
        <f>VLOOKUP($A16,'OI(Value)'!$A$7:$O$329,8,0)</f>
        <v>798</v>
      </c>
      <c r="M16" s="103">
        <f>VLOOKUP($A16,'OI(Value)'!$A$7:$O$329,9,0)</f>
        <v>32</v>
      </c>
      <c r="N16" s="103">
        <f>VLOOKUP($A16,'OI(Value)'!$A$7:$O$329,11,0)</f>
        <v>622</v>
      </c>
      <c r="O16" s="103">
        <f>VLOOKUP($A16,'OI(Value)'!$A$7:$O$329,12,0)</f>
        <v>54</v>
      </c>
      <c r="P16" s="179">
        <f>VLOOKUP(A16,'OI(Value)'!A16:O240,8,0)</f>
        <v>798</v>
      </c>
      <c r="Q16" s="179">
        <f>VLOOKUP(A16,'OI(Value)'!A16:O240,9,0)</f>
        <v>32</v>
      </c>
      <c r="R16" s="179">
        <f>VLOOKUP(A16,'OI(Value)'!A16:O240,11,0)</f>
        <v>622</v>
      </c>
      <c r="S16" s="179">
        <f>VLOOKUP(A16,'OI(Value)'!A16:O240,11,0)</f>
        <v>622</v>
      </c>
    </row>
    <row r="17" spans="1:19" x14ac:dyDescent="0.25">
      <c r="A17" s="105" t="str">
        <f>'Data Vlaue (Cr)'!C12</f>
        <v>AMBUJACEM</v>
      </c>
      <c r="B17" s="143">
        <f>VLOOKUP($A17,'Data shares'!$C:$FA,118)</f>
        <v>0.94</v>
      </c>
      <c r="C17" s="143">
        <f>VLOOKUP($A17,'Data shares'!$C:$FA,119)</f>
        <v>0.94</v>
      </c>
      <c r="D17" s="143">
        <f>VLOOKUP($A17,'Data shares'!$C:$FA,121)*100</f>
        <v>0</v>
      </c>
      <c r="E17" s="143">
        <f>VLOOKUP($A17,'Data shares'!$C:$FA,124)</f>
        <v>0.56000000000000005</v>
      </c>
      <c r="F17" s="143">
        <f>VLOOKUP($A17,'Data shares'!$C:$FA,125)</f>
        <v>0.55000000000000004</v>
      </c>
      <c r="G17" s="143">
        <f>VLOOKUP($A17,'Data shares'!$C:$FA,127)*100</f>
        <v>1.82</v>
      </c>
      <c r="H17" s="103">
        <f>VLOOKUP($A17,'OI(Volume)'!$A$7:$O$445,8)</f>
        <v>10616550</v>
      </c>
      <c r="I17" s="103">
        <f>VLOOKUP($A17,'OI(Volume)'!$A$7:$O$445,9)</f>
        <v>-15750</v>
      </c>
      <c r="J17" s="103">
        <f>VLOOKUP($A17,'OI(Volume)'!$A$7:$O$445,11)</f>
        <v>10006500</v>
      </c>
      <c r="K17" s="103">
        <f>VLOOKUP($A17,'OI(Volume)'!$A$7:$O$445,12)</f>
        <v>-8400</v>
      </c>
      <c r="L17" s="103">
        <f>VLOOKUP($A17,'OI(Value)'!$A$7:$O$329,8,0)</f>
        <v>487</v>
      </c>
      <c r="M17" s="103">
        <f>VLOOKUP($A17,'OI(Value)'!$A$7:$O$329,9,0)</f>
        <v>-1</v>
      </c>
      <c r="N17" s="103">
        <f>VLOOKUP($A17,'OI(Value)'!$A$7:$O$329,11,0)</f>
        <v>459</v>
      </c>
      <c r="O17" s="103">
        <f>VLOOKUP($A17,'OI(Value)'!$A$7:$O$329,12,0)</f>
        <v>0</v>
      </c>
      <c r="P17" s="179">
        <f>VLOOKUP(A17,'OI(Value)'!A17:O241,8,0)</f>
        <v>487</v>
      </c>
      <c r="Q17" s="179">
        <f>VLOOKUP(A17,'OI(Value)'!A17:O241,9,0)</f>
        <v>-1</v>
      </c>
      <c r="R17" s="179">
        <f>VLOOKUP(A17,'OI(Value)'!A17:O241,11,0)</f>
        <v>459</v>
      </c>
      <c r="S17" s="179">
        <f>VLOOKUP(A17,'OI(Value)'!A17:O241,11,0)</f>
        <v>459</v>
      </c>
    </row>
    <row r="18" spans="1:19" x14ac:dyDescent="0.25">
      <c r="A18" s="105" t="str">
        <f>'Data Vlaue (Cr)'!C13</f>
        <v>ANGELONE</v>
      </c>
      <c r="B18" s="143">
        <f>VLOOKUP($A18,'Data shares'!$C:$FA,118)</f>
        <v>1.23</v>
      </c>
      <c r="C18" s="143">
        <f>VLOOKUP($A18,'Data shares'!$C:$FA,119)</f>
        <v>0.72</v>
      </c>
      <c r="D18" s="143">
        <f>VLOOKUP($A18,'Data shares'!$C:$FA,121)*100</f>
        <v>70.83</v>
      </c>
      <c r="E18" s="143">
        <f>VLOOKUP($A18,'Data shares'!$C:$FA,124)</f>
        <v>0.48</v>
      </c>
      <c r="F18" s="143">
        <f>VLOOKUP($A18,'Data shares'!$C:$FA,125)</f>
        <v>0.78</v>
      </c>
      <c r="G18" s="143">
        <f>VLOOKUP($A18,'Data shares'!$C:$FA,127)*100</f>
        <v>-38.46</v>
      </c>
      <c r="H18" s="103">
        <f>VLOOKUP($A18,'OI(Volume)'!$A$7:$O$445,8)</f>
        <v>32425000</v>
      </c>
      <c r="I18" s="103">
        <f>VLOOKUP($A18,'OI(Volume)'!$A$7:$O$445,9)</f>
        <v>2532500</v>
      </c>
      <c r="J18" s="103">
        <f>VLOOKUP($A18,'OI(Volume)'!$A$7:$O$445,11)</f>
        <v>39760000</v>
      </c>
      <c r="K18" s="103">
        <f>VLOOKUP($A18,'OI(Volume)'!$A$7:$O$445,12)</f>
        <v>18262500</v>
      </c>
      <c r="L18" s="103">
        <f>VLOOKUP($A18,'OI(Value)'!$A$7:$O$329,8,0)</f>
        <v>1046</v>
      </c>
      <c r="M18" s="103">
        <f>VLOOKUP($A18,'OI(Value)'!$A$7:$O$329,9,0)</f>
        <v>82</v>
      </c>
      <c r="N18" s="103">
        <f>VLOOKUP($A18,'OI(Value)'!$A$7:$O$329,11,0)</f>
        <v>1283</v>
      </c>
      <c r="O18" s="103">
        <f>VLOOKUP($A18,'OI(Value)'!$A$7:$O$329,12,0)</f>
        <v>589</v>
      </c>
      <c r="P18" s="179">
        <f>VLOOKUP(A18,'OI(Value)'!A18:O242,8,0)</f>
        <v>1046</v>
      </c>
      <c r="Q18" s="179">
        <f>VLOOKUP(A18,'OI(Value)'!A18:O242,9,0)</f>
        <v>82</v>
      </c>
      <c r="R18" s="179">
        <f>VLOOKUP(A18,'OI(Value)'!A18:O242,11,0)</f>
        <v>1283</v>
      </c>
      <c r="S18" s="179">
        <f>VLOOKUP(A18,'OI(Value)'!A18:O242,11,0)</f>
        <v>1283</v>
      </c>
    </row>
    <row r="19" spans="1:19" x14ac:dyDescent="0.25">
      <c r="A19" s="105" t="str">
        <f>'Data Vlaue (Cr)'!C14</f>
        <v>APLAPOLLO</v>
      </c>
      <c r="B19" s="143">
        <f>VLOOKUP($A19,'Data shares'!$C:$FA,118)</f>
        <v>0.67</v>
      </c>
      <c r="C19" s="143">
        <f>VLOOKUP($A19,'Data shares'!$C:$FA,119)</f>
        <v>0.7</v>
      </c>
      <c r="D19" s="143">
        <f>VLOOKUP($A19,'Data shares'!$C:$FA,121)*100</f>
        <v>-4.29</v>
      </c>
      <c r="E19" s="143">
        <f>VLOOKUP($A19,'Data shares'!$C:$FA,124)</f>
        <v>0.28000000000000003</v>
      </c>
      <c r="F19" s="143">
        <f>VLOOKUP($A19,'Data shares'!$C:$FA,125)</f>
        <v>0.3</v>
      </c>
      <c r="G19" s="143">
        <f>VLOOKUP($A19,'Data shares'!$C:$FA,127)*100</f>
        <v>-6.67</v>
      </c>
      <c r="H19" s="103">
        <f>VLOOKUP($A19,'OI(Volume)'!$A$7:$O$445,8)</f>
        <v>1288350</v>
      </c>
      <c r="I19" s="103">
        <f>VLOOKUP($A19,'OI(Volume)'!$A$7:$O$445,9)</f>
        <v>96600</v>
      </c>
      <c r="J19" s="103">
        <f>VLOOKUP($A19,'OI(Volume)'!$A$7:$O$445,11)</f>
        <v>868700</v>
      </c>
      <c r="K19" s="103">
        <f>VLOOKUP($A19,'OI(Volume)'!$A$7:$O$445,12)</f>
        <v>32900</v>
      </c>
      <c r="L19" s="103">
        <f>VLOOKUP($A19,'OI(Value)'!$A$7:$O$329,8,0)</f>
        <v>271</v>
      </c>
      <c r="M19" s="103">
        <f>VLOOKUP($A19,'OI(Value)'!$A$7:$O$329,9,0)</f>
        <v>20</v>
      </c>
      <c r="N19" s="103">
        <f>VLOOKUP($A19,'OI(Value)'!$A$7:$O$329,11,0)</f>
        <v>183</v>
      </c>
      <c r="O19" s="103">
        <f>VLOOKUP($A19,'OI(Value)'!$A$7:$O$329,12,0)</f>
        <v>7</v>
      </c>
      <c r="P19" s="179">
        <f>VLOOKUP(A19,'OI(Value)'!A19:O243,8,0)</f>
        <v>271</v>
      </c>
      <c r="Q19" s="179">
        <f>VLOOKUP(A19,'OI(Value)'!A19:O243,9,0)</f>
        <v>20</v>
      </c>
      <c r="R19" s="179">
        <f>VLOOKUP(A19,'OI(Value)'!A19:O243,11,0)</f>
        <v>183</v>
      </c>
      <c r="S19" s="179">
        <f>VLOOKUP(A19,'OI(Value)'!A19:O243,11,0)</f>
        <v>183</v>
      </c>
    </row>
    <row r="20" spans="1:19" x14ac:dyDescent="0.25">
      <c r="A20" s="105" t="str">
        <f>'Data Vlaue (Cr)'!C15</f>
        <v>APOLLOHOSP</v>
      </c>
      <c r="B20" s="143">
        <f>VLOOKUP($A20,'Data shares'!$C:$FA,118)</f>
        <v>0.91</v>
      </c>
      <c r="C20" s="143">
        <f>VLOOKUP($A20,'Data shares'!$C:$FA,119)</f>
        <v>0.84</v>
      </c>
      <c r="D20" s="143">
        <f>VLOOKUP($A20,'Data shares'!$C:$FA,121)*100</f>
        <v>8.33</v>
      </c>
      <c r="E20" s="143">
        <f>VLOOKUP($A20,'Data shares'!$C:$FA,124)</f>
        <v>0.37</v>
      </c>
      <c r="F20" s="143">
        <f>VLOOKUP($A20,'Data shares'!$C:$FA,125)</f>
        <v>0.57999999999999996</v>
      </c>
      <c r="G20" s="143">
        <f>VLOOKUP($A20,'Data shares'!$C:$FA,127)*100</f>
        <v>-36.21</v>
      </c>
      <c r="H20" s="103">
        <f>VLOOKUP($A20,'OI(Volume)'!$A$7:$O$445,8)</f>
        <v>872625</v>
      </c>
      <c r="I20" s="103">
        <f>VLOOKUP($A20,'OI(Volume)'!$A$7:$O$445,9)</f>
        <v>6250</v>
      </c>
      <c r="J20" s="103">
        <f>VLOOKUP($A20,'OI(Volume)'!$A$7:$O$445,11)</f>
        <v>796750</v>
      </c>
      <c r="K20" s="103">
        <f>VLOOKUP($A20,'OI(Volume)'!$A$7:$O$445,12)</f>
        <v>71250</v>
      </c>
      <c r="L20" s="103">
        <f>VLOOKUP($A20,'OI(Value)'!$A$7:$O$329,8,0)</f>
        <v>672</v>
      </c>
      <c r="M20" s="103">
        <f>VLOOKUP($A20,'OI(Value)'!$A$7:$O$329,9,0)</f>
        <v>5</v>
      </c>
      <c r="N20" s="103">
        <f>VLOOKUP($A20,'OI(Value)'!$A$7:$O$329,11,0)</f>
        <v>613</v>
      </c>
      <c r="O20" s="103">
        <f>VLOOKUP($A20,'OI(Value)'!$A$7:$O$329,12,0)</f>
        <v>55</v>
      </c>
      <c r="P20" s="179">
        <f>VLOOKUP(A20,'OI(Value)'!A20:O244,8,0)</f>
        <v>672</v>
      </c>
      <c r="Q20" s="179">
        <f>VLOOKUP(A20,'OI(Value)'!A20:O244,9,0)</f>
        <v>5</v>
      </c>
      <c r="R20" s="179">
        <f>VLOOKUP(A20,'OI(Value)'!A20:O244,11,0)</f>
        <v>613</v>
      </c>
      <c r="S20" s="179">
        <f>VLOOKUP(A20,'OI(Value)'!A20:O244,11,0)</f>
        <v>613</v>
      </c>
    </row>
    <row r="21" spans="1:19" x14ac:dyDescent="0.25">
      <c r="A21" s="105" t="str">
        <f>'Data Vlaue (Cr)'!C16</f>
        <v>ASHOKLEY</v>
      </c>
      <c r="B21" s="143">
        <f>VLOOKUP($A21,'Data shares'!$C:$FA,118)</f>
        <v>0.74</v>
      </c>
      <c r="C21" s="143">
        <f>VLOOKUP($A21,'Data shares'!$C:$FA,119)</f>
        <v>0.76</v>
      </c>
      <c r="D21" s="143">
        <f>VLOOKUP($A21,'Data shares'!$C:$FA,121)*100</f>
        <v>-2.63</v>
      </c>
      <c r="E21" s="143">
        <f>VLOOKUP($A21,'Data shares'!$C:$FA,124)</f>
        <v>0.56999999999999995</v>
      </c>
      <c r="F21" s="143">
        <f>VLOOKUP($A21,'Data shares'!$C:$FA,125)</f>
        <v>0.66</v>
      </c>
      <c r="G21" s="143">
        <f>VLOOKUP($A21,'Data shares'!$C:$FA,127)*100</f>
        <v>-13.639999999999999</v>
      </c>
      <c r="H21" s="103">
        <f>VLOOKUP($A21,'OI(Volume)'!$A$7:$O$445,8)</f>
        <v>92395000</v>
      </c>
      <c r="I21" s="103">
        <f>VLOOKUP($A21,'OI(Volume)'!$A$7:$O$445,9)</f>
        <v>3490000</v>
      </c>
      <c r="J21" s="103">
        <f>VLOOKUP($A21,'OI(Volume)'!$A$7:$O$445,11)</f>
        <v>68100000</v>
      </c>
      <c r="K21" s="103">
        <f>VLOOKUP($A21,'OI(Volume)'!$A$7:$O$445,12)</f>
        <v>635000</v>
      </c>
      <c r="L21" s="103">
        <f>VLOOKUP($A21,'OI(Value)'!$A$7:$O$329,8,0)</f>
        <v>1617</v>
      </c>
      <c r="M21" s="103">
        <f>VLOOKUP($A21,'OI(Value)'!$A$7:$O$329,9,0)</f>
        <v>61</v>
      </c>
      <c r="N21" s="103">
        <f>VLOOKUP($A21,'OI(Value)'!$A$7:$O$329,11,0)</f>
        <v>1192</v>
      </c>
      <c r="O21" s="103">
        <f>VLOOKUP($A21,'OI(Value)'!$A$7:$O$329,12,0)</f>
        <v>11</v>
      </c>
      <c r="P21" s="179">
        <f>VLOOKUP(A21,'OI(Value)'!A21:O245,8,0)</f>
        <v>1617</v>
      </c>
      <c r="Q21" s="179">
        <f>VLOOKUP(A21,'OI(Value)'!A21:O245,9,0)</f>
        <v>61</v>
      </c>
      <c r="R21" s="179">
        <f>VLOOKUP(A21,'OI(Value)'!A21:O245,11,0)</f>
        <v>1192</v>
      </c>
      <c r="S21" s="179">
        <f>VLOOKUP(A21,'OI(Value)'!A21:O245,11,0)</f>
        <v>1192</v>
      </c>
    </row>
    <row r="22" spans="1:19" x14ac:dyDescent="0.25">
      <c r="A22" s="105" t="str">
        <f>'Data Vlaue (Cr)'!C17</f>
        <v>ASIANPAINT</v>
      </c>
      <c r="B22" s="143">
        <f>VLOOKUP($A22,'Data shares'!$C:$FA,118)</f>
        <v>1.1499999999999999</v>
      </c>
      <c r="C22" s="143">
        <f>VLOOKUP($A22,'Data shares'!$C:$FA,119)</f>
        <v>1.34</v>
      </c>
      <c r="D22" s="143">
        <f>VLOOKUP($A22,'Data shares'!$C:$FA,121)*100</f>
        <v>-14.180000000000001</v>
      </c>
      <c r="E22" s="143">
        <f>VLOOKUP($A22,'Data shares'!$C:$FA,124)</f>
        <v>0.7</v>
      </c>
      <c r="F22" s="143">
        <f>VLOOKUP($A22,'Data shares'!$C:$FA,125)</f>
        <v>0.82</v>
      </c>
      <c r="G22" s="143">
        <f>VLOOKUP($A22,'Data shares'!$C:$FA,127)*100</f>
        <v>-14.63</v>
      </c>
      <c r="H22" s="103">
        <f>VLOOKUP($A22,'OI(Volume)'!$A$7:$O$445,8)</f>
        <v>4461750</v>
      </c>
      <c r="I22" s="103">
        <f>VLOOKUP($A22,'OI(Volume)'!$A$7:$O$445,9)</f>
        <v>683000</v>
      </c>
      <c r="J22" s="103">
        <f>VLOOKUP($A22,'OI(Volume)'!$A$7:$O$445,11)</f>
        <v>5148000</v>
      </c>
      <c r="K22" s="103">
        <f>VLOOKUP($A22,'OI(Volume)'!$A$7:$O$445,12)</f>
        <v>83750</v>
      </c>
      <c r="L22" s="103">
        <f>VLOOKUP($A22,'OI(Value)'!$A$7:$O$329,8,0)</f>
        <v>1100</v>
      </c>
      <c r="M22" s="103">
        <f>VLOOKUP($A22,'OI(Value)'!$A$7:$O$329,9,0)</f>
        <v>168</v>
      </c>
      <c r="N22" s="103">
        <f>VLOOKUP($A22,'OI(Value)'!$A$7:$O$329,11,0)</f>
        <v>1269</v>
      </c>
      <c r="O22" s="103">
        <f>VLOOKUP($A22,'OI(Value)'!$A$7:$O$329,12,0)</f>
        <v>21</v>
      </c>
      <c r="P22" s="179">
        <f>VLOOKUP(A22,'OI(Value)'!A22:O246,8,0)</f>
        <v>1100</v>
      </c>
      <c r="Q22" s="179">
        <f>VLOOKUP(A22,'OI(Value)'!A22:O246,9,0)</f>
        <v>168</v>
      </c>
      <c r="R22" s="179">
        <f>VLOOKUP(A22,'OI(Value)'!A22:O246,11,0)</f>
        <v>1269</v>
      </c>
      <c r="S22" s="179">
        <f>VLOOKUP(A22,'OI(Value)'!A22:O246,11,0)</f>
        <v>1269</v>
      </c>
    </row>
    <row r="23" spans="1:19" x14ac:dyDescent="0.25">
      <c r="A23" s="105" t="str">
        <f>'Data Vlaue (Cr)'!C18</f>
        <v>ASTRAL</v>
      </c>
      <c r="B23" s="143">
        <f>VLOOKUP($A23,'Data shares'!$C:$FA,118)</f>
        <v>0.59</v>
      </c>
      <c r="C23" s="143">
        <f>VLOOKUP($A23,'Data shares'!$C:$FA,119)</f>
        <v>0.51</v>
      </c>
      <c r="D23" s="143">
        <f>VLOOKUP($A23,'Data shares'!$C:$FA,121)*100</f>
        <v>15.690000000000001</v>
      </c>
      <c r="E23" s="143">
        <f>VLOOKUP($A23,'Data shares'!$C:$FA,124)</f>
        <v>0.49</v>
      </c>
      <c r="F23" s="143">
        <f>VLOOKUP($A23,'Data shares'!$C:$FA,125)</f>
        <v>0.55000000000000004</v>
      </c>
      <c r="G23" s="143">
        <f>VLOOKUP($A23,'Data shares'!$C:$FA,127)*100</f>
        <v>-10.91</v>
      </c>
      <c r="H23" s="103">
        <f>VLOOKUP($A23,'OI(Volume)'!$A$7:$O$445,8)</f>
        <v>4231725</v>
      </c>
      <c r="I23" s="103">
        <f>VLOOKUP($A23,'OI(Volume)'!$A$7:$O$445,9)</f>
        <v>-355725</v>
      </c>
      <c r="J23" s="103">
        <f>VLOOKUP($A23,'OI(Volume)'!$A$7:$O$445,11)</f>
        <v>2486675</v>
      </c>
      <c r="K23" s="103">
        <f>VLOOKUP($A23,'OI(Volume)'!$A$7:$O$445,12)</f>
        <v>124950</v>
      </c>
      <c r="L23" s="103">
        <f>VLOOKUP($A23,'OI(Value)'!$A$7:$O$329,8,0)</f>
        <v>654</v>
      </c>
      <c r="M23" s="103">
        <f>VLOOKUP($A23,'OI(Value)'!$A$7:$O$329,9,0)</f>
        <v>-55</v>
      </c>
      <c r="N23" s="103">
        <f>VLOOKUP($A23,'OI(Value)'!$A$7:$O$329,11,0)</f>
        <v>384</v>
      </c>
      <c r="O23" s="103">
        <f>VLOOKUP($A23,'OI(Value)'!$A$7:$O$329,12,0)</f>
        <v>19</v>
      </c>
      <c r="P23" s="179">
        <f>VLOOKUP(A23,'OI(Value)'!A23:O247,8,0)</f>
        <v>654</v>
      </c>
      <c r="Q23" s="179">
        <f>VLOOKUP(A23,'OI(Value)'!A23:O247,9,0)</f>
        <v>-55</v>
      </c>
      <c r="R23" s="179">
        <f>VLOOKUP(A23,'OI(Value)'!A23:O247,11,0)</f>
        <v>384</v>
      </c>
      <c r="S23" s="179">
        <f>VLOOKUP(A23,'OI(Value)'!A23:O247,11,0)</f>
        <v>384</v>
      </c>
    </row>
    <row r="24" spans="1:19" x14ac:dyDescent="0.25">
      <c r="A24" s="105" t="str">
        <f>'Data Vlaue (Cr)'!C19</f>
        <v>AUBANK</v>
      </c>
      <c r="B24" s="143">
        <f>VLOOKUP($A24,'Data shares'!$C:$FA,118)</f>
        <v>0.8</v>
      </c>
      <c r="C24" s="143">
        <f>VLOOKUP($A24,'Data shares'!$C:$FA,119)</f>
        <v>0.84</v>
      </c>
      <c r="D24" s="143">
        <f>VLOOKUP($A24,'Data shares'!$C:$FA,121)*100</f>
        <v>-4.7600000000000007</v>
      </c>
      <c r="E24" s="143">
        <f>VLOOKUP($A24,'Data shares'!$C:$FA,124)</f>
        <v>0.75</v>
      </c>
      <c r="F24" s="143">
        <f>VLOOKUP($A24,'Data shares'!$C:$FA,125)</f>
        <v>0.87</v>
      </c>
      <c r="G24" s="143">
        <f>VLOOKUP($A24,'Data shares'!$C:$FA,127)*100</f>
        <v>-13.79</v>
      </c>
      <c r="H24" s="103">
        <f>VLOOKUP($A24,'OI(Volume)'!$A$7:$O$445,8)</f>
        <v>6799000</v>
      </c>
      <c r="I24" s="103">
        <f>VLOOKUP($A24,'OI(Volume)'!$A$7:$O$445,9)</f>
        <v>109000</v>
      </c>
      <c r="J24" s="103">
        <f>VLOOKUP($A24,'OI(Volume)'!$A$7:$O$445,11)</f>
        <v>5430000</v>
      </c>
      <c r="K24" s="103">
        <f>VLOOKUP($A24,'OI(Volume)'!$A$7:$O$445,12)</f>
        <v>-207000</v>
      </c>
      <c r="L24" s="103">
        <f>VLOOKUP($A24,'OI(Value)'!$A$7:$O$329,8,0)</f>
        <v>675</v>
      </c>
      <c r="M24" s="103">
        <f>VLOOKUP($A24,'OI(Value)'!$A$7:$O$329,9,0)</f>
        <v>11</v>
      </c>
      <c r="N24" s="103">
        <f>VLOOKUP($A24,'OI(Value)'!$A$7:$O$329,11,0)</f>
        <v>539</v>
      </c>
      <c r="O24" s="103">
        <f>VLOOKUP($A24,'OI(Value)'!$A$7:$O$329,12,0)</f>
        <v>-21</v>
      </c>
      <c r="P24" s="179">
        <f>VLOOKUP(A24,'OI(Value)'!A24:O248,8,0)</f>
        <v>675</v>
      </c>
      <c r="Q24" s="179">
        <f>VLOOKUP(A24,'OI(Value)'!A24:O248,9,0)</f>
        <v>11</v>
      </c>
      <c r="R24" s="179">
        <f>VLOOKUP(A24,'OI(Value)'!A24:O248,11,0)</f>
        <v>539</v>
      </c>
      <c r="S24" s="179">
        <f>VLOOKUP(A24,'OI(Value)'!A24:O248,11,0)</f>
        <v>539</v>
      </c>
    </row>
    <row r="25" spans="1:19" x14ac:dyDescent="0.25">
      <c r="A25" s="105" t="str">
        <f>'Data Vlaue (Cr)'!C20</f>
        <v>AUROPHARMA</v>
      </c>
      <c r="B25" s="143">
        <f>VLOOKUP($A25,'Data shares'!$C:$FA,118)</f>
        <v>0.7</v>
      </c>
      <c r="C25" s="143">
        <f>VLOOKUP($A25,'Data shares'!$C:$FA,119)</f>
        <v>0.72</v>
      </c>
      <c r="D25" s="143">
        <f>VLOOKUP($A25,'Data shares'!$C:$FA,121)*100</f>
        <v>-2.78</v>
      </c>
      <c r="E25" s="143">
        <f>VLOOKUP($A25,'Data shares'!$C:$FA,124)</f>
        <v>0.67</v>
      </c>
      <c r="F25" s="143">
        <f>VLOOKUP($A25,'Data shares'!$C:$FA,125)</f>
        <v>0.56999999999999995</v>
      </c>
      <c r="G25" s="143">
        <f>VLOOKUP($A25,'Data shares'!$C:$FA,127)*100</f>
        <v>17.54</v>
      </c>
      <c r="H25" s="103">
        <f>VLOOKUP($A25,'OI(Volume)'!$A$7:$O$445,8)</f>
        <v>3853300</v>
      </c>
      <c r="I25" s="103">
        <f>VLOOKUP($A25,'OI(Volume)'!$A$7:$O$445,9)</f>
        <v>5500</v>
      </c>
      <c r="J25" s="103">
        <f>VLOOKUP($A25,'OI(Volume)'!$A$7:$O$445,11)</f>
        <v>2701050</v>
      </c>
      <c r="K25" s="103">
        <f>VLOOKUP($A25,'OI(Volume)'!$A$7:$O$445,12)</f>
        <v>-62700</v>
      </c>
      <c r="L25" s="103">
        <f>VLOOKUP($A25,'OI(Value)'!$A$7:$O$329,8,0)</f>
        <v>535</v>
      </c>
      <c r="M25" s="103">
        <f>VLOOKUP($A25,'OI(Value)'!$A$7:$O$329,9,0)</f>
        <v>1</v>
      </c>
      <c r="N25" s="103">
        <f>VLOOKUP($A25,'OI(Value)'!$A$7:$O$329,11,0)</f>
        <v>375</v>
      </c>
      <c r="O25" s="103">
        <f>VLOOKUP($A25,'OI(Value)'!$A$7:$O$329,12,0)</f>
        <v>-9</v>
      </c>
      <c r="P25" s="179">
        <f>VLOOKUP(A25,'OI(Value)'!A25:O249,8,0)</f>
        <v>535</v>
      </c>
      <c r="Q25" s="179">
        <f>VLOOKUP(A25,'OI(Value)'!A25:O249,9,0)</f>
        <v>1</v>
      </c>
      <c r="R25" s="179">
        <f>VLOOKUP(A25,'OI(Value)'!A25:O249,11,0)</f>
        <v>375</v>
      </c>
      <c r="S25" s="179">
        <f>VLOOKUP(A25,'OI(Value)'!A25:O249,11,0)</f>
        <v>375</v>
      </c>
    </row>
    <row r="26" spans="1:19" x14ac:dyDescent="0.25">
      <c r="A26" s="105" t="str">
        <f>'Data Vlaue (Cr)'!C21</f>
        <v>AXISBANK</v>
      </c>
      <c r="B26" s="143">
        <f>VLOOKUP($A26,'Data shares'!$C:$FA,118)</f>
        <v>0.84</v>
      </c>
      <c r="C26" s="143">
        <f>VLOOKUP($A26,'Data shares'!$C:$FA,119)</f>
        <v>0.81</v>
      </c>
      <c r="D26" s="143">
        <f>VLOOKUP($A26,'Data shares'!$C:$FA,121)*100</f>
        <v>3.6999999999999997</v>
      </c>
      <c r="E26" s="143">
        <f>VLOOKUP($A26,'Data shares'!$C:$FA,124)</f>
        <v>0.69</v>
      </c>
      <c r="F26" s="143">
        <f>VLOOKUP($A26,'Data shares'!$C:$FA,125)</f>
        <v>0.88</v>
      </c>
      <c r="G26" s="143">
        <f>VLOOKUP($A26,'Data shares'!$C:$FA,127)*100</f>
        <v>-21.59</v>
      </c>
      <c r="H26" s="103">
        <f>VLOOKUP($A26,'OI(Volume)'!$A$7:$O$445,8)</f>
        <v>16693125</v>
      </c>
      <c r="I26" s="103">
        <f>VLOOKUP($A26,'OI(Volume)'!$A$7:$O$445,9)</f>
        <v>1250</v>
      </c>
      <c r="J26" s="103">
        <f>VLOOKUP($A26,'OI(Volume)'!$A$7:$O$445,11)</f>
        <v>13978750</v>
      </c>
      <c r="K26" s="103">
        <f>VLOOKUP($A26,'OI(Volume)'!$A$7:$O$445,12)</f>
        <v>437500</v>
      </c>
      <c r="L26" s="103">
        <f>VLOOKUP($A26,'OI(Value)'!$A$7:$O$329,8,0)</f>
        <v>2276</v>
      </c>
      <c r="M26" s="103">
        <f>VLOOKUP($A26,'OI(Value)'!$A$7:$O$329,9,0)</f>
        <v>0</v>
      </c>
      <c r="N26" s="103">
        <f>VLOOKUP($A26,'OI(Value)'!$A$7:$O$329,11,0)</f>
        <v>1906</v>
      </c>
      <c r="O26" s="103">
        <f>VLOOKUP($A26,'OI(Value)'!$A$7:$O$329,12,0)</f>
        <v>60</v>
      </c>
      <c r="P26" s="179">
        <f>VLOOKUP(A26,'OI(Value)'!A26:O250,8,0)</f>
        <v>2276</v>
      </c>
      <c r="Q26" s="179">
        <f>VLOOKUP(A26,'OI(Value)'!A26:O250,9,0)</f>
        <v>0</v>
      </c>
      <c r="R26" s="179">
        <f>VLOOKUP(A26,'OI(Value)'!A26:O250,11,0)</f>
        <v>1906</v>
      </c>
      <c r="S26" s="179">
        <f>VLOOKUP(A26,'OI(Value)'!A26:O250,11,0)</f>
        <v>1906</v>
      </c>
    </row>
    <row r="27" spans="1:19" x14ac:dyDescent="0.25">
      <c r="A27" s="105" t="str">
        <f>'Data Vlaue (Cr)'!C22</f>
        <v>BAJAJ-AUTO</v>
      </c>
      <c r="B27" s="143">
        <f>VLOOKUP($A27,'Data shares'!$C:$FA,118)</f>
        <v>0.89</v>
      </c>
      <c r="C27" s="143">
        <f>VLOOKUP($A27,'Data shares'!$C:$FA,119)</f>
        <v>1</v>
      </c>
      <c r="D27" s="143">
        <f>VLOOKUP($A27,'Data shares'!$C:$FA,121)*100</f>
        <v>-11</v>
      </c>
      <c r="E27" s="143">
        <f>VLOOKUP($A27,'Data shares'!$C:$FA,124)</f>
        <v>0.67</v>
      </c>
      <c r="F27" s="143">
        <f>VLOOKUP($A27,'Data shares'!$C:$FA,125)</f>
        <v>0.59</v>
      </c>
      <c r="G27" s="143">
        <f>VLOOKUP($A27,'Data shares'!$C:$FA,127)*100</f>
        <v>13.56</v>
      </c>
      <c r="H27" s="103">
        <f>VLOOKUP($A27,'OI(Volume)'!$A$7:$O$445,8)</f>
        <v>1282500</v>
      </c>
      <c r="I27" s="103">
        <f>VLOOKUP($A27,'OI(Volume)'!$A$7:$O$445,9)</f>
        <v>144525</v>
      </c>
      <c r="J27" s="103">
        <f>VLOOKUP($A27,'OI(Volume)'!$A$7:$O$445,11)</f>
        <v>1139025</v>
      </c>
      <c r="K27" s="103">
        <f>VLOOKUP($A27,'OI(Volume)'!$A$7:$O$445,12)</f>
        <v>2475</v>
      </c>
      <c r="L27" s="103">
        <f>VLOOKUP($A27,'OI(Value)'!$A$7:$O$329,8,0)</f>
        <v>1252</v>
      </c>
      <c r="M27" s="103">
        <f>VLOOKUP($A27,'OI(Value)'!$A$7:$O$329,9,0)</f>
        <v>141</v>
      </c>
      <c r="N27" s="103">
        <f>VLOOKUP($A27,'OI(Value)'!$A$7:$O$329,11,0)</f>
        <v>1112</v>
      </c>
      <c r="O27" s="103">
        <f>VLOOKUP($A27,'OI(Value)'!$A$7:$O$329,12,0)</f>
        <v>2</v>
      </c>
      <c r="P27" s="179">
        <f>VLOOKUP(A27,'OI(Value)'!A27:O251,8,0)</f>
        <v>1252</v>
      </c>
      <c r="Q27" s="179">
        <f>VLOOKUP(A27,'OI(Value)'!A27:O251,9,0)</f>
        <v>141</v>
      </c>
      <c r="R27" s="179">
        <f>VLOOKUP(A27,'OI(Value)'!A27:O251,11,0)</f>
        <v>1112</v>
      </c>
      <c r="S27" s="179">
        <f>VLOOKUP(A27,'OI(Value)'!A27:O251,11,0)</f>
        <v>1112</v>
      </c>
    </row>
    <row r="28" spans="1:19" x14ac:dyDescent="0.25">
      <c r="A28" s="105" t="str">
        <f>'Data Vlaue (Cr)'!C23</f>
        <v>BAJAJFINSV</v>
      </c>
      <c r="B28" s="143">
        <f>VLOOKUP($A28,'Data shares'!$C:$FA,118)</f>
        <v>1.02</v>
      </c>
      <c r="C28" s="143">
        <f>VLOOKUP($A28,'Data shares'!$C:$FA,119)</f>
        <v>1</v>
      </c>
      <c r="D28" s="143">
        <f>VLOOKUP($A28,'Data shares'!$C:$FA,121)*100</f>
        <v>2</v>
      </c>
      <c r="E28" s="143">
        <f>VLOOKUP($A28,'Data shares'!$C:$FA,124)</f>
        <v>0.66</v>
      </c>
      <c r="F28" s="143">
        <f>VLOOKUP($A28,'Data shares'!$C:$FA,125)</f>
        <v>0.44</v>
      </c>
      <c r="G28" s="143">
        <f>VLOOKUP($A28,'Data shares'!$C:$FA,127)*100</f>
        <v>50</v>
      </c>
      <c r="H28" s="103">
        <f>VLOOKUP($A28,'OI(Volume)'!$A$7:$O$445,8)</f>
        <v>3498750</v>
      </c>
      <c r="I28" s="103">
        <f>VLOOKUP($A28,'OI(Volume)'!$A$7:$O$445,9)</f>
        <v>-36750</v>
      </c>
      <c r="J28" s="103">
        <f>VLOOKUP($A28,'OI(Volume)'!$A$7:$O$445,11)</f>
        <v>3578500</v>
      </c>
      <c r="K28" s="103">
        <f>VLOOKUP($A28,'OI(Volume)'!$A$7:$O$445,12)</f>
        <v>49750</v>
      </c>
      <c r="L28" s="103">
        <f>VLOOKUP($A28,'OI(Value)'!$A$7:$O$329,8,0)</f>
        <v>644</v>
      </c>
      <c r="M28" s="103">
        <f>VLOOKUP($A28,'OI(Value)'!$A$7:$O$329,9,0)</f>
        <v>-7</v>
      </c>
      <c r="N28" s="103">
        <f>VLOOKUP($A28,'OI(Value)'!$A$7:$O$329,11,0)</f>
        <v>658</v>
      </c>
      <c r="O28" s="103">
        <f>VLOOKUP($A28,'OI(Value)'!$A$7:$O$329,12,0)</f>
        <v>9</v>
      </c>
      <c r="P28" s="179">
        <f>VLOOKUP(A28,'OI(Value)'!A28:O252,8,0)</f>
        <v>644</v>
      </c>
      <c r="Q28" s="179">
        <f>VLOOKUP(A28,'OI(Value)'!A28:O252,9,0)</f>
        <v>-7</v>
      </c>
      <c r="R28" s="179">
        <f>VLOOKUP(A28,'OI(Value)'!A28:O252,11,0)</f>
        <v>658</v>
      </c>
      <c r="S28" s="179">
        <f>VLOOKUP(A28,'OI(Value)'!A28:O252,11,0)</f>
        <v>658</v>
      </c>
    </row>
    <row r="29" spans="1:19" x14ac:dyDescent="0.25">
      <c r="A29" s="105" t="str">
        <f>'Data Vlaue (Cr)'!C24</f>
        <v>BAJAJHLDNG</v>
      </c>
      <c r="B29" s="143">
        <f>VLOOKUP($A29,'Data shares'!$C:$FA,118)</f>
        <v>0.55000000000000004</v>
      </c>
      <c r="C29" s="143">
        <f>VLOOKUP($A29,'Data shares'!$C:$FA,119)</f>
        <v>0.48</v>
      </c>
      <c r="D29" s="143">
        <f>VLOOKUP($A29,'Data shares'!$C:$FA,121)*100</f>
        <v>14.580000000000002</v>
      </c>
      <c r="E29" s="143">
        <f>VLOOKUP($A29,'Data shares'!$C:$FA,124)</f>
        <v>1.5</v>
      </c>
      <c r="F29" s="143">
        <f>VLOOKUP($A29,'Data shares'!$C:$FA,125)</f>
        <v>0.16</v>
      </c>
      <c r="G29" s="143">
        <f>VLOOKUP($A29,'Data shares'!$C:$FA,127)*100</f>
        <v>837.5</v>
      </c>
      <c r="H29" s="103">
        <f>VLOOKUP($A29,'OI(Volume)'!$A$7:$O$445,8)</f>
        <v>85300</v>
      </c>
      <c r="I29" s="103">
        <f>VLOOKUP($A29,'OI(Volume)'!$A$7:$O$445,9)</f>
        <v>-8200</v>
      </c>
      <c r="J29" s="103">
        <f>VLOOKUP($A29,'OI(Volume)'!$A$7:$O$445,11)</f>
        <v>46900</v>
      </c>
      <c r="K29" s="103">
        <f>VLOOKUP($A29,'OI(Volume)'!$A$7:$O$445,12)</f>
        <v>2300</v>
      </c>
      <c r="L29" s="103">
        <f>VLOOKUP($A29,'OI(Value)'!$A$7:$O$329,8,0)</f>
        <v>88</v>
      </c>
      <c r="M29" s="103">
        <f>VLOOKUP($A29,'OI(Value)'!$A$7:$O$329,9,0)</f>
        <v>-8</v>
      </c>
      <c r="N29" s="103">
        <f>VLOOKUP($A29,'OI(Value)'!$A$7:$O$329,11,0)</f>
        <v>49</v>
      </c>
      <c r="O29" s="103">
        <f>VLOOKUP($A29,'OI(Value)'!$A$7:$O$329,12,0)</f>
        <v>2</v>
      </c>
      <c r="P29" s="179">
        <f>VLOOKUP(A29,'OI(Value)'!A29:O253,8,0)</f>
        <v>88</v>
      </c>
      <c r="Q29" s="179">
        <f>VLOOKUP(A29,'OI(Value)'!A29:O253,9,0)</f>
        <v>-8</v>
      </c>
      <c r="R29" s="179">
        <f>VLOOKUP(A29,'OI(Value)'!A29:O253,11,0)</f>
        <v>49</v>
      </c>
      <c r="S29" s="179">
        <f>VLOOKUP(A29,'OI(Value)'!A29:O253,11,0)</f>
        <v>49</v>
      </c>
    </row>
    <row r="30" spans="1:19" x14ac:dyDescent="0.25">
      <c r="A30" s="105" t="str">
        <f>'Data Vlaue (Cr)'!C25</f>
        <v>BAJFINANCE</v>
      </c>
      <c r="B30" s="143">
        <f>VLOOKUP($A30,'Data shares'!$C:$FA,118)</f>
        <v>0.78</v>
      </c>
      <c r="C30" s="143">
        <f>VLOOKUP($A30,'Data shares'!$C:$FA,119)</f>
        <v>0.79</v>
      </c>
      <c r="D30" s="143">
        <f>VLOOKUP($A30,'Data shares'!$C:$FA,121)*100</f>
        <v>-1.27</v>
      </c>
      <c r="E30" s="143">
        <f>VLOOKUP($A30,'Data shares'!$C:$FA,124)</f>
        <v>0.63</v>
      </c>
      <c r="F30" s="143">
        <f>VLOOKUP($A30,'Data shares'!$C:$FA,125)</f>
        <v>0.56999999999999995</v>
      </c>
      <c r="G30" s="143">
        <f>VLOOKUP($A30,'Data shares'!$C:$FA,127)*100</f>
        <v>10.530000000000001</v>
      </c>
      <c r="H30" s="103">
        <f>VLOOKUP($A30,'OI(Volume)'!$A$7:$O$445,8)</f>
        <v>21938250</v>
      </c>
      <c r="I30" s="103">
        <f>VLOOKUP($A30,'OI(Volume)'!$A$7:$O$445,9)</f>
        <v>603000</v>
      </c>
      <c r="J30" s="103">
        <f>VLOOKUP($A30,'OI(Volume)'!$A$7:$O$445,11)</f>
        <v>17085750</v>
      </c>
      <c r="K30" s="103">
        <f>VLOOKUP($A30,'OI(Volume)'!$A$7:$O$445,12)</f>
        <v>222750</v>
      </c>
      <c r="L30" s="103">
        <f>VLOOKUP($A30,'OI(Value)'!$A$7:$O$329,8,0)</f>
        <v>1998</v>
      </c>
      <c r="M30" s="103">
        <f>VLOOKUP($A30,'OI(Value)'!$A$7:$O$329,9,0)</f>
        <v>55</v>
      </c>
      <c r="N30" s="103">
        <f>VLOOKUP($A30,'OI(Value)'!$A$7:$O$329,11,0)</f>
        <v>1556</v>
      </c>
      <c r="O30" s="103">
        <f>VLOOKUP($A30,'OI(Value)'!$A$7:$O$329,12,0)</f>
        <v>20</v>
      </c>
      <c r="P30" s="179">
        <f>VLOOKUP(A30,'OI(Value)'!A30:O254,8,0)</f>
        <v>1998</v>
      </c>
      <c r="Q30" s="179">
        <f>VLOOKUP(A30,'OI(Value)'!A30:O254,9,0)</f>
        <v>55</v>
      </c>
      <c r="R30" s="179">
        <f>VLOOKUP(A30,'OI(Value)'!A30:O254,11,0)</f>
        <v>1556</v>
      </c>
      <c r="S30" s="179">
        <f>VLOOKUP(A30,'OI(Value)'!A30:O254,11,0)</f>
        <v>1556</v>
      </c>
    </row>
    <row r="31" spans="1:19" x14ac:dyDescent="0.25">
      <c r="A31" s="105" t="str">
        <f>'Data Vlaue (Cr)'!C26</f>
        <v>BANDHANBNK</v>
      </c>
      <c r="B31" s="143">
        <f>VLOOKUP($A31,'Data shares'!$C:$FA,118)</f>
        <v>0.77</v>
      </c>
      <c r="C31" s="143">
        <f>VLOOKUP($A31,'Data shares'!$C:$FA,119)</f>
        <v>0.78</v>
      </c>
      <c r="D31" s="143">
        <f>VLOOKUP($A31,'Data shares'!$C:$FA,121)*100</f>
        <v>-1.28</v>
      </c>
      <c r="E31" s="143">
        <f>VLOOKUP($A31,'Data shares'!$C:$FA,124)</f>
        <v>0.74</v>
      </c>
      <c r="F31" s="143">
        <f>VLOOKUP($A31,'Data shares'!$C:$FA,125)</f>
        <v>0.75</v>
      </c>
      <c r="G31" s="143">
        <f>VLOOKUP($A31,'Data shares'!$C:$FA,127)*100</f>
        <v>-1.3299999999999998</v>
      </c>
      <c r="H31" s="103">
        <f>VLOOKUP($A31,'OI(Volume)'!$A$7:$O$445,8)</f>
        <v>26262000</v>
      </c>
      <c r="I31" s="103">
        <f>VLOOKUP($A31,'OI(Volume)'!$A$7:$O$445,9)</f>
        <v>864000</v>
      </c>
      <c r="J31" s="103">
        <f>VLOOKUP($A31,'OI(Volume)'!$A$7:$O$445,11)</f>
        <v>20196000</v>
      </c>
      <c r="K31" s="103">
        <f>VLOOKUP($A31,'OI(Volume)'!$A$7:$O$445,12)</f>
        <v>453600</v>
      </c>
      <c r="L31" s="103">
        <f>VLOOKUP($A31,'OI(Value)'!$A$7:$O$329,8,0)</f>
        <v>460</v>
      </c>
      <c r="M31" s="103">
        <f>VLOOKUP($A31,'OI(Value)'!$A$7:$O$329,9,0)</f>
        <v>15</v>
      </c>
      <c r="N31" s="103">
        <f>VLOOKUP($A31,'OI(Value)'!$A$7:$O$329,11,0)</f>
        <v>353</v>
      </c>
      <c r="O31" s="103">
        <f>VLOOKUP($A31,'OI(Value)'!$A$7:$O$329,12,0)</f>
        <v>8</v>
      </c>
      <c r="P31" s="179">
        <f>VLOOKUP(A31,'OI(Value)'!A31:O255,8,0)</f>
        <v>460</v>
      </c>
      <c r="Q31" s="179">
        <f>VLOOKUP(A31,'OI(Value)'!A31:O255,9,0)</f>
        <v>15</v>
      </c>
      <c r="R31" s="179">
        <f>VLOOKUP(A31,'OI(Value)'!A31:O255,11,0)</f>
        <v>353</v>
      </c>
      <c r="S31" s="179">
        <f>VLOOKUP(A31,'OI(Value)'!A31:O255,11,0)</f>
        <v>353</v>
      </c>
    </row>
    <row r="32" spans="1:19" x14ac:dyDescent="0.25">
      <c r="A32" s="105" t="str">
        <f>'Data Vlaue (Cr)'!C27</f>
        <v>BANKBARODA</v>
      </c>
      <c r="B32" s="143">
        <f>VLOOKUP($A32,'Data shares'!$C:$FA,118)</f>
        <v>0.95</v>
      </c>
      <c r="C32" s="143">
        <f>VLOOKUP($A32,'Data shares'!$C:$FA,119)</f>
        <v>0.94</v>
      </c>
      <c r="D32" s="143">
        <f>VLOOKUP($A32,'Data shares'!$C:$FA,121)*100</f>
        <v>1.06</v>
      </c>
      <c r="E32" s="143">
        <f>VLOOKUP($A32,'Data shares'!$C:$FA,124)</f>
        <v>0.71</v>
      </c>
      <c r="F32" s="143">
        <f>VLOOKUP($A32,'Data shares'!$C:$FA,125)</f>
        <v>0.63</v>
      </c>
      <c r="G32" s="143">
        <f>VLOOKUP($A32,'Data shares'!$C:$FA,127)*100</f>
        <v>12.7</v>
      </c>
      <c r="H32" s="103">
        <f>VLOOKUP($A32,'OI(Volume)'!$A$7:$O$445,8)</f>
        <v>41283450</v>
      </c>
      <c r="I32" s="103">
        <f>VLOOKUP($A32,'OI(Volume)'!$A$7:$O$445,9)</f>
        <v>29250</v>
      </c>
      <c r="J32" s="103">
        <f>VLOOKUP($A32,'OI(Volume)'!$A$7:$O$445,11)</f>
        <v>39373425</v>
      </c>
      <c r="K32" s="103">
        <f>VLOOKUP($A32,'OI(Volume)'!$A$7:$O$445,12)</f>
        <v>786825</v>
      </c>
      <c r="L32" s="103">
        <f>VLOOKUP($A32,'OI(Value)'!$A$7:$O$329,8,0)</f>
        <v>1161</v>
      </c>
      <c r="M32" s="103">
        <f>VLOOKUP($A32,'OI(Value)'!$A$7:$O$329,9,0)</f>
        <v>1</v>
      </c>
      <c r="N32" s="103">
        <f>VLOOKUP($A32,'OI(Value)'!$A$7:$O$329,11,0)</f>
        <v>1107</v>
      </c>
      <c r="O32" s="103">
        <f>VLOOKUP($A32,'OI(Value)'!$A$7:$O$329,12,0)</f>
        <v>22</v>
      </c>
      <c r="P32" s="179">
        <f>VLOOKUP(A32,'OI(Value)'!A32:O256,8,0)</f>
        <v>1161</v>
      </c>
      <c r="Q32" s="179">
        <f>VLOOKUP(A32,'OI(Value)'!A32:O256,9,0)</f>
        <v>1</v>
      </c>
      <c r="R32" s="179">
        <f>VLOOKUP(A32,'OI(Value)'!A32:O256,11,0)</f>
        <v>1107</v>
      </c>
      <c r="S32" s="179">
        <f>VLOOKUP(A32,'OI(Value)'!A32:O256,11,0)</f>
        <v>1107</v>
      </c>
    </row>
    <row r="33" spans="1:19" x14ac:dyDescent="0.25">
      <c r="A33" s="105" t="str">
        <f>'Data Vlaue (Cr)'!C28</f>
        <v>BANKINDIA</v>
      </c>
      <c r="B33" s="143">
        <f>VLOOKUP($A33,'Data shares'!$C:$FA,118)</f>
        <v>0.87</v>
      </c>
      <c r="C33" s="143">
        <f>VLOOKUP($A33,'Data shares'!$C:$FA,119)</f>
        <v>0.97</v>
      </c>
      <c r="D33" s="143">
        <f>VLOOKUP($A33,'Data shares'!$C:$FA,121)*100</f>
        <v>-10.31</v>
      </c>
      <c r="E33" s="143">
        <f>VLOOKUP($A33,'Data shares'!$C:$FA,124)</f>
        <v>0.48</v>
      </c>
      <c r="F33" s="143">
        <f>VLOOKUP($A33,'Data shares'!$C:$FA,125)</f>
        <v>0.63</v>
      </c>
      <c r="G33" s="143">
        <f>VLOOKUP($A33,'Data shares'!$C:$FA,127)*100</f>
        <v>-23.810000000000002</v>
      </c>
      <c r="H33" s="103">
        <f>VLOOKUP($A33,'OI(Volume)'!$A$7:$O$445,8)</f>
        <v>25625600</v>
      </c>
      <c r="I33" s="103">
        <f>VLOOKUP($A33,'OI(Volume)'!$A$7:$O$445,9)</f>
        <v>2111200</v>
      </c>
      <c r="J33" s="103">
        <f>VLOOKUP($A33,'OI(Volume)'!$A$7:$O$445,11)</f>
        <v>22391200</v>
      </c>
      <c r="K33" s="103">
        <f>VLOOKUP($A33,'OI(Volume)'!$A$7:$O$445,12)</f>
        <v>-426400</v>
      </c>
      <c r="L33" s="103">
        <f>VLOOKUP($A33,'OI(Value)'!$A$7:$O$329,8,0)</f>
        <v>380</v>
      </c>
      <c r="M33" s="103">
        <f>VLOOKUP($A33,'OI(Value)'!$A$7:$O$329,9,0)</f>
        <v>31</v>
      </c>
      <c r="N33" s="103">
        <f>VLOOKUP($A33,'OI(Value)'!$A$7:$O$329,11,0)</f>
        <v>332</v>
      </c>
      <c r="O33" s="103">
        <f>VLOOKUP($A33,'OI(Value)'!$A$7:$O$329,12,0)</f>
        <v>-6</v>
      </c>
      <c r="P33" s="179">
        <f>VLOOKUP(A33,'OI(Value)'!A33:O257,8,0)</f>
        <v>380</v>
      </c>
      <c r="Q33" s="179">
        <f>VLOOKUP(A33,'OI(Value)'!A33:O257,9,0)</f>
        <v>31</v>
      </c>
      <c r="R33" s="179">
        <f>VLOOKUP(A33,'OI(Value)'!A33:O257,11,0)</f>
        <v>332</v>
      </c>
      <c r="S33" s="179">
        <f>VLOOKUP(A33,'OI(Value)'!A33:O257,11,0)</f>
        <v>332</v>
      </c>
    </row>
    <row r="34" spans="1:19" x14ac:dyDescent="0.25">
      <c r="A34" s="105" t="str">
        <f>'Data Vlaue (Cr)'!C29</f>
        <v>BANKNIFTY</v>
      </c>
      <c r="B34" s="143">
        <f>VLOOKUP($A34,'Data shares'!$C:$FA,118)</f>
        <v>0.93</v>
      </c>
      <c r="C34" s="143">
        <f>VLOOKUP($A34,'Data shares'!$C:$FA,119)</f>
        <v>0.87</v>
      </c>
      <c r="D34" s="143">
        <f>VLOOKUP($A34,'Data shares'!$C:$FA,121)*100</f>
        <v>6.9</v>
      </c>
      <c r="E34" s="143">
        <f>VLOOKUP($A34,'Data shares'!$C:$FA,124)</f>
        <v>0.88</v>
      </c>
      <c r="F34" s="143">
        <f>VLOOKUP($A34,'Data shares'!$C:$FA,125)</f>
        <v>0.95</v>
      </c>
      <c r="G34" s="143">
        <f>VLOOKUP($A34,'Data shares'!$C:$FA,127)*100</f>
        <v>-7.37</v>
      </c>
      <c r="H34" s="103">
        <f>VLOOKUP($A34,'OI(Volume)'!$A$7:$O$445,8)</f>
        <v>19926240</v>
      </c>
      <c r="I34" s="103">
        <f>VLOOKUP($A34,'OI(Volume)'!$A$7:$O$445,9)</f>
        <v>600330</v>
      </c>
      <c r="J34" s="103">
        <f>VLOOKUP($A34,'OI(Volume)'!$A$7:$O$445,11)</f>
        <v>18585390</v>
      </c>
      <c r="K34" s="103">
        <f>VLOOKUP($A34,'OI(Volume)'!$A$7:$O$445,12)</f>
        <v>1853640</v>
      </c>
      <c r="L34" s="103">
        <f>VLOOKUP($A34,'OI(Value)'!$A$7:$O$329,8,0)</f>
        <v>112916</v>
      </c>
      <c r="M34" s="103">
        <f>VLOOKUP($A34,'OI(Value)'!$A$7:$O$329,9,0)</f>
        <v>3402</v>
      </c>
      <c r="N34" s="103">
        <f>VLOOKUP($A34,'OI(Value)'!$A$7:$O$329,11,0)</f>
        <v>105317</v>
      </c>
      <c r="O34" s="103">
        <f>VLOOKUP($A34,'OI(Value)'!$A$7:$O$329,12,0)</f>
        <v>10504</v>
      </c>
      <c r="P34" s="179">
        <f>VLOOKUP(A34,'OI(Value)'!A34:O258,8,0)</f>
        <v>112916</v>
      </c>
      <c r="Q34" s="179">
        <f>VLOOKUP(A34,'OI(Value)'!A34:O258,9,0)</f>
        <v>3402</v>
      </c>
      <c r="R34" s="179">
        <f>VLOOKUP(A34,'OI(Value)'!A34:O258,11,0)</f>
        <v>105317</v>
      </c>
      <c r="S34" s="179">
        <f>VLOOKUP(A34,'OI(Value)'!A34:O258,11,0)</f>
        <v>105317</v>
      </c>
    </row>
    <row r="35" spans="1:19" x14ac:dyDescent="0.25">
      <c r="A35" s="105" t="str">
        <f>'Data Vlaue (Cr)'!C30</f>
        <v>BDL</v>
      </c>
      <c r="B35" s="143">
        <f>VLOOKUP($A35,'Data shares'!$C:$FA,118)</f>
        <v>0.8</v>
      </c>
      <c r="C35" s="143">
        <f>VLOOKUP($A35,'Data shares'!$C:$FA,119)</f>
        <v>0.74</v>
      </c>
      <c r="D35" s="143">
        <f>VLOOKUP($A35,'Data shares'!$C:$FA,121)*100</f>
        <v>8.1100000000000012</v>
      </c>
      <c r="E35" s="143">
        <f>VLOOKUP($A35,'Data shares'!$C:$FA,124)</f>
        <v>0.52</v>
      </c>
      <c r="F35" s="143">
        <f>VLOOKUP($A35,'Data shares'!$C:$FA,125)</f>
        <v>0.48</v>
      </c>
      <c r="G35" s="143">
        <f>VLOOKUP($A35,'Data shares'!$C:$FA,127)*100</f>
        <v>8.33</v>
      </c>
      <c r="H35" s="103">
        <f>VLOOKUP($A35,'OI(Volume)'!$A$7:$O$445,8)</f>
        <v>3315550</v>
      </c>
      <c r="I35" s="103">
        <f>VLOOKUP($A35,'OI(Volume)'!$A$7:$O$445,9)</f>
        <v>-91700</v>
      </c>
      <c r="J35" s="103">
        <f>VLOOKUP($A35,'OI(Volume)'!$A$7:$O$445,11)</f>
        <v>2664200</v>
      </c>
      <c r="K35" s="103">
        <f>VLOOKUP($A35,'OI(Volume)'!$A$7:$O$445,12)</f>
        <v>134750</v>
      </c>
      <c r="L35" s="103">
        <f>VLOOKUP($A35,'OI(Value)'!$A$7:$O$329,8,0)</f>
        <v>458</v>
      </c>
      <c r="M35" s="103">
        <f>VLOOKUP($A35,'OI(Value)'!$A$7:$O$329,9,0)</f>
        <v>-13</v>
      </c>
      <c r="N35" s="103">
        <f>VLOOKUP($A35,'OI(Value)'!$A$7:$O$329,11,0)</f>
        <v>368</v>
      </c>
      <c r="O35" s="103">
        <f>VLOOKUP($A35,'OI(Value)'!$A$7:$O$329,12,0)</f>
        <v>19</v>
      </c>
      <c r="P35" s="179">
        <f>VLOOKUP(A35,'OI(Value)'!A35:O259,8,0)</f>
        <v>458</v>
      </c>
      <c r="Q35" s="179">
        <f>VLOOKUP(A35,'OI(Value)'!A35:O259,9,0)</f>
        <v>-13</v>
      </c>
      <c r="R35" s="179">
        <f>VLOOKUP(A35,'OI(Value)'!A35:O259,11,0)</f>
        <v>368</v>
      </c>
      <c r="S35" s="179">
        <f>VLOOKUP(A35,'OI(Value)'!A35:O259,11,0)</f>
        <v>368</v>
      </c>
    </row>
    <row r="36" spans="1:19" x14ac:dyDescent="0.25">
      <c r="A36" s="105" t="str">
        <f>'Data Vlaue (Cr)'!C31</f>
        <v>BEL</v>
      </c>
      <c r="B36" s="143">
        <f>VLOOKUP($A36,'Data shares'!$C:$FA,118)</f>
        <v>0.75</v>
      </c>
      <c r="C36" s="143">
        <f>VLOOKUP($A36,'Data shares'!$C:$FA,119)</f>
        <v>0.71</v>
      </c>
      <c r="D36" s="143">
        <f>VLOOKUP($A36,'Data shares'!$C:$FA,121)*100</f>
        <v>5.63</v>
      </c>
      <c r="E36" s="143">
        <f>VLOOKUP($A36,'Data shares'!$C:$FA,124)</f>
        <v>0.5</v>
      </c>
      <c r="F36" s="143">
        <f>VLOOKUP($A36,'Data shares'!$C:$FA,125)</f>
        <v>0.47</v>
      </c>
      <c r="G36" s="143">
        <f>VLOOKUP($A36,'Data shares'!$C:$FA,127)*100</f>
        <v>6.38</v>
      </c>
      <c r="H36" s="103">
        <f>VLOOKUP($A36,'OI(Volume)'!$A$7:$O$445,8)</f>
        <v>41927775</v>
      </c>
      <c r="I36" s="103">
        <f>VLOOKUP($A36,'OI(Volume)'!$A$7:$O$445,9)</f>
        <v>644100</v>
      </c>
      <c r="J36" s="103">
        <f>VLOOKUP($A36,'OI(Volume)'!$A$7:$O$445,11)</f>
        <v>31526700</v>
      </c>
      <c r="K36" s="103">
        <f>VLOOKUP($A36,'OI(Volume)'!$A$7:$O$445,12)</f>
        <v>2067675</v>
      </c>
      <c r="L36" s="103">
        <f>VLOOKUP($A36,'OI(Value)'!$A$7:$O$329,8,0)</f>
        <v>1941</v>
      </c>
      <c r="M36" s="103">
        <f>VLOOKUP($A36,'OI(Value)'!$A$7:$O$329,9,0)</f>
        <v>30</v>
      </c>
      <c r="N36" s="103">
        <f>VLOOKUP($A36,'OI(Value)'!$A$7:$O$329,11,0)</f>
        <v>1459</v>
      </c>
      <c r="O36" s="103">
        <f>VLOOKUP($A36,'OI(Value)'!$A$7:$O$329,12,0)</f>
        <v>96</v>
      </c>
      <c r="P36" s="179">
        <f>VLOOKUP(A36,'OI(Value)'!A36:O260,8,0)</f>
        <v>1941</v>
      </c>
      <c r="Q36" s="179">
        <f>VLOOKUP(A36,'OI(Value)'!A36:O260,9,0)</f>
        <v>30</v>
      </c>
      <c r="R36" s="179">
        <f>VLOOKUP(A36,'OI(Value)'!A36:O260,11,0)</f>
        <v>1459</v>
      </c>
      <c r="S36" s="179">
        <f>VLOOKUP(A36,'OI(Value)'!A36:O260,11,0)</f>
        <v>1459</v>
      </c>
    </row>
    <row r="37" spans="1:19" x14ac:dyDescent="0.25">
      <c r="A37" s="105" t="str">
        <f>'Data Vlaue (Cr)'!C32</f>
        <v>BHARATFORG</v>
      </c>
      <c r="B37" s="143">
        <f>VLOOKUP($A37,'Data shares'!$C:$FA,118)</f>
        <v>0.61</v>
      </c>
      <c r="C37" s="143">
        <f>VLOOKUP($A37,'Data shares'!$C:$FA,119)</f>
        <v>0.61</v>
      </c>
      <c r="D37" s="143">
        <f>VLOOKUP($A37,'Data shares'!$C:$FA,121)*100</f>
        <v>0</v>
      </c>
      <c r="E37" s="143">
        <f>VLOOKUP($A37,'Data shares'!$C:$FA,124)</f>
        <v>0.64</v>
      </c>
      <c r="F37" s="143">
        <f>VLOOKUP($A37,'Data shares'!$C:$FA,125)</f>
        <v>0.53</v>
      </c>
      <c r="G37" s="143">
        <f>VLOOKUP($A37,'Data shares'!$C:$FA,127)*100</f>
        <v>20.75</v>
      </c>
      <c r="H37" s="103">
        <f>VLOOKUP($A37,'OI(Volume)'!$A$7:$O$445,8)</f>
        <v>3239000</v>
      </c>
      <c r="I37" s="103">
        <f>VLOOKUP($A37,'OI(Volume)'!$A$7:$O$445,9)</f>
        <v>-63000</v>
      </c>
      <c r="J37" s="103">
        <f>VLOOKUP($A37,'OI(Volume)'!$A$7:$O$445,11)</f>
        <v>1985500</v>
      </c>
      <c r="K37" s="103">
        <f>VLOOKUP($A37,'OI(Volume)'!$A$7:$O$445,12)</f>
        <v>-34500</v>
      </c>
      <c r="L37" s="103">
        <f>VLOOKUP($A37,'OI(Value)'!$A$7:$O$329,8,0)</f>
        <v>602</v>
      </c>
      <c r="M37" s="103">
        <f>VLOOKUP($A37,'OI(Value)'!$A$7:$O$329,9,0)</f>
        <v>-12</v>
      </c>
      <c r="N37" s="103">
        <f>VLOOKUP($A37,'OI(Value)'!$A$7:$O$329,11,0)</f>
        <v>369</v>
      </c>
      <c r="O37" s="103">
        <f>VLOOKUP($A37,'OI(Value)'!$A$7:$O$329,12,0)</f>
        <v>-6</v>
      </c>
      <c r="P37" s="179">
        <f>VLOOKUP(A37,'OI(Value)'!A37:O261,8,0)</f>
        <v>602</v>
      </c>
      <c r="Q37" s="179">
        <f>VLOOKUP(A37,'OI(Value)'!A37:O261,9,0)</f>
        <v>-12</v>
      </c>
      <c r="R37" s="179">
        <f>VLOOKUP(A37,'OI(Value)'!A37:O261,11,0)</f>
        <v>369</v>
      </c>
      <c r="S37" s="179">
        <f>VLOOKUP(A37,'OI(Value)'!A37:O261,11,0)</f>
        <v>369</v>
      </c>
    </row>
    <row r="38" spans="1:19" x14ac:dyDescent="0.25">
      <c r="A38" s="105" t="str">
        <f>'Data Vlaue (Cr)'!C33</f>
        <v>BHARTIARTL</v>
      </c>
      <c r="B38" s="143">
        <f>VLOOKUP($A38,'Data shares'!$C:$FA,118)</f>
        <v>0.61</v>
      </c>
      <c r="C38" s="143">
        <f>VLOOKUP($A38,'Data shares'!$C:$FA,119)</f>
        <v>0.61</v>
      </c>
      <c r="D38" s="143">
        <f>VLOOKUP($A38,'Data shares'!$C:$FA,121)*100</f>
        <v>0</v>
      </c>
      <c r="E38" s="143">
        <f>VLOOKUP($A38,'Data shares'!$C:$FA,124)</f>
        <v>0.47</v>
      </c>
      <c r="F38" s="143">
        <f>VLOOKUP($A38,'Data shares'!$C:$FA,125)</f>
        <v>0.43</v>
      </c>
      <c r="G38" s="143">
        <f>VLOOKUP($A38,'Data shares'!$C:$FA,127)*100</f>
        <v>9.3000000000000007</v>
      </c>
      <c r="H38" s="103">
        <f>VLOOKUP($A38,'OI(Volume)'!$A$7:$O$445,8)</f>
        <v>13701850</v>
      </c>
      <c r="I38" s="103">
        <f>VLOOKUP($A38,'OI(Volume)'!$A$7:$O$445,9)</f>
        <v>572850</v>
      </c>
      <c r="J38" s="103">
        <f>VLOOKUP($A38,'OI(Volume)'!$A$7:$O$445,11)</f>
        <v>8349550</v>
      </c>
      <c r="K38" s="103">
        <f>VLOOKUP($A38,'OI(Volume)'!$A$7:$O$445,12)</f>
        <v>284525</v>
      </c>
      <c r="L38" s="103">
        <f>VLOOKUP($A38,'OI(Value)'!$A$7:$O$329,8,0)</f>
        <v>2533</v>
      </c>
      <c r="M38" s="103">
        <f>VLOOKUP($A38,'OI(Value)'!$A$7:$O$329,9,0)</f>
        <v>106</v>
      </c>
      <c r="N38" s="103">
        <f>VLOOKUP($A38,'OI(Value)'!$A$7:$O$329,11,0)</f>
        <v>1544</v>
      </c>
      <c r="O38" s="103">
        <f>VLOOKUP($A38,'OI(Value)'!$A$7:$O$329,12,0)</f>
        <v>53</v>
      </c>
      <c r="P38" s="179">
        <f>VLOOKUP(A38,'OI(Value)'!A38:O262,8,0)</f>
        <v>2533</v>
      </c>
      <c r="Q38" s="179">
        <f>VLOOKUP(A38,'OI(Value)'!A38:O262,9,0)</f>
        <v>106</v>
      </c>
      <c r="R38" s="179">
        <f>VLOOKUP(A38,'OI(Value)'!A38:O262,11,0)</f>
        <v>1544</v>
      </c>
      <c r="S38" s="179">
        <f>VLOOKUP(A38,'OI(Value)'!A38:O262,11,0)</f>
        <v>1544</v>
      </c>
    </row>
    <row r="39" spans="1:19" x14ac:dyDescent="0.25">
      <c r="A39" s="105" t="str">
        <f>'Data Vlaue (Cr)'!C34</f>
        <v>BHEL</v>
      </c>
      <c r="B39" s="143">
        <f>VLOOKUP($A39,'Data shares'!$C:$FA,118)</f>
        <v>0.88</v>
      </c>
      <c r="C39" s="143">
        <f>VLOOKUP($A39,'Data shares'!$C:$FA,119)</f>
        <v>0.91</v>
      </c>
      <c r="D39" s="143">
        <f>VLOOKUP($A39,'Data shares'!$C:$FA,121)*100</f>
        <v>-3.3000000000000003</v>
      </c>
      <c r="E39" s="143">
        <f>VLOOKUP($A39,'Data shares'!$C:$FA,124)</f>
        <v>0.6</v>
      </c>
      <c r="F39" s="143">
        <f>VLOOKUP($A39,'Data shares'!$C:$FA,125)</f>
        <v>0.43</v>
      </c>
      <c r="G39" s="143">
        <f>VLOOKUP($A39,'Data shares'!$C:$FA,127)*100</f>
        <v>39.53</v>
      </c>
      <c r="H39" s="103">
        <f>VLOOKUP($A39,'OI(Volume)'!$A$7:$O$445,8)</f>
        <v>43795500</v>
      </c>
      <c r="I39" s="103">
        <f>VLOOKUP($A39,'OI(Volume)'!$A$7:$O$445,9)</f>
        <v>1472625</v>
      </c>
      <c r="J39" s="103">
        <f>VLOOKUP($A39,'OI(Volume)'!$A$7:$O$445,11)</f>
        <v>38739750</v>
      </c>
      <c r="K39" s="103">
        <f>VLOOKUP($A39,'OI(Volume)'!$A$7:$O$445,12)</f>
        <v>115500</v>
      </c>
      <c r="L39" s="103">
        <f>VLOOKUP($A39,'OI(Value)'!$A$7:$O$329,8,0)</f>
        <v>1389</v>
      </c>
      <c r="M39" s="103">
        <f>VLOOKUP($A39,'OI(Value)'!$A$7:$O$329,9,0)</f>
        <v>47</v>
      </c>
      <c r="N39" s="103">
        <f>VLOOKUP($A39,'OI(Value)'!$A$7:$O$329,11,0)</f>
        <v>1229</v>
      </c>
      <c r="O39" s="103">
        <f>VLOOKUP($A39,'OI(Value)'!$A$7:$O$329,12,0)</f>
        <v>4</v>
      </c>
      <c r="P39" s="179">
        <f>VLOOKUP(A39,'OI(Value)'!A39:O263,8,0)</f>
        <v>1389</v>
      </c>
      <c r="Q39" s="179">
        <f>VLOOKUP(A39,'OI(Value)'!A39:O263,9,0)</f>
        <v>47</v>
      </c>
      <c r="R39" s="179">
        <f>VLOOKUP(A39,'OI(Value)'!A39:O263,11,0)</f>
        <v>1229</v>
      </c>
      <c r="S39" s="179">
        <f>VLOOKUP(A39,'OI(Value)'!A39:O263,11,0)</f>
        <v>1229</v>
      </c>
    </row>
    <row r="40" spans="1:19" x14ac:dyDescent="0.25">
      <c r="A40" s="105" t="str">
        <f>'Data Vlaue (Cr)'!C35</f>
        <v>BIOCON</v>
      </c>
      <c r="B40" s="143">
        <f>VLOOKUP($A40,'Data shares'!$C:$FA,118)</f>
        <v>0.64</v>
      </c>
      <c r="C40" s="143">
        <f>VLOOKUP($A40,'Data shares'!$C:$FA,119)</f>
        <v>0.64</v>
      </c>
      <c r="D40" s="143">
        <f>VLOOKUP($A40,'Data shares'!$C:$FA,121)*100</f>
        <v>0</v>
      </c>
      <c r="E40" s="143">
        <f>VLOOKUP($A40,'Data shares'!$C:$FA,124)</f>
        <v>0.24</v>
      </c>
      <c r="F40" s="143">
        <f>VLOOKUP($A40,'Data shares'!$C:$FA,125)</f>
        <v>0.38</v>
      </c>
      <c r="G40" s="143">
        <f>VLOOKUP($A40,'Data shares'!$C:$FA,127)*100</f>
        <v>-36.840000000000003</v>
      </c>
      <c r="H40" s="103">
        <f>VLOOKUP($A40,'OI(Volume)'!$A$7:$O$445,8)</f>
        <v>24287500</v>
      </c>
      <c r="I40" s="103">
        <f>VLOOKUP($A40,'OI(Volume)'!$A$7:$O$445,9)</f>
        <v>390000</v>
      </c>
      <c r="J40" s="103">
        <f>VLOOKUP($A40,'OI(Volume)'!$A$7:$O$445,11)</f>
        <v>15532500</v>
      </c>
      <c r="K40" s="103">
        <f>VLOOKUP($A40,'OI(Volume)'!$A$7:$O$445,12)</f>
        <v>317500</v>
      </c>
      <c r="L40" s="103">
        <f>VLOOKUP($A40,'OI(Value)'!$A$7:$O$329,8,0)</f>
        <v>871</v>
      </c>
      <c r="M40" s="103">
        <f>VLOOKUP($A40,'OI(Value)'!$A$7:$O$329,9,0)</f>
        <v>14</v>
      </c>
      <c r="N40" s="103">
        <f>VLOOKUP($A40,'OI(Value)'!$A$7:$O$329,11,0)</f>
        <v>557</v>
      </c>
      <c r="O40" s="103">
        <f>VLOOKUP($A40,'OI(Value)'!$A$7:$O$329,12,0)</f>
        <v>11</v>
      </c>
      <c r="P40" s="179">
        <f>VLOOKUP(A40,'OI(Value)'!A40:O264,8,0)</f>
        <v>871</v>
      </c>
      <c r="Q40" s="179">
        <f>VLOOKUP(A40,'OI(Value)'!A40:O264,9,0)</f>
        <v>14</v>
      </c>
      <c r="R40" s="179">
        <f>VLOOKUP(A40,'OI(Value)'!A40:O264,11,0)</f>
        <v>557</v>
      </c>
      <c r="S40" s="179">
        <f>VLOOKUP(A40,'OI(Value)'!A40:O264,11,0)</f>
        <v>557</v>
      </c>
    </row>
    <row r="41" spans="1:19" x14ac:dyDescent="0.25">
      <c r="A41" s="105" t="str">
        <f>'Data Vlaue (Cr)'!C36</f>
        <v>BLUESTARCO</v>
      </c>
      <c r="B41" s="143">
        <f>VLOOKUP($A41,'Data shares'!$C:$FA,118)</f>
        <v>0.63</v>
      </c>
      <c r="C41" s="143">
        <f>VLOOKUP($A41,'Data shares'!$C:$FA,119)</f>
        <v>0.61</v>
      </c>
      <c r="D41" s="143">
        <f>VLOOKUP($A41,'Data shares'!$C:$FA,121)*100</f>
        <v>3.2800000000000002</v>
      </c>
      <c r="E41" s="143">
        <f>VLOOKUP($A41,'Data shares'!$C:$FA,124)</f>
        <v>0.52</v>
      </c>
      <c r="F41" s="143">
        <f>VLOOKUP($A41,'Data shares'!$C:$FA,125)</f>
        <v>0.3</v>
      </c>
      <c r="G41" s="143">
        <f>VLOOKUP($A41,'Data shares'!$C:$FA,127)*100</f>
        <v>73.33</v>
      </c>
      <c r="H41" s="103">
        <f>VLOOKUP($A41,'OI(Volume)'!$A$7:$O$445,8)</f>
        <v>1554475</v>
      </c>
      <c r="I41" s="103">
        <f>VLOOKUP($A41,'OI(Volume)'!$A$7:$O$445,9)</f>
        <v>-24700</v>
      </c>
      <c r="J41" s="103">
        <f>VLOOKUP($A41,'OI(Volume)'!$A$7:$O$445,11)</f>
        <v>976300</v>
      </c>
      <c r="K41" s="103">
        <f>VLOOKUP($A41,'OI(Volume)'!$A$7:$O$445,12)</f>
        <v>15600</v>
      </c>
      <c r="L41" s="103">
        <f>VLOOKUP($A41,'OI(Value)'!$A$7:$O$329,8,0)</f>
        <v>289</v>
      </c>
      <c r="M41" s="103">
        <f>VLOOKUP($A41,'OI(Value)'!$A$7:$O$329,9,0)</f>
        <v>-5</v>
      </c>
      <c r="N41" s="103">
        <f>VLOOKUP($A41,'OI(Value)'!$A$7:$O$329,11,0)</f>
        <v>181</v>
      </c>
      <c r="O41" s="103">
        <f>VLOOKUP($A41,'OI(Value)'!$A$7:$O$329,12,0)</f>
        <v>3</v>
      </c>
      <c r="P41" s="179">
        <f>VLOOKUP(A41,'OI(Value)'!A41:O265,8,0)</f>
        <v>289</v>
      </c>
      <c r="Q41" s="179">
        <f>VLOOKUP(A41,'OI(Value)'!A41:O265,9,0)</f>
        <v>-5</v>
      </c>
      <c r="R41" s="179">
        <f>VLOOKUP(A41,'OI(Value)'!A41:O265,11,0)</f>
        <v>181</v>
      </c>
      <c r="S41" s="179">
        <f>VLOOKUP(A41,'OI(Value)'!A41:O265,11,0)</f>
        <v>181</v>
      </c>
    </row>
    <row r="42" spans="1:19" x14ac:dyDescent="0.25">
      <c r="A42" s="105" t="str">
        <f>'Data Vlaue (Cr)'!C37</f>
        <v>BOSCHLTD</v>
      </c>
      <c r="B42" s="143">
        <f>VLOOKUP($A42,'Data shares'!$C:$FA,118)</f>
        <v>0.89</v>
      </c>
      <c r="C42" s="143">
        <f>VLOOKUP($A42,'Data shares'!$C:$FA,119)</f>
        <v>0.89</v>
      </c>
      <c r="D42" s="143">
        <f>VLOOKUP($A42,'Data shares'!$C:$FA,121)*100</f>
        <v>0</v>
      </c>
      <c r="E42" s="143">
        <f>VLOOKUP($A42,'Data shares'!$C:$FA,124)</f>
        <v>3.76</v>
      </c>
      <c r="F42" s="143">
        <f>VLOOKUP($A42,'Data shares'!$C:$FA,125)</f>
        <v>1.05</v>
      </c>
      <c r="G42" s="143">
        <f>VLOOKUP($A42,'Data shares'!$C:$FA,127)*100</f>
        <v>258.10000000000002</v>
      </c>
      <c r="H42" s="103">
        <f>VLOOKUP($A42,'OI(Volume)'!$A$7:$O$445,8)</f>
        <v>253925</v>
      </c>
      <c r="I42" s="103">
        <f>VLOOKUP($A42,'OI(Volume)'!$A$7:$O$445,9)</f>
        <v>-875</v>
      </c>
      <c r="J42" s="103">
        <f>VLOOKUP($A42,'OI(Volume)'!$A$7:$O$445,11)</f>
        <v>225650</v>
      </c>
      <c r="K42" s="103">
        <f>VLOOKUP($A42,'OI(Volume)'!$A$7:$O$445,12)</f>
        <v>-650</v>
      </c>
      <c r="L42" s="103">
        <f>VLOOKUP($A42,'OI(Value)'!$A$7:$O$329,8,0)</f>
        <v>954</v>
      </c>
      <c r="M42" s="103">
        <f>VLOOKUP($A42,'OI(Value)'!$A$7:$O$329,9,0)</f>
        <v>-3</v>
      </c>
      <c r="N42" s="103">
        <f>VLOOKUP($A42,'OI(Value)'!$A$7:$O$329,11,0)</f>
        <v>848</v>
      </c>
      <c r="O42" s="103">
        <f>VLOOKUP($A42,'OI(Value)'!$A$7:$O$329,12,0)</f>
        <v>-2</v>
      </c>
      <c r="P42" s="179">
        <f>VLOOKUP(A42,'OI(Value)'!A42:O266,8,0)</f>
        <v>954</v>
      </c>
      <c r="Q42" s="179">
        <f>VLOOKUP(A42,'OI(Value)'!A42:O266,9,0)</f>
        <v>-3</v>
      </c>
      <c r="R42" s="179">
        <f>VLOOKUP(A42,'OI(Value)'!A42:O266,11,0)</f>
        <v>848</v>
      </c>
      <c r="S42" s="179">
        <f>VLOOKUP(A42,'OI(Value)'!A42:O266,11,0)</f>
        <v>848</v>
      </c>
    </row>
    <row r="43" spans="1:19" x14ac:dyDescent="0.25">
      <c r="A43" s="105" t="str">
        <f>'Data Vlaue (Cr)'!C38</f>
        <v>BPCL</v>
      </c>
      <c r="B43" s="143">
        <f>VLOOKUP($A43,'Data shares'!$C:$FA,118)</f>
        <v>0.88</v>
      </c>
      <c r="C43" s="143">
        <f>VLOOKUP($A43,'Data shares'!$C:$FA,119)</f>
        <v>0.88</v>
      </c>
      <c r="D43" s="143">
        <f>VLOOKUP($A43,'Data shares'!$C:$FA,121)*100</f>
        <v>0</v>
      </c>
      <c r="E43" s="143">
        <f>VLOOKUP($A43,'Data shares'!$C:$FA,124)</f>
        <v>0.48</v>
      </c>
      <c r="F43" s="143">
        <f>VLOOKUP($A43,'Data shares'!$C:$FA,125)</f>
        <v>0.59</v>
      </c>
      <c r="G43" s="143">
        <f>VLOOKUP($A43,'Data shares'!$C:$FA,127)*100</f>
        <v>-18.64</v>
      </c>
      <c r="H43" s="103">
        <f>VLOOKUP($A43,'OI(Volume)'!$A$7:$O$445,8)</f>
        <v>22821125</v>
      </c>
      <c r="I43" s="103">
        <f>VLOOKUP($A43,'OI(Volume)'!$A$7:$O$445,9)</f>
        <v>391050</v>
      </c>
      <c r="J43" s="103">
        <f>VLOOKUP($A43,'OI(Volume)'!$A$7:$O$445,11)</f>
        <v>20014650</v>
      </c>
      <c r="K43" s="103">
        <f>VLOOKUP($A43,'OI(Volume)'!$A$7:$O$445,12)</f>
        <v>316000</v>
      </c>
      <c r="L43" s="103">
        <f>VLOOKUP($A43,'OI(Value)'!$A$7:$O$329,8,0)</f>
        <v>714</v>
      </c>
      <c r="M43" s="103">
        <f>VLOOKUP($A43,'OI(Value)'!$A$7:$O$329,9,0)</f>
        <v>12</v>
      </c>
      <c r="N43" s="103">
        <f>VLOOKUP($A43,'OI(Value)'!$A$7:$O$329,11,0)</f>
        <v>627</v>
      </c>
      <c r="O43" s="103">
        <f>VLOOKUP($A43,'OI(Value)'!$A$7:$O$329,12,0)</f>
        <v>10</v>
      </c>
      <c r="P43" s="179">
        <f>VLOOKUP(A43,'OI(Value)'!A43:O267,8,0)</f>
        <v>714</v>
      </c>
      <c r="Q43" s="179">
        <f>VLOOKUP(A43,'OI(Value)'!A43:O267,9,0)</f>
        <v>12</v>
      </c>
      <c r="R43" s="179">
        <f>VLOOKUP(A43,'OI(Value)'!A43:O267,11,0)</f>
        <v>627</v>
      </c>
      <c r="S43" s="179">
        <f>VLOOKUP(A43,'OI(Value)'!A43:O267,11,0)</f>
        <v>627</v>
      </c>
    </row>
    <row r="44" spans="1:19" x14ac:dyDescent="0.25">
      <c r="A44" s="105" t="str">
        <f>'Data Vlaue (Cr)'!C39</f>
        <v>BRITANNIA</v>
      </c>
      <c r="B44" s="143">
        <f>VLOOKUP($A44,'Data shares'!$C:$FA,118)</f>
        <v>1.06</v>
      </c>
      <c r="C44" s="143">
        <f>VLOOKUP($A44,'Data shares'!$C:$FA,119)</f>
        <v>0.93</v>
      </c>
      <c r="D44" s="143">
        <f>VLOOKUP($A44,'Data shares'!$C:$FA,121)*100</f>
        <v>13.98</v>
      </c>
      <c r="E44" s="143">
        <f>VLOOKUP($A44,'Data shares'!$C:$FA,124)</f>
        <v>0.28000000000000003</v>
      </c>
      <c r="F44" s="143">
        <f>VLOOKUP($A44,'Data shares'!$C:$FA,125)</f>
        <v>0.43</v>
      </c>
      <c r="G44" s="143">
        <f>VLOOKUP($A44,'Data shares'!$C:$FA,127)*100</f>
        <v>-34.880000000000003</v>
      </c>
      <c r="H44" s="103">
        <f>VLOOKUP($A44,'OI(Volume)'!$A$7:$O$445,8)</f>
        <v>569875</v>
      </c>
      <c r="I44" s="103">
        <f>VLOOKUP($A44,'OI(Volume)'!$A$7:$O$445,9)</f>
        <v>-10625</v>
      </c>
      <c r="J44" s="103">
        <f>VLOOKUP($A44,'OI(Volume)'!$A$7:$O$445,11)</f>
        <v>603625</v>
      </c>
      <c r="K44" s="103">
        <f>VLOOKUP($A44,'OI(Volume)'!$A$7:$O$445,12)</f>
        <v>65625</v>
      </c>
      <c r="L44" s="103">
        <f>VLOOKUP($A44,'OI(Value)'!$A$7:$O$329,8,0)</f>
        <v>327</v>
      </c>
      <c r="M44" s="103">
        <f>VLOOKUP($A44,'OI(Value)'!$A$7:$O$329,9,0)</f>
        <v>-6</v>
      </c>
      <c r="N44" s="103">
        <f>VLOOKUP($A44,'OI(Value)'!$A$7:$O$329,11,0)</f>
        <v>346</v>
      </c>
      <c r="O44" s="103">
        <f>VLOOKUP($A44,'OI(Value)'!$A$7:$O$329,12,0)</f>
        <v>38</v>
      </c>
      <c r="P44" s="179">
        <f>VLOOKUP(A44,'OI(Value)'!A44:O268,8,0)</f>
        <v>327</v>
      </c>
      <c r="Q44" s="179">
        <f>VLOOKUP(A44,'OI(Value)'!A44:O268,9,0)</f>
        <v>-6</v>
      </c>
      <c r="R44" s="179">
        <f>VLOOKUP(A44,'OI(Value)'!A44:O268,11,0)</f>
        <v>346</v>
      </c>
      <c r="S44" s="179">
        <f>VLOOKUP(A44,'OI(Value)'!A44:O268,11,0)</f>
        <v>346</v>
      </c>
    </row>
    <row r="45" spans="1:19" x14ac:dyDescent="0.25">
      <c r="A45" s="105" t="str">
        <f>'Data Vlaue (Cr)'!C40</f>
        <v>BSE</v>
      </c>
      <c r="B45" s="143">
        <f>VLOOKUP($A45,'Data shares'!$C:$FA,118)</f>
        <v>1.32</v>
      </c>
      <c r="C45" s="143">
        <f>VLOOKUP($A45,'Data shares'!$C:$FA,119)</f>
        <v>1.29</v>
      </c>
      <c r="D45" s="143">
        <f>VLOOKUP($A45,'Data shares'!$C:$FA,121)*100</f>
        <v>2.33</v>
      </c>
      <c r="E45" s="143">
        <f>VLOOKUP($A45,'Data shares'!$C:$FA,124)</f>
        <v>0.77</v>
      </c>
      <c r="F45" s="143">
        <f>VLOOKUP($A45,'Data shares'!$C:$FA,125)</f>
        <v>0.89</v>
      </c>
      <c r="G45" s="143">
        <f>VLOOKUP($A45,'Data shares'!$C:$FA,127)*100</f>
        <v>-13.48</v>
      </c>
      <c r="H45" s="103">
        <f>VLOOKUP($A45,'OI(Volume)'!$A$7:$O$445,8)</f>
        <v>8000250</v>
      </c>
      <c r="I45" s="103">
        <f>VLOOKUP($A45,'OI(Volume)'!$A$7:$O$445,9)</f>
        <v>924000</v>
      </c>
      <c r="J45" s="103">
        <f>VLOOKUP($A45,'OI(Volume)'!$A$7:$O$445,11)</f>
        <v>10598625</v>
      </c>
      <c r="K45" s="103">
        <f>VLOOKUP($A45,'OI(Volume)'!$A$7:$O$445,12)</f>
        <v>1453125</v>
      </c>
      <c r="L45" s="103">
        <f>VLOOKUP($A45,'OI(Value)'!$A$7:$O$329,8,0)</f>
        <v>2833</v>
      </c>
      <c r="M45" s="103">
        <f>VLOOKUP($A45,'OI(Value)'!$A$7:$O$329,9,0)</f>
        <v>327</v>
      </c>
      <c r="N45" s="103">
        <f>VLOOKUP($A45,'OI(Value)'!$A$7:$O$329,11,0)</f>
        <v>3753</v>
      </c>
      <c r="O45" s="103">
        <f>VLOOKUP($A45,'OI(Value)'!$A$7:$O$329,12,0)</f>
        <v>515</v>
      </c>
      <c r="P45" s="179">
        <f>VLOOKUP(A45,'OI(Value)'!A45:O269,8,0)</f>
        <v>2833</v>
      </c>
      <c r="Q45" s="179">
        <f>VLOOKUP(A45,'OI(Value)'!A45:O269,9,0)</f>
        <v>327</v>
      </c>
      <c r="R45" s="179">
        <f>VLOOKUP(A45,'OI(Value)'!A45:O269,11,0)</f>
        <v>3753</v>
      </c>
      <c r="S45" s="179">
        <f>VLOOKUP(A45,'OI(Value)'!A45:O269,11,0)</f>
        <v>3753</v>
      </c>
    </row>
    <row r="46" spans="1:19" x14ac:dyDescent="0.25">
      <c r="A46" s="105" t="str">
        <f>'Data Vlaue (Cr)'!C41</f>
        <v>CAMS</v>
      </c>
      <c r="B46" s="143">
        <f>VLOOKUP($A46,'Data shares'!$C:$FA,118)</f>
        <v>0.85</v>
      </c>
      <c r="C46" s="143">
        <f>VLOOKUP($A46,'Data shares'!$C:$FA,119)</f>
        <v>0.77</v>
      </c>
      <c r="D46" s="143">
        <f>VLOOKUP($A46,'Data shares'!$C:$FA,121)*100</f>
        <v>10.39</v>
      </c>
      <c r="E46" s="143">
        <f>VLOOKUP($A46,'Data shares'!$C:$FA,124)</f>
        <v>0.49</v>
      </c>
      <c r="F46" s="143">
        <f>VLOOKUP($A46,'Data shares'!$C:$FA,125)</f>
        <v>0.52</v>
      </c>
      <c r="G46" s="143">
        <f>VLOOKUP($A46,'Data shares'!$C:$FA,127)*100</f>
        <v>-5.7700000000000005</v>
      </c>
      <c r="H46" s="103">
        <f>VLOOKUP($A46,'OI(Volume)'!$A$7:$O$445,8)</f>
        <v>2984250</v>
      </c>
      <c r="I46" s="103">
        <f>VLOOKUP($A46,'OI(Volume)'!$A$7:$O$445,9)</f>
        <v>330000</v>
      </c>
      <c r="J46" s="103">
        <f>VLOOKUP($A46,'OI(Volume)'!$A$7:$O$445,11)</f>
        <v>2545500</v>
      </c>
      <c r="K46" s="103">
        <f>VLOOKUP($A46,'OI(Volume)'!$A$7:$O$445,12)</f>
        <v>498750</v>
      </c>
      <c r="L46" s="103">
        <f>VLOOKUP($A46,'OI(Value)'!$A$7:$O$329,8,0)</f>
        <v>225</v>
      </c>
      <c r="M46" s="103">
        <f>VLOOKUP($A46,'OI(Value)'!$A$7:$O$329,9,0)</f>
        <v>25</v>
      </c>
      <c r="N46" s="103">
        <f>VLOOKUP($A46,'OI(Value)'!$A$7:$O$329,11,0)</f>
        <v>192</v>
      </c>
      <c r="O46" s="103">
        <f>VLOOKUP($A46,'OI(Value)'!$A$7:$O$329,12,0)</f>
        <v>38</v>
      </c>
      <c r="P46" s="179">
        <f>VLOOKUP(A46,'OI(Value)'!A46:O270,8,0)</f>
        <v>225</v>
      </c>
      <c r="Q46" s="179">
        <f>VLOOKUP(A46,'OI(Value)'!A46:O270,9,0)</f>
        <v>25</v>
      </c>
      <c r="R46" s="179">
        <f>VLOOKUP(A46,'OI(Value)'!A46:O270,11,0)</f>
        <v>192</v>
      </c>
      <c r="S46" s="179">
        <f>VLOOKUP(A46,'OI(Value)'!A46:O270,11,0)</f>
        <v>192</v>
      </c>
    </row>
    <row r="47" spans="1:19" x14ac:dyDescent="0.25">
      <c r="A47" s="105" t="str">
        <f>'Data Vlaue (Cr)'!C42</f>
        <v>CANBK</v>
      </c>
      <c r="B47" s="143">
        <f>VLOOKUP($A47,'Data shares'!$C:$FA,118)</f>
        <v>0.93</v>
      </c>
      <c r="C47" s="143">
        <f>VLOOKUP($A47,'Data shares'!$C:$FA,119)</f>
        <v>0.93</v>
      </c>
      <c r="D47" s="143">
        <f>VLOOKUP($A47,'Data shares'!$C:$FA,121)*100</f>
        <v>0</v>
      </c>
      <c r="E47" s="143">
        <f>VLOOKUP($A47,'Data shares'!$C:$FA,124)</f>
        <v>0.56999999999999995</v>
      </c>
      <c r="F47" s="143">
        <f>VLOOKUP($A47,'Data shares'!$C:$FA,125)</f>
        <v>0.79</v>
      </c>
      <c r="G47" s="143">
        <f>VLOOKUP($A47,'Data shares'!$C:$FA,127)*100</f>
        <v>-27.85</v>
      </c>
      <c r="H47" s="103">
        <f>VLOOKUP($A47,'OI(Volume)'!$A$7:$O$445,8)</f>
        <v>75303000</v>
      </c>
      <c r="I47" s="103">
        <f>VLOOKUP($A47,'OI(Volume)'!$A$7:$O$445,9)</f>
        <v>1107000</v>
      </c>
      <c r="J47" s="103">
        <f>VLOOKUP($A47,'OI(Volume)'!$A$7:$O$445,11)</f>
        <v>69835500</v>
      </c>
      <c r="K47" s="103">
        <f>VLOOKUP($A47,'OI(Volume)'!$A$7:$O$445,12)</f>
        <v>594000</v>
      </c>
      <c r="L47" s="103">
        <f>VLOOKUP($A47,'OI(Value)'!$A$7:$O$329,8,0)</f>
        <v>1074</v>
      </c>
      <c r="M47" s="103">
        <f>VLOOKUP($A47,'OI(Value)'!$A$7:$O$329,9,0)</f>
        <v>16</v>
      </c>
      <c r="N47" s="103">
        <f>VLOOKUP($A47,'OI(Value)'!$A$7:$O$329,11,0)</f>
        <v>996</v>
      </c>
      <c r="O47" s="103">
        <f>VLOOKUP($A47,'OI(Value)'!$A$7:$O$329,12,0)</f>
        <v>8</v>
      </c>
      <c r="P47" s="179">
        <f>VLOOKUP(A47,'OI(Value)'!A47:O271,8,0)</f>
        <v>1074</v>
      </c>
      <c r="Q47" s="179">
        <f>VLOOKUP(A47,'OI(Value)'!A47:O271,9,0)</f>
        <v>16</v>
      </c>
      <c r="R47" s="179">
        <f>VLOOKUP(A47,'OI(Value)'!A47:O271,11,0)</f>
        <v>996</v>
      </c>
      <c r="S47" s="179">
        <f>VLOOKUP(A47,'OI(Value)'!A47:O271,11,0)</f>
        <v>996</v>
      </c>
    </row>
    <row r="48" spans="1:19" x14ac:dyDescent="0.25">
      <c r="A48" s="105" t="str">
        <f>'Data Vlaue (Cr)'!C43</f>
        <v>CDSL</v>
      </c>
      <c r="B48" s="143">
        <f>VLOOKUP($A48,'Data shares'!$C:$FA,118)</f>
        <v>0.91</v>
      </c>
      <c r="C48" s="143">
        <f>VLOOKUP($A48,'Data shares'!$C:$FA,119)</f>
        <v>0.89</v>
      </c>
      <c r="D48" s="143">
        <f>VLOOKUP($A48,'Data shares'!$C:$FA,121)*100</f>
        <v>2.25</v>
      </c>
      <c r="E48" s="143">
        <f>VLOOKUP($A48,'Data shares'!$C:$FA,124)</f>
        <v>0.56999999999999995</v>
      </c>
      <c r="F48" s="143">
        <f>VLOOKUP($A48,'Data shares'!$C:$FA,125)</f>
        <v>0.56000000000000005</v>
      </c>
      <c r="G48" s="143">
        <f>VLOOKUP($A48,'Data shares'!$C:$FA,127)*100</f>
        <v>1.79</v>
      </c>
      <c r="H48" s="103">
        <f>VLOOKUP($A48,'OI(Volume)'!$A$7:$O$445,8)</f>
        <v>4859725</v>
      </c>
      <c r="I48" s="103">
        <f>VLOOKUP($A48,'OI(Volume)'!$A$7:$O$445,9)</f>
        <v>233700</v>
      </c>
      <c r="J48" s="103">
        <f>VLOOKUP($A48,'OI(Volume)'!$A$7:$O$445,11)</f>
        <v>4435550</v>
      </c>
      <c r="K48" s="103">
        <f>VLOOKUP($A48,'OI(Volume)'!$A$7:$O$445,12)</f>
        <v>332500</v>
      </c>
      <c r="L48" s="103">
        <f>VLOOKUP($A48,'OI(Value)'!$A$7:$O$329,8,0)</f>
        <v>678</v>
      </c>
      <c r="M48" s="103">
        <f>VLOOKUP($A48,'OI(Value)'!$A$7:$O$329,9,0)</f>
        <v>33</v>
      </c>
      <c r="N48" s="103">
        <f>VLOOKUP($A48,'OI(Value)'!$A$7:$O$329,11,0)</f>
        <v>619</v>
      </c>
      <c r="O48" s="103">
        <f>VLOOKUP($A48,'OI(Value)'!$A$7:$O$329,12,0)</f>
        <v>46</v>
      </c>
      <c r="P48" s="179">
        <f>VLOOKUP(A48,'OI(Value)'!A48:O272,8,0)</f>
        <v>678</v>
      </c>
      <c r="Q48" s="179">
        <f>VLOOKUP(A48,'OI(Value)'!A48:O272,9,0)</f>
        <v>33</v>
      </c>
      <c r="R48" s="179">
        <f>VLOOKUP(A48,'OI(Value)'!A48:O272,11,0)</f>
        <v>619</v>
      </c>
      <c r="S48" s="179">
        <f>VLOOKUP(A48,'OI(Value)'!A48:O272,11,0)</f>
        <v>619</v>
      </c>
    </row>
    <row r="49" spans="1:19" x14ac:dyDescent="0.25">
      <c r="A49" s="105" t="str">
        <f>'Data Vlaue (Cr)'!C44</f>
        <v>CGPOWER</v>
      </c>
      <c r="B49" s="143">
        <f>VLOOKUP($A49,'Data shares'!$C:$FA,118)</f>
        <v>0.64</v>
      </c>
      <c r="C49" s="143">
        <f>VLOOKUP($A49,'Data shares'!$C:$FA,119)</f>
        <v>0.59</v>
      </c>
      <c r="D49" s="143">
        <f>VLOOKUP($A49,'Data shares'!$C:$FA,121)*100</f>
        <v>8.4699999999999989</v>
      </c>
      <c r="E49" s="143">
        <f>VLOOKUP($A49,'Data shares'!$C:$FA,124)</f>
        <v>0.32</v>
      </c>
      <c r="F49" s="143">
        <f>VLOOKUP($A49,'Data shares'!$C:$FA,125)</f>
        <v>0.31</v>
      </c>
      <c r="G49" s="143">
        <f>VLOOKUP($A49,'Data shares'!$C:$FA,127)*100</f>
        <v>3.2300000000000004</v>
      </c>
      <c r="H49" s="103">
        <f>VLOOKUP($A49,'OI(Volume)'!$A$7:$O$445,8)</f>
        <v>4134400</v>
      </c>
      <c r="I49" s="103">
        <f>VLOOKUP($A49,'OI(Volume)'!$A$7:$O$445,9)</f>
        <v>-104550</v>
      </c>
      <c r="J49" s="103">
        <f>VLOOKUP($A49,'OI(Volume)'!$A$7:$O$445,11)</f>
        <v>2656250</v>
      </c>
      <c r="K49" s="103">
        <f>VLOOKUP($A49,'OI(Volume)'!$A$7:$O$445,12)</f>
        <v>140250</v>
      </c>
      <c r="L49" s="103">
        <f>VLOOKUP($A49,'OI(Value)'!$A$7:$O$329,8,0)</f>
        <v>320</v>
      </c>
      <c r="M49" s="103">
        <f>VLOOKUP($A49,'OI(Value)'!$A$7:$O$329,9,0)</f>
        <v>-8</v>
      </c>
      <c r="N49" s="103">
        <f>VLOOKUP($A49,'OI(Value)'!$A$7:$O$329,11,0)</f>
        <v>206</v>
      </c>
      <c r="O49" s="103">
        <f>VLOOKUP($A49,'OI(Value)'!$A$7:$O$329,12,0)</f>
        <v>11</v>
      </c>
      <c r="P49" s="179">
        <f>VLOOKUP(A49,'OI(Value)'!A49:O273,8,0)</f>
        <v>320</v>
      </c>
      <c r="Q49" s="179">
        <f>VLOOKUP(A49,'OI(Value)'!A49:O273,9,0)</f>
        <v>-8</v>
      </c>
      <c r="R49" s="179">
        <f>VLOOKUP(A49,'OI(Value)'!A49:O273,11,0)</f>
        <v>206</v>
      </c>
      <c r="S49" s="179">
        <f>VLOOKUP(A49,'OI(Value)'!A49:O273,11,0)</f>
        <v>206</v>
      </c>
    </row>
    <row r="50" spans="1:19" x14ac:dyDescent="0.25">
      <c r="A50" s="105" t="str">
        <f>'Data Vlaue (Cr)'!C45</f>
        <v>CHOLAFIN</v>
      </c>
      <c r="B50" s="143">
        <f>VLOOKUP($A50,'Data shares'!$C:$FA,118)</f>
        <v>0.86</v>
      </c>
      <c r="C50" s="143">
        <f>VLOOKUP($A50,'Data shares'!$C:$FA,119)</f>
        <v>0.86</v>
      </c>
      <c r="D50" s="143">
        <f>VLOOKUP($A50,'Data shares'!$C:$FA,121)*100</f>
        <v>0</v>
      </c>
      <c r="E50" s="143">
        <f>VLOOKUP($A50,'Data shares'!$C:$FA,124)</f>
        <v>0.66</v>
      </c>
      <c r="F50" s="143">
        <f>VLOOKUP($A50,'Data shares'!$C:$FA,125)</f>
        <v>0.54</v>
      </c>
      <c r="G50" s="143">
        <f>VLOOKUP($A50,'Data shares'!$C:$FA,127)*100</f>
        <v>22.220000000000002</v>
      </c>
      <c r="H50" s="103">
        <f>VLOOKUP($A50,'OI(Volume)'!$A$7:$O$445,8)</f>
        <v>4740625</v>
      </c>
      <c r="I50" s="103">
        <f>VLOOKUP($A50,'OI(Volume)'!$A$7:$O$445,9)</f>
        <v>260000</v>
      </c>
      <c r="J50" s="103">
        <f>VLOOKUP($A50,'OI(Volume)'!$A$7:$O$445,11)</f>
        <v>4055625</v>
      </c>
      <c r="K50" s="103">
        <f>VLOOKUP($A50,'OI(Volume)'!$A$7:$O$445,12)</f>
        <v>180000</v>
      </c>
      <c r="L50" s="103">
        <f>VLOOKUP($A50,'OI(Value)'!$A$7:$O$329,8,0)</f>
        <v>748</v>
      </c>
      <c r="M50" s="103">
        <f>VLOOKUP($A50,'OI(Value)'!$A$7:$O$329,9,0)</f>
        <v>41</v>
      </c>
      <c r="N50" s="103">
        <f>VLOOKUP($A50,'OI(Value)'!$A$7:$O$329,11,0)</f>
        <v>640</v>
      </c>
      <c r="O50" s="103">
        <f>VLOOKUP($A50,'OI(Value)'!$A$7:$O$329,12,0)</f>
        <v>28</v>
      </c>
      <c r="P50" s="179">
        <f>VLOOKUP(A50,'OI(Value)'!A50:O274,8,0)</f>
        <v>748</v>
      </c>
      <c r="Q50" s="179">
        <f>VLOOKUP(A50,'OI(Value)'!A50:O274,9,0)</f>
        <v>41</v>
      </c>
      <c r="R50" s="179">
        <f>VLOOKUP(A50,'OI(Value)'!A50:O274,11,0)</f>
        <v>640</v>
      </c>
      <c r="S50" s="179">
        <f>VLOOKUP(A50,'OI(Value)'!A50:O274,11,0)</f>
        <v>640</v>
      </c>
    </row>
    <row r="51" spans="1:19" x14ac:dyDescent="0.25">
      <c r="A51" s="105" t="str">
        <f>'Data Vlaue (Cr)'!C46</f>
        <v>CIPLA</v>
      </c>
      <c r="B51" s="143">
        <f>VLOOKUP($A51,'Data shares'!$C:$FA,118)</f>
        <v>0.89</v>
      </c>
      <c r="C51" s="143">
        <f>VLOOKUP($A51,'Data shares'!$C:$FA,119)</f>
        <v>0.82</v>
      </c>
      <c r="D51" s="143">
        <f>VLOOKUP($A51,'Data shares'!$C:$FA,121)*100</f>
        <v>8.5400000000000009</v>
      </c>
      <c r="E51" s="143">
        <f>VLOOKUP($A51,'Data shares'!$C:$FA,124)</f>
        <v>0.37</v>
      </c>
      <c r="F51" s="143">
        <f>VLOOKUP($A51,'Data shares'!$C:$FA,125)</f>
        <v>0.31</v>
      </c>
      <c r="G51" s="143">
        <f>VLOOKUP($A51,'Data shares'!$C:$FA,127)*100</f>
        <v>19.350000000000001</v>
      </c>
      <c r="H51" s="103">
        <f>VLOOKUP($A51,'OI(Volume)'!$A$7:$O$445,8)</f>
        <v>4284375</v>
      </c>
      <c r="I51" s="103">
        <f>VLOOKUP($A51,'OI(Volume)'!$A$7:$O$445,9)</f>
        <v>-218625</v>
      </c>
      <c r="J51" s="103">
        <f>VLOOKUP($A51,'OI(Volume)'!$A$7:$O$445,11)</f>
        <v>3826875</v>
      </c>
      <c r="K51" s="103">
        <f>VLOOKUP($A51,'OI(Volume)'!$A$7:$O$445,12)</f>
        <v>128625</v>
      </c>
      <c r="L51" s="103">
        <f>VLOOKUP($A51,'OI(Value)'!$A$7:$O$329,8,0)</f>
        <v>533</v>
      </c>
      <c r="M51" s="103">
        <f>VLOOKUP($A51,'OI(Value)'!$A$7:$O$329,9,0)</f>
        <v>-27</v>
      </c>
      <c r="N51" s="103">
        <f>VLOOKUP($A51,'OI(Value)'!$A$7:$O$329,11,0)</f>
        <v>476</v>
      </c>
      <c r="O51" s="103">
        <f>VLOOKUP($A51,'OI(Value)'!$A$7:$O$329,12,0)</f>
        <v>16</v>
      </c>
      <c r="P51" s="179">
        <f>VLOOKUP(A51,'OI(Value)'!A51:O275,8,0)</f>
        <v>533</v>
      </c>
      <c r="Q51" s="179">
        <f>VLOOKUP(A51,'OI(Value)'!A51:O275,9,0)</f>
        <v>-27</v>
      </c>
      <c r="R51" s="179">
        <f>VLOOKUP(A51,'OI(Value)'!A51:O275,11,0)</f>
        <v>476</v>
      </c>
      <c r="S51" s="179">
        <f>VLOOKUP(A51,'OI(Value)'!A51:O275,11,0)</f>
        <v>476</v>
      </c>
    </row>
    <row r="52" spans="1:19" x14ac:dyDescent="0.25">
      <c r="A52" s="105" t="str">
        <f>'Data Vlaue (Cr)'!C47</f>
        <v>COALINDIA</v>
      </c>
      <c r="B52" s="143">
        <f>VLOOKUP($A52,'Data shares'!$C:$FA,118)</f>
        <v>0.64</v>
      </c>
      <c r="C52" s="143">
        <f>VLOOKUP($A52,'Data shares'!$C:$FA,119)</f>
        <v>0.56999999999999995</v>
      </c>
      <c r="D52" s="143">
        <f>VLOOKUP($A52,'Data shares'!$C:$FA,121)*100</f>
        <v>12.280000000000001</v>
      </c>
      <c r="E52" s="143">
        <f>VLOOKUP($A52,'Data shares'!$C:$FA,124)</f>
        <v>0.6</v>
      </c>
      <c r="F52" s="143">
        <f>VLOOKUP($A52,'Data shares'!$C:$FA,125)</f>
        <v>0.42</v>
      </c>
      <c r="G52" s="143">
        <f>VLOOKUP($A52,'Data shares'!$C:$FA,127)*100</f>
        <v>42.86</v>
      </c>
      <c r="H52" s="103">
        <f>VLOOKUP($A52,'OI(Volume)'!$A$7:$O$445,8)</f>
        <v>44246250</v>
      </c>
      <c r="I52" s="103">
        <f>VLOOKUP($A52,'OI(Volume)'!$A$7:$O$445,9)</f>
        <v>-909900</v>
      </c>
      <c r="J52" s="103">
        <f>VLOOKUP($A52,'OI(Volume)'!$A$7:$O$445,11)</f>
        <v>28370250</v>
      </c>
      <c r="K52" s="103">
        <f>VLOOKUP($A52,'OI(Volume)'!$A$7:$O$445,12)</f>
        <v>2762100</v>
      </c>
      <c r="L52" s="103">
        <f>VLOOKUP($A52,'OI(Value)'!$A$7:$O$329,8,0)</f>
        <v>1945</v>
      </c>
      <c r="M52" s="103">
        <f>VLOOKUP($A52,'OI(Value)'!$A$7:$O$329,9,0)</f>
        <v>-40</v>
      </c>
      <c r="N52" s="103">
        <f>VLOOKUP($A52,'OI(Value)'!$A$7:$O$329,11,0)</f>
        <v>1247</v>
      </c>
      <c r="O52" s="103">
        <f>VLOOKUP($A52,'OI(Value)'!$A$7:$O$329,12,0)</f>
        <v>121</v>
      </c>
      <c r="P52" s="179">
        <f>VLOOKUP(A52,'OI(Value)'!A52:O276,8,0)</f>
        <v>1945</v>
      </c>
      <c r="Q52" s="179">
        <f>VLOOKUP(A52,'OI(Value)'!A52:O276,9,0)</f>
        <v>-40</v>
      </c>
      <c r="R52" s="179">
        <f>VLOOKUP(A52,'OI(Value)'!A52:O276,11,0)</f>
        <v>1247</v>
      </c>
      <c r="S52" s="179">
        <f>VLOOKUP(A52,'OI(Value)'!A52:O276,11,0)</f>
        <v>1247</v>
      </c>
    </row>
    <row r="53" spans="1:19" x14ac:dyDescent="0.25">
      <c r="A53" s="105" t="str">
        <f>'Data Vlaue (Cr)'!C48</f>
        <v>COCHINSHIP</v>
      </c>
      <c r="B53" s="143">
        <f>VLOOKUP($A53,'Data shares'!$C:$FA,118)</f>
        <v>0.68</v>
      </c>
      <c r="C53" s="143">
        <f>VLOOKUP($A53,'Data shares'!$C:$FA,119)</f>
        <v>0.74</v>
      </c>
      <c r="D53" s="143">
        <f>VLOOKUP($A53,'Data shares'!$C:$FA,121)*100</f>
        <v>-8.1100000000000012</v>
      </c>
      <c r="E53" s="143">
        <f>VLOOKUP($A53,'Data shares'!$C:$FA,124)</f>
        <v>0.19</v>
      </c>
      <c r="F53" s="143">
        <f>VLOOKUP($A53,'Data shares'!$C:$FA,125)</f>
        <v>0.63</v>
      </c>
      <c r="G53" s="143">
        <f>VLOOKUP($A53,'Data shares'!$C:$FA,127)*100</f>
        <v>-69.84</v>
      </c>
      <c r="H53" s="103">
        <f>VLOOKUP($A53,'OI(Volume)'!$A$7:$O$445,8)</f>
        <v>1083200</v>
      </c>
      <c r="I53" s="103">
        <f>VLOOKUP($A53,'OI(Volume)'!$A$7:$O$445,9)</f>
        <v>253600</v>
      </c>
      <c r="J53" s="103">
        <f>VLOOKUP($A53,'OI(Volume)'!$A$7:$O$445,11)</f>
        <v>739200</v>
      </c>
      <c r="K53" s="103">
        <f>VLOOKUP($A53,'OI(Volume)'!$A$7:$O$445,12)</f>
        <v>122800</v>
      </c>
      <c r="L53" s="103">
        <f>VLOOKUP($A53,'OI(Value)'!$A$7:$O$329,8,0)</f>
        <v>170</v>
      </c>
      <c r="M53" s="103">
        <f>VLOOKUP($A53,'OI(Value)'!$A$7:$O$329,9,0)</f>
        <v>40</v>
      </c>
      <c r="N53" s="103">
        <f>VLOOKUP($A53,'OI(Value)'!$A$7:$O$329,11,0)</f>
        <v>116</v>
      </c>
      <c r="O53" s="103">
        <f>VLOOKUP($A53,'OI(Value)'!$A$7:$O$329,12,0)</f>
        <v>19</v>
      </c>
      <c r="P53" s="179">
        <f>VLOOKUP(A53,'OI(Value)'!A53:O277,8,0)</f>
        <v>170</v>
      </c>
      <c r="Q53" s="179">
        <f>VLOOKUP(A53,'OI(Value)'!A53:O277,9,0)</f>
        <v>40</v>
      </c>
      <c r="R53" s="179">
        <f>VLOOKUP(A53,'OI(Value)'!A53:O277,11,0)</f>
        <v>116</v>
      </c>
      <c r="S53" s="179">
        <f>VLOOKUP(A53,'OI(Value)'!A53:O277,11,0)</f>
        <v>116</v>
      </c>
    </row>
    <row r="54" spans="1:19" x14ac:dyDescent="0.25">
      <c r="A54" s="105" t="str">
        <f>'Data Vlaue (Cr)'!C49</f>
        <v>COFORGE</v>
      </c>
      <c r="B54" s="143">
        <f>VLOOKUP($A54,'Data shares'!$C:$FA,118)</f>
        <v>0.65</v>
      </c>
      <c r="C54" s="143">
        <f>VLOOKUP($A54,'Data shares'!$C:$FA,119)</f>
        <v>0.63</v>
      </c>
      <c r="D54" s="143">
        <f>VLOOKUP($A54,'Data shares'!$C:$FA,121)*100</f>
        <v>3.17</v>
      </c>
      <c r="E54" s="143">
        <f>VLOOKUP($A54,'Data shares'!$C:$FA,124)</f>
        <v>0.55000000000000004</v>
      </c>
      <c r="F54" s="143">
        <f>VLOOKUP($A54,'Data shares'!$C:$FA,125)</f>
        <v>0.45</v>
      </c>
      <c r="G54" s="143">
        <f>VLOOKUP($A54,'Data shares'!$C:$FA,127)*100</f>
        <v>22.220000000000002</v>
      </c>
      <c r="H54" s="103">
        <f>VLOOKUP($A54,'OI(Volume)'!$A$7:$O$445,8)</f>
        <v>7639500</v>
      </c>
      <c r="I54" s="103">
        <f>VLOOKUP($A54,'OI(Volume)'!$A$7:$O$445,9)</f>
        <v>54750</v>
      </c>
      <c r="J54" s="103">
        <f>VLOOKUP($A54,'OI(Volume)'!$A$7:$O$445,11)</f>
        <v>4945500</v>
      </c>
      <c r="K54" s="103">
        <f>VLOOKUP($A54,'OI(Volume)'!$A$7:$O$445,12)</f>
        <v>163125</v>
      </c>
      <c r="L54" s="103">
        <f>VLOOKUP($A54,'OI(Value)'!$A$7:$O$329,8,0)</f>
        <v>1006</v>
      </c>
      <c r="M54" s="103">
        <f>VLOOKUP($A54,'OI(Value)'!$A$7:$O$329,9,0)</f>
        <v>7</v>
      </c>
      <c r="N54" s="103">
        <f>VLOOKUP($A54,'OI(Value)'!$A$7:$O$329,11,0)</f>
        <v>651</v>
      </c>
      <c r="O54" s="103">
        <f>VLOOKUP($A54,'OI(Value)'!$A$7:$O$329,12,0)</f>
        <v>21</v>
      </c>
      <c r="P54" s="179">
        <f>VLOOKUP(A54,'OI(Value)'!A54:O278,8,0)</f>
        <v>1006</v>
      </c>
      <c r="Q54" s="179">
        <f>VLOOKUP(A54,'OI(Value)'!A54:O278,9,0)</f>
        <v>7</v>
      </c>
      <c r="R54" s="179">
        <f>VLOOKUP(A54,'OI(Value)'!A54:O278,11,0)</f>
        <v>651</v>
      </c>
      <c r="S54" s="179">
        <f>VLOOKUP(A54,'OI(Value)'!A54:O278,11,0)</f>
        <v>651</v>
      </c>
    </row>
    <row r="55" spans="1:19" x14ac:dyDescent="0.25">
      <c r="A55" s="105" t="str">
        <f>'Data Vlaue (Cr)'!C50</f>
        <v>COLPAL</v>
      </c>
      <c r="B55" s="143">
        <f>VLOOKUP($A55,'Data shares'!$C:$FA,118)</f>
        <v>0.73</v>
      </c>
      <c r="C55" s="143">
        <f>VLOOKUP($A55,'Data shares'!$C:$FA,119)</f>
        <v>0.71</v>
      </c>
      <c r="D55" s="143">
        <f>VLOOKUP($A55,'Data shares'!$C:$FA,121)*100</f>
        <v>2.82</v>
      </c>
      <c r="E55" s="143">
        <f>VLOOKUP($A55,'Data shares'!$C:$FA,124)</f>
        <v>0.38</v>
      </c>
      <c r="F55" s="143">
        <f>VLOOKUP($A55,'Data shares'!$C:$FA,125)</f>
        <v>0.34</v>
      </c>
      <c r="G55" s="143">
        <f>VLOOKUP($A55,'Data shares'!$C:$FA,127)*100</f>
        <v>11.76</v>
      </c>
      <c r="H55" s="103">
        <f>VLOOKUP($A55,'OI(Volume)'!$A$7:$O$445,8)</f>
        <v>2685825</v>
      </c>
      <c r="I55" s="103">
        <f>VLOOKUP($A55,'OI(Volume)'!$A$7:$O$445,9)</f>
        <v>1131525</v>
      </c>
      <c r="J55" s="103">
        <f>VLOOKUP($A55,'OI(Volume)'!$A$7:$O$445,11)</f>
        <v>1971675</v>
      </c>
      <c r="K55" s="103">
        <f>VLOOKUP($A55,'OI(Volume)'!$A$7:$O$445,12)</f>
        <v>873225</v>
      </c>
      <c r="L55" s="103">
        <f>VLOOKUP($A55,'OI(Value)'!$A$7:$O$329,8,0)</f>
        <v>566</v>
      </c>
      <c r="M55" s="103">
        <f>VLOOKUP($A55,'OI(Value)'!$A$7:$O$329,9,0)</f>
        <v>239</v>
      </c>
      <c r="N55" s="103">
        <f>VLOOKUP($A55,'OI(Value)'!$A$7:$O$329,11,0)</f>
        <v>416</v>
      </c>
      <c r="O55" s="103">
        <f>VLOOKUP($A55,'OI(Value)'!$A$7:$O$329,12,0)</f>
        <v>184</v>
      </c>
      <c r="P55" s="179">
        <f>VLOOKUP(A55,'OI(Value)'!A55:O279,8,0)</f>
        <v>566</v>
      </c>
      <c r="Q55" s="179">
        <f>VLOOKUP(A55,'OI(Value)'!A55:O279,9,0)</f>
        <v>239</v>
      </c>
      <c r="R55" s="179">
        <f>VLOOKUP(A55,'OI(Value)'!A55:O279,11,0)</f>
        <v>416</v>
      </c>
      <c r="S55" s="179">
        <f>VLOOKUP(A55,'OI(Value)'!A55:O279,11,0)</f>
        <v>416</v>
      </c>
    </row>
    <row r="56" spans="1:19" x14ac:dyDescent="0.25">
      <c r="A56" s="105" t="str">
        <f>'Data Vlaue (Cr)'!C51</f>
        <v>CONCOR</v>
      </c>
      <c r="B56" s="143">
        <f>VLOOKUP($A56,'Data shares'!$C:$FA,118)</f>
        <v>0.81</v>
      </c>
      <c r="C56" s="143">
        <f>VLOOKUP($A56,'Data shares'!$C:$FA,119)</f>
        <v>0.77</v>
      </c>
      <c r="D56" s="143">
        <f>VLOOKUP($A56,'Data shares'!$C:$FA,121)*100</f>
        <v>5.19</v>
      </c>
      <c r="E56" s="143">
        <f>VLOOKUP($A56,'Data shares'!$C:$FA,124)</f>
        <v>0.41</v>
      </c>
      <c r="F56" s="143">
        <f>VLOOKUP($A56,'Data shares'!$C:$FA,125)</f>
        <v>0.25</v>
      </c>
      <c r="G56" s="143">
        <f>VLOOKUP($A56,'Data shares'!$C:$FA,127)*100</f>
        <v>64</v>
      </c>
      <c r="H56" s="103">
        <f>VLOOKUP($A56,'OI(Volume)'!$A$7:$O$445,8)</f>
        <v>6151250</v>
      </c>
      <c r="I56" s="103">
        <f>VLOOKUP($A56,'OI(Volume)'!$A$7:$O$445,9)</f>
        <v>-180000</v>
      </c>
      <c r="J56" s="103">
        <f>VLOOKUP($A56,'OI(Volume)'!$A$7:$O$445,11)</f>
        <v>5006250</v>
      </c>
      <c r="K56" s="103">
        <f>VLOOKUP($A56,'OI(Volume)'!$A$7:$O$445,12)</f>
        <v>162500</v>
      </c>
      <c r="L56" s="103">
        <f>VLOOKUP($A56,'OI(Value)'!$A$7:$O$329,8,0)</f>
        <v>310</v>
      </c>
      <c r="M56" s="103">
        <f>VLOOKUP($A56,'OI(Value)'!$A$7:$O$329,9,0)</f>
        <v>-9</v>
      </c>
      <c r="N56" s="103">
        <f>VLOOKUP($A56,'OI(Value)'!$A$7:$O$329,11,0)</f>
        <v>253</v>
      </c>
      <c r="O56" s="103">
        <f>VLOOKUP($A56,'OI(Value)'!$A$7:$O$329,12,0)</f>
        <v>8</v>
      </c>
      <c r="P56" s="179">
        <f>VLOOKUP(A56,'OI(Value)'!A56:O280,8,0)</f>
        <v>310</v>
      </c>
      <c r="Q56" s="179">
        <f>VLOOKUP(A56,'OI(Value)'!A56:O280,9,0)</f>
        <v>-9</v>
      </c>
      <c r="R56" s="179">
        <f>VLOOKUP(A56,'OI(Value)'!A56:O280,11,0)</f>
        <v>253</v>
      </c>
      <c r="S56" s="179">
        <f>VLOOKUP(A56,'OI(Value)'!A56:O280,11,0)</f>
        <v>253</v>
      </c>
    </row>
    <row r="57" spans="1:19" x14ac:dyDescent="0.25">
      <c r="A57" s="105" t="str">
        <f>'Data Vlaue (Cr)'!C52</f>
        <v>CROMPTON</v>
      </c>
      <c r="B57" s="143">
        <f>VLOOKUP($A57,'Data shares'!$C:$FA,118)</f>
        <v>0.7</v>
      </c>
      <c r="C57" s="143">
        <f>VLOOKUP($A57,'Data shares'!$C:$FA,119)</f>
        <v>0.8</v>
      </c>
      <c r="D57" s="143">
        <f>VLOOKUP($A57,'Data shares'!$C:$FA,121)*100</f>
        <v>-12.5</v>
      </c>
      <c r="E57" s="143">
        <f>VLOOKUP($A57,'Data shares'!$C:$FA,124)</f>
        <v>0.44</v>
      </c>
      <c r="F57" s="143">
        <f>VLOOKUP($A57,'Data shares'!$C:$FA,125)</f>
        <v>0.34</v>
      </c>
      <c r="G57" s="143">
        <f>VLOOKUP($A57,'Data shares'!$C:$FA,127)*100</f>
        <v>29.409999999999997</v>
      </c>
      <c r="H57" s="103">
        <f>VLOOKUP($A57,'OI(Volume)'!$A$7:$O$445,8)</f>
        <v>12141000</v>
      </c>
      <c r="I57" s="103">
        <f>VLOOKUP($A57,'OI(Volume)'!$A$7:$O$445,9)</f>
        <v>919800</v>
      </c>
      <c r="J57" s="103">
        <f>VLOOKUP($A57,'OI(Volume)'!$A$7:$O$445,11)</f>
        <v>8521200</v>
      </c>
      <c r="K57" s="103">
        <f>VLOOKUP($A57,'OI(Volume)'!$A$7:$O$445,12)</f>
        <v>-484200</v>
      </c>
      <c r="L57" s="103">
        <f>VLOOKUP($A57,'OI(Value)'!$A$7:$O$329,8,0)</f>
        <v>317</v>
      </c>
      <c r="M57" s="103">
        <f>VLOOKUP($A57,'OI(Value)'!$A$7:$O$329,9,0)</f>
        <v>24</v>
      </c>
      <c r="N57" s="103">
        <f>VLOOKUP($A57,'OI(Value)'!$A$7:$O$329,11,0)</f>
        <v>223</v>
      </c>
      <c r="O57" s="103">
        <f>VLOOKUP($A57,'OI(Value)'!$A$7:$O$329,12,0)</f>
        <v>-13</v>
      </c>
      <c r="P57" s="179">
        <f>VLOOKUP(A57,'OI(Value)'!A57:O281,8,0)</f>
        <v>317</v>
      </c>
      <c r="Q57" s="179">
        <f>VLOOKUP(A57,'OI(Value)'!A57:O281,9,0)</f>
        <v>24</v>
      </c>
      <c r="R57" s="179">
        <f>VLOOKUP(A57,'OI(Value)'!A57:O281,11,0)</f>
        <v>223</v>
      </c>
      <c r="S57" s="179">
        <f>VLOOKUP(A57,'OI(Value)'!A57:O281,11,0)</f>
        <v>223</v>
      </c>
    </row>
    <row r="58" spans="1:19" x14ac:dyDescent="0.25">
      <c r="A58" s="105" t="str">
        <f>'Data Vlaue (Cr)'!C53</f>
        <v>CUMMINSIND</v>
      </c>
      <c r="B58" s="143">
        <f>VLOOKUP($A58,'Data shares'!$C:$FA,118)</f>
        <v>0.69</v>
      </c>
      <c r="C58" s="143">
        <f>VLOOKUP($A58,'Data shares'!$C:$FA,119)</f>
        <v>0.66</v>
      </c>
      <c r="D58" s="143">
        <f>VLOOKUP($A58,'Data shares'!$C:$FA,121)*100</f>
        <v>4.55</v>
      </c>
      <c r="E58" s="143">
        <f>VLOOKUP($A58,'Data shares'!$C:$FA,124)</f>
        <v>0.27</v>
      </c>
      <c r="F58" s="143">
        <f>VLOOKUP($A58,'Data shares'!$C:$FA,125)</f>
        <v>0.46</v>
      </c>
      <c r="G58" s="143">
        <f>VLOOKUP($A58,'Data shares'!$C:$FA,127)*100</f>
        <v>-41.3</v>
      </c>
      <c r="H58" s="103">
        <f>VLOOKUP($A58,'OI(Volume)'!$A$7:$O$445,8)</f>
        <v>1282000</v>
      </c>
      <c r="I58" s="103">
        <f>VLOOKUP($A58,'OI(Volume)'!$A$7:$O$445,9)</f>
        <v>112600</v>
      </c>
      <c r="J58" s="103">
        <f>VLOOKUP($A58,'OI(Volume)'!$A$7:$O$445,11)</f>
        <v>890200</v>
      </c>
      <c r="K58" s="103">
        <f>VLOOKUP($A58,'OI(Volume)'!$A$7:$O$445,12)</f>
        <v>122800</v>
      </c>
      <c r="L58" s="103">
        <f>VLOOKUP($A58,'OI(Value)'!$A$7:$O$329,8,0)</f>
        <v>660</v>
      </c>
      <c r="M58" s="103">
        <f>VLOOKUP($A58,'OI(Value)'!$A$7:$O$329,9,0)</f>
        <v>58</v>
      </c>
      <c r="N58" s="103">
        <f>VLOOKUP($A58,'OI(Value)'!$A$7:$O$329,11,0)</f>
        <v>459</v>
      </c>
      <c r="O58" s="103">
        <f>VLOOKUP($A58,'OI(Value)'!$A$7:$O$329,12,0)</f>
        <v>63</v>
      </c>
      <c r="P58" s="179">
        <f>VLOOKUP(A58,'OI(Value)'!A58:O282,8,0)</f>
        <v>660</v>
      </c>
      <c r="Q58" s="179">
        <f>VLOOKUP(A58,'OI(Value)'!A58:O282,9,0)</f>
        <v>58</v>
      </c>
      <c r="R58" s="179">
        <f>VLOOKUP(A58,'OI(Value)'!A58:O282,11,0)</f>
        <v>459</v>
      </c>
      <c r="S58" s="179">
        <f>VLOOKUP(A58,'OI(Value)'!A58:O282,11,0)</f>
        <v>459</v>
      </c>
    </row>
    <row r="59" spans="1:19" x14ac:dyDescent="0.25">
      <c r="A59" s="105" t="str">
        <f>'Data Vlaue (Cr)'!C54</f>
        <v>DABUR</v>
      </c>
      <c r="B59" s="143">
        <f>VLOOKUP($A59,'Data shares'!$C:$FA,118)</f>
        <v>0.64</v>
      </c>
      <c r="C59" s="143">
        <f>VLOOKUP($A59,'Data shares'!$C:$FA,119)</f>
        <v>0.63</v>
      </c>
      <c r="D59" s="143">
        <f>VLOOKUP($A59,'Data shares'!$C:$FA,121)*100</f>
        <v>1.59</v>
      </c>
      <c r="E59" s="143">
        <f>VLOOKUP($A59,'Data shares'!$C:$FA,124)</f>
        <v>0.3</v>
      </c>
      <c r="F59" s="143">
        <f>VLOOKUP($A59,'Data shares'!$C:$FA,125)</f>
        <v>0.41</v>
      </c>
      <c r="G59" s="143">
        <f>VLOOKUP($A59,'Data shares'!$C:$FA,127)*100</f>
        <v>-26.83</v>
      </c>
      <c r="H59" s="103">
        <f>VLOOKUP($A59,'OI(Volume)'!$A$7:$O$445,8)</f>
        <v>13088750</v>
      </c>
      <c r="I59" s="103">
        <f>VLOOKUP($A59,'OI(Volume)'!$A$7:$O$445,9)</f>
        <v>1551250</v>
      </c>
      <c r="J59" s="103">
        <f>VLOOKUP($A59,'OI(Volume)'!$A$7:$O$445,11)</f>
        <v>8371250</v>
      </c>
      <c r="K59" s="103">
        <f>VLOOKUP($A59,'OI(Volume)'!$A$7:$O$445,12)</f>
        <v>1126250</v>
      </c>
      <c r="L59" s="103">
        <f>VLOOKUP($A59,'OI(Value)'!$A$7:$O$329,8,0)</f>
        <v>580</v>
      </c>
      <c r="M59" s="103">
        <f>VLOOKUP($A59,'OI(Value)'!$A$7:$O$329,9,0)</f>
        <v>69</v>
      </c>
      <c r="N59" s="103">
        <f>VLOOKUP($A59,'OI(Value)'!$A$7:$O$329,11,0)</f>
        <v>371</v>
      </c>
      <c r="O59" s="103">
        <f>VLOOKUP($A59,'OI(Value)'!$A$7:$O$329,12,0)</f>
        <v>50</v>
      </c>
      <c r="P59" s="179">
        <f>VLOOKUP(A59,'OI(Value)'!A59:O283,8,0)</f>
        <v>580</v>
      </c>
      <c r="Q59" s="179">
        <f>VLOOKUP(A59,'OI(Value)'!A59:O283,9,0)</f>
        <v>69</v>
      </c>
      <c r="R59" s="179">
        <f>VLOOKUP(A59,'OI(Value)'!A59:O283,11,0)</f>
        <v>371</v>
      </c>
      <c r="S59" s="179">
        <f>VLOOKUP(A59,'OI(Value)'!A59:O283,11,0)</f>
        <v>371</v>
      </c>
    </row>
    <row r="60" spans="1:19" x14ac:dyDescent="0.25">
      <c r="A60" s="105" t="str">
        <f>'Data Vlaue (Cr)'!C55</f>
        <v>DALBHARAT</v>
      </c>
      <c r="B60" s="143">
        <f>VLOOKUP($A60,'Data shares'!$C:$FA,118)</f>
        <v>0.99</v>
      </c>
      <c r="C60" s="143">
        <f>VLOOKUP($A60,'Data shares'!$C:$FA,119)</f>
        <v>1.1200000000000001</v>
      </c>
      <c r="D60" s="143">
        <f>VLOOKUP($A60,'Data shares'!$C:$FA,121)*100</f>
        <v>-11.61</v>
      </c>
      <c r="E60" s="143">
        <f>VLOOKUP($A60,'Data shares'!$C:$FA,124)</f>
        <v>0.44</v>
      </c>
      <c r="F60" s="143">
        <f>VLOOKUP($A60,'Data shares'!$C:$FA,125)</f>
        <v>0.43</v>
      </c>
      <c r="G60" s="143">
        <f>VLOOKUP($A60,'Data shares'!$C:$FA,127)*100</f>
        <v>2.33</v>
      </c>
      <c r="H60" s="103">
        <f>VLOOKUP($A60,'OI(Volume)'!$A$7:$O$445,8)</f>
        <v>1019525</v>
      </c>
      <c r="I60" s="103">
        <f>VLOOKUP($A60,'OI(Volume)'!$A$7:$O$445,9)</f>
        <v>69225</v>
      </c>
      <c r="J60" s="103">
        <f>VLOOKUP($A60,'OI(Volume)'!$A$7:$O$445,11)</f>
        <v>1006525</v>
      </c>
      <c r="K60" s="103">
        <f>VLOOKUP($A60,'OI(Volume)'!$A$7:$O$445,12)</f>
        <v>-56875</v>
      </c>
      <c r="L60" s="103">
        <f>VLOOKUP($A60,'OI(Value)'!$A$7:$O$329,8,0)</f>
        <v>202</v>
      </c>
      <c r="M60" s="103">
        <f>VLOOKUP($A60,'OI(Value)'!$A$7:$O$329,9,0)</f>
        <v>14</v>
      </c>
      <c r="N60" s="103">
        <f>VLOOKUP($A60,'OI(Value)'!$A$7:$O$329,11,0)</f>
        <v>199</v>
      </c>
      <c r="O60" s="103">
        <f>VLOOKUP($A60,'OI(Value)'!$A$7:$O$329,12,0)</f>
        <v>-11</v>
      </c>
      <c r="P60" s="179">
        <f>VLOOKUP(A60,'OI(Value)'!A60:O284,8,0)</f>
        <v>202</v>
      </c>
      <c r="Q60" s="179">
        <f>VLOOKUP(A60,'OI(Value)'!A60:O284,9,0)</f>
        <v>14</v>
      </c>
      <c r="R60" s="179">
        <f>VLOOKUP(A60,'OI(Value)'!A60:O284,11,0)</f>
        <v>199</v>
      </c>
      <c r="S60" s="179">
        <f>VLOOKUP(A60,'OI(Value)'!A60:O284,11,0)</f>
        <v>199</v>
      </c>
    </row>
    <row r="61" spans="1:19" x14ac:dyDescent="0.25">
      <c r="A61" s="105" t="str">
        <f>'Data Vlaue (Cr)'!C56</f>
        <v>DELHIVERY</v>
      </c>
      <c r="B61" s="143">
        <f>VLOOKUP($A61,'Data shares'!$C:$FA,118)</f>
        <v>0.39</v>
      </c>
      <c r="C61" s="143">
        <f>VLOOKUP($A61,'Data shares'!$C:$FA,119)</f>
        <v>0.46</v>
      </c>
      <c r="D61" s="143">
        <f>VLOOKUP($A61,'Data shares'!$C:$FA,121)*100</f>
        <v>-15.22</v>
      </c>
      <c r="E61" s="143">
        <f>VLOOKUP($A61,'Data shares'!$C:$FA,124)</f>
        <v>0.22</v>
      </c>
      <c r="F61" s="143">
        <f>VLOOKUP($A61,'Data shares'!$C:$FA,125)</f>
        <v>0.28000000000000003</v>
      </c>
      <c r="G61" s="143">
        <f>VLOOKUP($A61,'Data shares'!$C:$FA,127)*100</f>
        <v>-21.43</v>
      </c>
      <c r="H61" s="103">
        <f>VLOOKUP($A61,'OI(Volume)'!$A$7:$O$445,8)</f>
        <v>14435775</v>
      </c>
      <c r="I61" s="103">
        <f>VLOOKUP($A61,'OI(Volume)'!$A$7:$O$445,9)</f>
        <v>4189425</v>
      </c>
      <c r="J61" s="103">
        <f>VLOOKUP($A61,'OI(Volume)'!$A$7:$O$445,11)</f>
        <v>5569300</v>
      </c>
      <c r="K61" s="103">
        <f>VLOOKUP($A61,'OI(Volume)'!$A$7:$O$445,12)</f>
        <v>869425</v>
      </c>
      <c r="L61" s="103">
        <f>VLOOKUP($A61,'OI(Value)'!$A$7:$O$329,8,0)</f>
        <v>671</v>
      </c>
      <c r="M61" s="103">
        <f>VLOOKUP($A61,'OI(Value)'!$A$7:$O$329,9,0)</f>
        <v>195</v>
      </c>
      <c r="N61" s="103">
        <f>VLOOKUP($A61,'OI(Value)'!$A$7:$O$329,11,0)</f>
        <v>259</v>
      </c>
      <c r="O61" s="103">
        <f>VLOOKUP($A61,'OI(Value)'!$A$7:$O$329,12,0)</f>
        <v>40</v>
      </c>
      <c r="P61" s="179">
        <f>VLOOKUP(A61,'OI(Value)'!A61:O285,8,0)</f>
        <v>671</v>
      </c>
      <c r="Q61" s="179">
        <f>VLOOKUP(A61,'OI(Value)'!A61:O285,9,0)</f>
        <v>195</v>
      </c>
      <c r="R61" s="179">
        <f>VLOOKUP(A61,'OI(Value)'!A61:O285,11,0)</f>
        <v>259</v>
      </c>
      <c r="S61" s="179">
        <f>VLOOKUP(A61,'OI(Value)'!A61:O285,11,0)</f>
        <v>259</v>
      </c>
    </row>
    <row r="62" spans="1:19" x14ac:dyDescent="0.25">
      <c r="A62" s="105" t="str">
        <f>'Data Vlaue (Cr)'!C57</f>
        <v>DIVISLAB</v>
      </c>
      <c r="B62" s="143">
        <f>VLOOKUP($A62,'Data shares'!$C:$FA,118)</f>
        <v>1.05</v>
      </c>
      <c r="C62" s="143">
        <f>VLOOKUP($A62,'Data shares'!$C:$FA,119)</f>
        <v>1.2</v>
      </c>
      <c r="D62" s="143">
        <f>VLOOKUP($A62,'Data shares'!$C:$FA,121)*100</f>
        <v>-12.5</v>
      </c>
      <c r="E62" s="143">
        <f>VLOOKUP($A62,'Data shares'!$C:$FA,124)</f>
        <v>0.56999999999999995</v>
      </c>
      <c r="F62" s="143">
        <f>VLOOKUP($A62,'Data shares'!$C:$FA,125)</f>
        <v>0.47</v>
      </c>
      <c r="G62" s="143">
        <f>VLOOKUP($A62,'Data shares'!$C:$FA,127)*100</f>
        <v>21.279999999999998</v>
      </c>
      <c r="H62" s="103">
        <f>VLOOKUP($A62,'OI(Volume)'!$A$7:$O$445,8)</f>
        <v>704900</v>
      </c>
      <c r="I62" s="103">
        <f>VLOOKUP($A62,'OI(Volume)'!$A$7:$O$445,9)</f>
        <v>85900</v>
      </c>
      <c r="J62" s="103">
        <f>VLOOKUP($A62,'OI(Volume)'!$A$7:$O$445,11)</f>
        <v>739400</v>
      </c>
      <c r="K62" s="103">
        <f>VLOOKUP($A62,'OI(Volume)'!$A$7:$O$445,12)</f>
        <v>-3700</v>
      </c>
      <c r="L62" s="103">
        <f>VLOOKUP($A62,'OI(Value)'!$A$7:$O$329,8,0)</f>
        <v>440</v>
      </c>
      <c r="M62" s="103">
        <f>VLOOKUP($A62,'OI(Value)'!$A$7:$O$329,9,0)</f>
        <v>54</v>
      </c>
      <c r="N62" s="103">
        <f>VLOOKUP($A62,'OI(Value)'!$A$7:$O$329,11,0)</f>
        <v>461</v>
      </c>
      <c r="O62" s="103">
        <f>VLOOKUP($A62,'OI(Value)'!$A$7:$O$329,12,0)</f>
        <v>-2</v>
      </c>
      <c r="P62" s="179">
        <f>VLOOKUP(A62,'OI(Value)'!A62:O286,8,0)</f>
        <v>440</v>
      </c>
      <c r="Q62" s="179">
        <f>VLOOKUP(A62,'OI(Value)'!A62:O286,9,0)</f>
        <v>54</v>
      </c>
      <c r="R62" s="179">
        <f>VLOOKUP(A62,'OI(Value)'!A62:O286,11,0)</f>
        <v>461</v>
      </c>
      <c r="S62" s="179">
        <f>VLOOKUP(A62,'OI(Value)'!A62:O286,11,0)</f>
        <v>461</v>
      </c>
    </row>
    <row r="63" spans="1:19" x14ac:dyDescent="0.25">
      <c r="A63" s="105" t="str">
        <f>'Data Vlaue (Cr)'!C58</f>
        <v>DIXON</v>
      </c>
      <c r="B63" s="143">
        <f>VLOOKUP($A63,'Data shares'!$C:$FA,118)</f>
        <v>0.74</v>
      </c>
      <c r="C63" s="143">
        <f>VLOOKUP($A63,'Data shares'!$C:$FA,119)</f>
        <v>0.71</v>
      </c>
      <c r="D63" s="143">
        <f>VLOOKUP($A63,'Data shares'!$C:$FA,121)*100</f>
        <v>4.2299999999999995</v>
      </c>
      <c r="E63" s="143">
        <f>VLOOKUP($A63,'Data shares'!$C:$FA,124)</f>
        <v>0.56000000000000005</v>
      </c>
      <c r="F63" s="143">
        <f>VLOOKUP($A63,'Data shares'!$C:$FA,125)</f>
        <v>0.38</v>
      </c>
      <c r="G63" s="143">
        <f>VLOOKUP($A63,'Data shares'!$C:$FA,127)*100</f>
        <v>47.370000000000005</v>
      </c>
      <c r="H63" s="103">
        <f>VLOOKUP($A63,'OI(Volume)'!$A$7:$O$445,8)</f>
        <v>2089600</v>
      </c>
      <c r="I63" s="103">
        <f>VLOOKUP($A63,'OI(Volume)'!$A$7:$O$445,9)</f>
        <v>-88400</v>
      </c>
      <c r="J63" s="103">
        <f>VLOOKUP($A63,'OI(Volume)'!$A$7:$O$445,11)</f>
        <v>1553600</v>
      </c>
      <c r="K63" s="103">
        <f>VLOOKUP($A63,'OI(Volume)'!$A$7:$O$445,12)</f>
        <v>17300</v>
      </c>
      <c r="L63" s="103">
        <f>VLOOKUP($A63,'OI(Value)'!$A$7:$O$329,8,0)</f>
        <v>2377</v>
      </c>
      <c r="M63" s="103">
        <f>VLOOKUP($A63,'OI(Value)'!$A$7:$O$329,9,0)</f>
        <v>-101</v>
      </c>
      <c r="N63" s="103">
        <f>VLOOKUP($A63,'OI(Value)'!$A$7:$O$329,11,0)</f>
        <v>1768</v>
      </c>
      <c r="O63" s="103">
        <f>VLOOKUP($A63,'OI(Value)'!$A$7:$O$329,12,0)</f>
        <v>20</v>
      </c>
      <c r="P63" s="179">
        <f>VLOOKUP(A63,'OI(Value)'!A63:O287,8,0)</f>
        <v>2377</v>
      </c>
      <c r="Q63" s="179">
        <f>VLOOKUP(A63,'OI(Value)'!A63:O287,9,0)</f>
        <v>-101</v>
      </c>
      <c r="R63" s="179">
        <f>VLOOKUP(A63,'OI(Value)'!A63:O287,11,0)</f>
        <v>1768</v>
      </c>
      <c r="S63" s="179">
        <f>VLOOKUP(A63,'OI(Value)'!A63:O287,11,0)</f>
        <v>1768</v>
      </c>
    </row>
    <row r="64" spans="1:19" x14ac:dyDescent="0.25">
      <c r="A64" s="105" t="str">
        <f>'Data Vlaue (Cr)'!C59</f>
        <v>DLF</v>
      </c>
      <c r="B64" s="143">
        <f>VLOOKUP($A64,'Data shares'!$C:$FA,118)</f>
        <v>1.08</v>
      </c>
      <c r="C64" s="143">
        <f>VLOOKUP($A64,'Data shares'!$C:$FA,119)</f>
        <v>1.07</v>
      </c>
      <c r="D64" s="143">
        <f>VLOOKUP($A64,'Data shares'!$C:$FA,121)*100</f>
        <v>0.92999999999999994</v>
      </c>
      <c r="E64" s="143">
        <f>VLOOKUP($A64,'Data shares'!$C:$FA,124)</f>
        <v>0.84</v>
      </c>
      <c r="F64" s="143">
        <f>VLOOKUP($A64,'Data shares'!$C:$FA,125)</f>
        <v>0.82</v>
      </c>
      <c r="G64" s="143">
        <f>VLOOKUP($A64,'Data shares'!$C:$FA,127)*100</f>
        <v>2.44</v>
      </c>
      <c r="H64" s="103">
        <f>VLOOKUP($A64,'OI(Volume)'!$A$7:$O$445,8)</f>
        <v>10480800</v>
      </c>
      <c r="I64" s="103">
        <f>VLOOKUP($A64,'OI(Volume)'!$A$7:$O$445,9)</f>
        <v>-198825</v>
      </c>
      <c r="J64" s="103">
        <f>VLOOKUP($A64,'OI(Volume)'!$A$7:$O$445,11)</f>
        <v>11284350</v>
      </c>
      <c r="K64" s="103">
        <f>VLOOKUP($A64,'OI(Volume)'!$A$7:$O$445,12)</f>
        <v>-144375</v>
      </c>
      <c r="L64" s="103">
        <f>VLOOKUP($A64,'OI(Value)'!$A$7:$O$329,8,0)</f>
        <v>630</v>
      </c>
      <c r="M64" s="103">
        <f>VLOOKUP($A64,'OI(Value)'!$A$7:$O$329,9,0)</f>
        <v>-12</v>
      </c>
      <c r="N64" s="103">
        <f>VLOOKUP($A64,'OI(Value)'!$A$7:$O$329,11,0)</f>
        <v>679</v>
      </c>
      <c r="O64" s="103">
        <f>VLOOKUP($A64,'OI(Value)'!$A$7:$O$329,12,0)</f>
        <v>-9</v>
      </c>
      <c r="P64" s="179">
        <f>VLOOKUP(A64,'OI(Value)'!A64:O288,8,0)</f>
        <v>630</v>
      </c>
      <c r="Q64" s="179">
        <f>VLOOKUP(A64,'OI(Value)'!A64:O288,9,0)</f>
        <v>-12</v>
      </c>
      <c r="R64" s="179">
        <f>VLOOKUP(A64,'OI(Value)'!A64:O288,11,0)</f>
        <v>679</v>
      </c>
      <c r="S64" s="179">
        <f>VLOOKUP(A64,'OI(Value)'!A64:O288,11,0)</f>
        <v>679</v>
      </c>
    </row>
    <row r="65" spans="1:19" x14ac:dyDescent="0.25">
      <c r="A65" s="105" t="str">
        <f>'Data Vlaue (Cr)'!C60</f>
        <v>DMART</v>
      </c>
      <c r="B65" s="143">
        <f>VLOOKUP($A65,'Data shares'!$C:$FA,118)</f>
        <v>0.96</v>
      </c>
      <c r="C65" s="143">
        <f>VLOOKUP($A65,'Data shares'!$C:$FA,119)</f>
        <v>0.8</v>
      </c>
      <c r="D65" s="143">
        <f>VLOOKUP($A65,'Data shares'!$C:$FA,121)*100</f>
        <v>20</v>
      </c>
      <c r="E65" s="143">
        <f>VLOOKUP($A65,'Data shares'!$C:$FA,124)</f>
        <v>0.45</v>
      </c>
      <c r="F65" s="143">
        <f>VLOOKUP($A65,'Data shares'!$C:$FA,125)</f>
        <v>0.56999999999999995</v>
      </c>
      <c r="G65" s="143">
        <f>VLOOKUP($A65,'Data shares'!$C:$FA,127)*100</f>
        <v>-21.05</v>
      </c>
      <c r="H65" s="103">
        <f>VLOOKUP($A65,'OI(Volume)'!$A$7:$O$445,8)</f>
        <v>1949100</v>
      </c>
      <c r="I65" s="103">
        <f>VLOOKUP($A65,'OI(Volume)'!$A$7:$O$445,9)</f>
        <v>28650</v>
      </c>
      <c r="J65" s="103">
        <f>VLOOKUP($A65,'OI(Volume)'!$A$7:$O$445,11)</f>
        <v>1879350</v>
      </c>
      <c r="K65" s="103">
        <f>VLOOKUP($A65,'OI(Volume)'!$A$7:$O$445,12)</f>
        <v>352500</v>
      </c>
      <c r="L65" s="103">
        <f>VLOOKUP($A65,'OI(Value)'!$A$7:$O$329,8,0)</f>
        <v>905</v>
      </c>
      <c r="M65" s="103">
        <f>VLOOKUP($A65,'OI(Value)'!$A$7:$O$329,9,0)</f>
        <v>13</v>
      </c>
      <c r="N65" s="103">
        <f>VLOOKUP($A65,'OI(Value)'!$A$7:$O$329,11,0)</f>
        <v>873</v>
      </c>
      <c r="O65" s="103">
        <f>VLOOKUP($A65,'OI(Value)'!$A$7:$O$329,12,0)</f>
        <v>164</v>
      </c>
      <c r="P65" s="179">
        <f>VLOOKUP(A65,'OI(Value)'!A65:O289,8,0)</f>
        <v>905</v>
      </c>
      <c r="Q65" s="179">
        <f>VLOOKUP(A65,'OI(Value)'!A65:O289,9,0)</f>
        <v>13</v>
      </c>
      <c r="R65" s="179">
        <f>VLOOKUP(A65,'OI(Value)'!A65:O289,11,0)</f>
        <v>873</v>
      </c>
      <c r="S65" s="179">
        <f>VLOOKUP(A65,'OI(Value)'!A65:O289,11,0)</f>
        <v>873</v>
      </c>
    </row>
    <row r="66" spans="1:19" x14ac:dyDescent="0.25">
      <c r="A66" s="105" t="str">
        <f>'Data Vlaue (Cr)'!C61</f>
        <v>DRREDDY</v>
      </c>
      <c r="B66" s="143">
        <f>VLOOKUP($A66,'Data shares'!$C:$FA,118)</f>
        <v>0.71</v>
      </c>
      <c r="C66" s="143">
        <f>VLOOKUP($A66,'Data shares'!$C:$FA,119)</f>
        <v>0.72</v>
      </c>
      <c r="D66" s="143">
        <f>VLOOKUP($A66,'Data shares'!$C:$FA,121)*100</f>
        <v>-1.39</v>
      </c>
      <c r="E66" s="143">
        <f>VLOOKUP($A66,'Data shares'!$C:$FA,124)</f>
        <v>0.42</v>
      </c>
      <c r="F66" s="143">
        <f>VLOOKUP($A66,'Data shares'!$C:$FA,125)</f>
        <v>0.51</v>
      </c>
      <c r="G66" s="143">
        <f>VLOOKUP($A66,'Data shares'!$C:$FA,127)*100</f>
        <v>-17.649999999999999</v>
      </c>
      <c r="H66" s="103">
        <f>VLOOKUP($A66,'OI(Volume)'!$A$7:$O$445,8)</f>
        <v>7251250</v>
      </c>
      <c r="I66" s="103">
        <f>VLOOKUP($A66,'OI(Volume)'!$A$7:$O$445,9)</f>
        <v>96875</v>
      </c>
      <c r="J66" s="103">
        <f>VLOOKUP($A66,'OI(Volume)'!$A$7:$O$445,11)</f>
        <v>5168125</v>
      </c>
      <c r="K66" s="103">
        <f>VLOOKUP($A66,'OI(Volume)'!$A$7:$O$445,12)</f>
        <v>40000</v>
      </c>
      <c r="L66" s="103">
        <f>VLOOKUP($A66,'OI(Value)'!$A$7:$O$329,8,0)</f>
        <v>893</v>
      </c>
      <c r="M66" s="103">
        <f>VLOOKUP($A66,'OI(Value)'!$A$7:$O$329,9,0)</f>
        <v>12</v>
      </c>
      <c r="N66" s="103">
        <f>VLOOKUP($A66,'OI(Value)'!$A$7:$O$329,11,0)</f>
        <v>637</v>
      </c>
      <c r="O66" s="103">
        <f>VLOOKUP($A66,'OI(Value)'!$A$7:$O$329,12,0)</f>
        <v>5</v>
      </c>
      <c r="P66" s="179">
        <f>VLOOKUP(A66,'OI(Value)'!A66:O290,8,0)</f>
        <v>893</v>
      </c>
      <c r="Q66" s="179">
        <f>VLOOKUP(A66,'OI(Value)'!A66:O290,9,0)</f>
        <v>12</v>
      </c>
      <c r="R66" s="179">
        <f>VLOOKUP(A66,'OI(Value)'!A66:O290,11,0)</f>
        <v>637</v>
      </c>
      <c r="S66" s="179">
        <f>VLOOKUP(A66,'OI(Value)'!A66:O290,11,0)</f>
        <v>637</v>
      </c>
    </row>
    <row r="67" spans="1:19" x14ac:dyDescent="0.25">
      <c r="A67" s="105" t="str">
        <f>'Data Vlaue (Cr)'!C62</f>
        <v>EICHERMOT</v>
      </c>
      <c r="B67" s="143">
        <f>VLOOKUP($A67,'Data shares'!$C:$FA,118)</f>
        <v>0.68</v>
      </c>
      <c r="C67" s="143">
        <f>VLOOKUP($A67,'Data shares'!$C:$FA,119)</f>
        <v>0.67</v>
      </c>
      <c r="D67" s="143">
        <f>VLOOKUP($A67,'Data shares'!$C:$FA,121)*100</f>
        <v>1.49</v>
      </c>
      <c r="E67" s="143">
        <f>VLOOKUP($A67,'Data shares'!$C:$FA,124)</f>
        <v>0.34</v>
      </c>
      <c r="F67" s="143">
        <f>VLOOKUP($A67,'Data shares'!$C:$FA,125)</f>
        <v>0.53</v>
      </c>
      <c r="G67" s="143">
        <f>VLOOKUP($A67,'Data shares'!$C:$FA,127)*100</f>
        <v>-35.85</v>
      </c>
      <c r="H67" s="103">
        <f>VLOOKUP($A67,'OI(Volume)'!$A$7:$O$445,8)</f>
        <v>2321600</v>
      </c>
      <c r="I67" s="103">
        <f>VLOOKUP($A67,'OI(Volume)'!$A$7:$O$445,9)</f>
        <v>-2300</v>
      </c>
      <c r="J67" s="103">
        <f>VLOOKUP($A67,'OI(Volume)'!$A$7:$O$445,11)</f>
        <v>1579400</v>
      </c>
      <c r="K67" s="103">
        <f>VLOOKUP($A67,'OI(Volume)'!$A$7:$O$445,12)</f>
        <v>19800</v>
      </c>
      <c r="L67" s="103">
        <f>VLOOKUP($A67,'OI(Value)'!$A$7:$O$329,8,0)</f>
        <v>1669</v>
      </c>
      <c r="M67" s="103">
        <f>VLOOKUP($A67,'OI(Value)'!$A$7:$O$329,9,0)</f>
        <v>-2</v>
      </c>
      <c r="N67" s="103">
        <f>VLOOKUP($A67,'OI(Value)'!$A$7:$O$329,11,0)</f>
        <v>1136</v>
      </c>
      <c r="O67" s="103">
        <f>VLOOKUP($A67,'OI(Value)'!$A$7:$O$329,12,0)</f>
        <v>14</v>
      </c>
      <c r="P67" s="179">
        <f>VLOOKUP(A67,'OI(Value)'!A67:O291,8,0)</f>
        <v>1669</v>
      </c>
      <c r="Q67" s="179">
        <f>VLOOKUP(A67,'OI(Value)'!A67:O291,9,0)</f>
        <v>-2</v>
      </c>
      <c r="R67" s="179">
        <f>VLOOKUP(A67,'OI(Value)'!A67:O291,11,0)</f>
        <v>1136</v>
      </c>
      <c r="S67" s="179">
        <f>VLOOKUP(A67,'OI(Value)'!A67:O291,11,0)</f>
        <v>1136</v>
      </c>
    </row>
    <row r="68" spans="1:19" x14ac:dyDescent="0.25">
      <c r="A68" s="105" t="str">
        <f>'Data Vlaue (Cr)'!C63</f>
        <v>ETERNAL</v>
      </c>
      <c r="B68" s="143">
        <f>VLOOKUP($A68,'Data shares'!$C:$FA,118)</f>
        <v>0.78</v>
      </c>
      <c r="C68" s="143">
        <f>VLOOKUP($A68,'Data shares'!$C:$FA,119)</f>
        <v>0.79</v>
      </c>
      <c r="D68" s="143">
        <f>VLOOKUP($A68,'Data shares'!$C:$FA,121)*100</f>
        <v>-1.27</v>
      </c>
      <c r="E68" s="143">
        <f>VLOOKUP($A68,'Data shares'!$C:$FA,124)</f>
        <v>0.49</v>
      </c>
      <c r="F68" s="143">
        <f>VLOOKUP($A68,'Data shares'!$C:$FA,125)</f>
        <v>0.43</v>
      </c>
      <c r="G68" s="143">
        <f>VLOOKUP($A68,'Data shares'!$C:$FA,127)*100</f>
        <v>13.950000000000001</v>
      </c>
      <c r="H68" s="103">
        <f>VLOOKUP($A68,'OI(Volume)'!$A$7:$O$445,8)</f>
        <v>64820250</v>
      </c>
      <c r="I68" s="103">
        <f>VLOOKUP($A68,'OI(Volume)'!$A$7:$O$445,9)</f>
        <v>1442875</v>
      </c>
      <c r="J68" s="103">
        <f>VLOOKUP($A68,'OI(Volume)'!$A$7:$O$445,11)</f>
        <v>50653400</v>
      </c>
      <c r="K68" s="103">
        <f>VLOOKUP($A68,'OI(Volume)'!$A$7:$O$445,12)</f>
        <v>727500</v>
      </c>
      <c r="L68" s="103">
        <f>VLOOKUP($A68,'OI(Value)'!$A$7:$O$329,8,0)</f>
        <v>1637</v>
      </c>
      <c r="M68" s="103">
        <f>VLOOKUP($A68,'OI(Value)'!$A$7:$O$329,9,0)</f>
        <v>36</v>
      </c>
      <c r="N68" s="103">
        <f>VLOOKUP($A68,'OI(Value)'!$A$7:$O$329,11,0)</f>
        <v>1279</v>
      </c>
      <c r="O68" s="103">
        <f>VLOOKUP($A68,'OI(Value)'!$A$7:$O$329,12,0)</f>
        <v>18</v>
      </c>
      <c r="P68" s="179">
        <f>VLOOKUP(A68,'OI(Value)'!A68:O292,8,0)</f>
        <v>1637</v>
      </c>
      <c r="Q68" s="179">
        <f>VLOOKUP(A68,'OI(Value)'!A68:O292,9,0)</f>
        <v>36</v>
      </c>
      <c r="R68" s="179">
        <f>VLOOKUP(A68,'OI(Value)'!A68:O292,11,0)</f>
        <v>1279</v>
      </c>
      <c r="S68" s="179">
        <f>VLOOKUP(A68,'OI(Value)'!A68:O292,11,0)</f>
        <v>1279</v>
      </c>
    </row>
    <row r="69" spans="1:19" x14ac:dyDescent="0.25">
      <c r="A69" s="105" t="str">
        <f>'Data Vlaue (Cr)'!C64</f>
        <v>EXIDEIND</v>
      </c>
      <c r="B69" s="143">
        <f>VLOOKUP($A69,'Data shares'!$C:$FA,118)</f>
        <v>0.97</v>
      </c>
      <c r="C69" s="143">
        <f>VLOOKUP($A69,'Data shares'!$C:$FA,119)</f>
        <v>1</v>
      </c>
      <c r="D69" s="143">
        <f>VLOOKUP($A69,'Data shares'!$C:$FA,121)*100</f>
        <v>-3</v>
      </c>
      <c r="E69" s="143">
        <f>VLOOKUP($A69,'Data shares'!$C:$FA,124)</f>
        <v>0.52</v>
      </c>
      <c r="F69" s="143">
        <f>VLOOKUP($A69,'Data shares'!$C:$FA,125)</f>
        <v>0.64</v>
      </c>
      <c r="G69" s="143">
        <f>VLOOKUP($A69,'Data shares'!$C:$FA,127)*100</f>
        <v>-18.75</v>
      </c>
      <c r="H69" s="103">
        <f>VLOOKUP($A69,'OI(Volume)'!$A$7:$O$445,8)</f>
        <v>12963600</v>
      </c>
      <c r="I69" s="103">
        <f>VLOOKUP($A69,'OI(Volume)'!$A$7:$O$445,9)</f>
        <v>513000</v>
      </c>
      <c r="J69" s="103">
        <f>VLOOKUP($A69,'OI(Volume)'!$A$7:$O$445,11)</f>
        <v>12621600</v>
      </c>
      <c r="K69" s="103">
        <f>VLOOKUP($A69,'OI(Volume)'!$A$7:$O$445,12)</f>
        <v>178200</v>
      </c>
      <c r="L69" s="103">
        <f>VLOOKUP($A69,'OI(Value)'!$A$7:$O$329,8,0)</f>
        <v>428</v>
      </c>
      <c r="M69" s="103">
        <f>VLOOKUP($A69,'OI(Value)'!$A$7:$O$329,9,0)</f>
        <v>17</v>
      </c>
      <c r="N69" s="103">
        <f>VLOOKUP($A69,'OI(Value)'!$A$7:$O$329,11,0)</f>
        <v>417</v>
      </c>
      <c r="O69" s="103">
        <f>VLOOKUP($A69,'OI(Value)'!$A$7:$O$329,12,0)</f>
        <v>6</v>
      </c>
      <c r="P69" s="179">
        <f>VLOOKUP(A69,'OI(Value)'!A69:O293,8,0)</f>
        <v>428</v>
      </c>
      <c r="Q69" s="179">
        <f>VLOOKUP(A69,'OI(Value)'!A69:O293,9,0)</f>
        <v>17</v>
      </c>
      <c r="R69" s="179">
        <f>VLOOKUP(A69,'OI(Value)'!A69:O293,11,0)</f>
        <v>417</v>
      </c>
      <c r="S69" s="179">
        <f>VLOOKUP(A69,'OI(Value)'!A69:O293,11,0)</f>
        <v>417</v>
      </c>
    </row>
    <row r="70" spans="1:19" x14ac:dyDescent="0.25">
      <c r="A70" s="105" t="str">
        <f>'Data Vlaue (Cr)'!C65</f>
        <v>FEDERALBNK</v>
      </c>
      <c r="B70" s="143">
        <f>VLOOKUP($A70,'Data shares'!$C:$FA,118)</f>
        <v>0.84</v>
      </c>
      <c r="C70" s="143">
        <f>VLOOKUP($A70,'Data shares'!$C:$FA,119)</f>
        <v>0.69</v>
      </c>
      <c r="D70" s="143">
        <f>VLOOKUP($A70,'Data shares'!$C:$FA,121)*100</f>
        <v>21.740000000000002</v>
      </c>
      <c r="E70" s="143">
        <f>VLOOKUP($A70,'Data shares'!$C:$FA,124)</f>
        <v>0.55000000000000004</v>
      </c>
      <c r="F70" s="143">
        <f>VLOOKUP($A70,'Data shares'!$C:$FA,125)</f>
        <v>0.52</v>
      </c>
      <c r="G70" s="143">
        <f>VLOOKUP($A70,'Data shares'!$C:$FA,127)*100</f>
        <v>5.7700000000000005</v>
      </c>
      <c r="H70" s="103">
        <f>VLOOKUP($A70,'OI(Volume)'!$A$7:$O$445,8)</f>
        <v>36580000</v>
      </c>
      <c r="I70" s="103">
        <f>VLOOKUP($A70,'OI(Volume)'!$A$7:$O$445,9)</f>
        <v>-3810000</v>
      </c>
      <c r="J70" s="103">
        <f>VLOOKUP($A70,'OI(Volume)'!$A$7:$O$445,11)</f>
        <v>30710000</v>
      </c>
      <c r="K70" s="103">
        <f>VLOOKUP($A70,'OI(Volume)'!$A$7:$O$445,12)</f>
        <v>2915000</v>
      </c>
      <c r="L70" s="103">
        <f>VLOOKUP($A70,'OI(Value)'!$A$7:$O$329,8,0)</f>
        <v>1074</v>
      </c>
      <c r="M70" s="103">
        <f>VLOOKUP($A70,'OI(Value)'!$A$7:$O$329,9,0)</f>
        <v>-112</v>
      </c>
      <c r="N70" s="103">
        <f>VLOOKUP($A70,'OI(Value)'!$A$7:$O$329,11,0)</f>
        <v>902</v>
      </c>
      <c r="O70" s="103">
        <f>VLOOKUP($A70,'OI(Value)'!$A$7:$O$329,12,0)</f>
        <v>86</v>
      </c>
      <c r="P70" s="179">
        <f>VLOOKUP(A70,'OI(Value)'!A70:O294,8,0)</f>
        <v>1074</v>
      </c>
      <c r="Q70" s="179">
        <f>VLOOKUP(A70,'OI(Value)'!A70:O294,9,0)</f>
        <v>-112</v>
      </c>
      <c r="R70" s="179">
        <f>VLOOKUP(A70,'OI(Value)'!A70:O294,11,0)</f>
        <v>902</v>
      </c>
      <c r="S70" s="179">
        <f>VLOOKUP(A70,'OI(Value)'!A70:O294,11,0)</f>
        <v>902</v>
      </c>
    </row>
    <row r="71" spans="1:19" x14ac:dyDescent="0.25">
      <c r="A71" s="105" t="str">
        <f>'Data Vlaue (Cr)'!C66</f>
        <v>FINNIFTY</v>
      </c>
      <c r="B71" s="143">
        <f>VLOOKUP($A71,'Data shares'!$C:$FA,118)</f>
        <v>0.68</v>
      </c>
      <c r="C71" s="143">
        <f>VLOOKUP($A71,'Data shares'!$C:$FA,119)</f>
        <v>0.7</v>
      </c>
      <c r="D71" s="143">
        <f>VLOOKUP($A71,'Data shares'!$C:$FA,121)*100</f>
        <v>-2.86</v>
      </c>
      <c r="E71" s="143">
        <f>VLOOKUP($A71,'Data shares'!$C:$FA,124)</f>
        <v>0.5</v>
      </c>
      <c r="F71" s="143">
        <f>VLOOKUP($A71,'Data shares'!$C:$FA,125)</f>
        <v>0.75</v>
      </c>
      <c r="G71" s="143">
        <f>VLOOKUP($A71,'Data shares'!$C:$FA,127)*100</f>
        <v>-33.33</v>
      </c>
      <c r="H71" s="103">
        <f>VLOOKUP($A71,'OI(Volume)'!$A$7:$O$445,8)</f>
        <v>395100</v>
      </c>
      <c r="I71" s="103">
        <f>VLOOKUP($A71,'OI(Volume)'!$A$7:$O$445,9)</f>
        <v>-4140</v>
      </c>
      <c r="J71" s="103">
        <f>VLOOKUP($A71,'OI(Volume)'!$A$7:$O$445,11)</f>
        <v>268020</v>
      </c>
      <c r="K71" s="103">
        <f>VLOOKUP($A71,'OI(Volume)'!$A$7:$O$445,12)</f>
        <v>-11820</v>
      </c>
      <c r="L71" s="103">
        <f>VLOOKUP($A71,'OI(Value)'!$A$7:$O$329,8,0)</f>
        <v>1050</v>
      </c>
      <c r="M71" s="103">
        <f>VLOOKUP($A71,'OI(Value)'!$A$7:$O$329,9,0)</f>
        <v>-11</v>
      </c>
      <c r="N71" s="103">
        <f>VLOOKUP($A71,'OI(Value)'!$A$7:$O$329,11,0)</f>
        <v>712</v>
      </c>
      <c r="O71" s="103">
        <f>VLOOKUP($A71,'OI(Value)'!$A$7:$O$329,12,0)</f>
        <v>-31</v>
      </c>
      <c r="P71" s="179">
        <f>VLOOKUP(A71,'OI(Value)'!A71:O295,8,0)</f>
        <v>1050</v>
      </c>
      <c r="Q71" s="179">
        <f>VLOOKUP(A71,'OI(Value)'!A71:O295,9,0)</f>
        <v>-11</v>
      </c>
      <c r="R71" s="179">
        <f>VLOOKUP(A71,'OI(Value)'!A71:O295,11,0)</f>
        <v>712</v>
      </c>
      <c r="S71" s="179">
        <f>VLOOKUP(A71,'OI(Value)'!A71:O295,11,0)</f>
        <v>712</v>
      </c>
    </row>
    <row r="72" spans="1:19" x14ac:dyDescent="0.25">
      <c r="A72" s="105" t="str">
        <f>'Data Vlaue (Cr)'!C67</f>
        <v>FORCEMOT</v>
      </c>
      <c r="B72" s="143">
        <f>VLOOKUP($A72,'Data shares'!$C:$FA,118)</f>
        <v>0.34</v>
      </c>
      <c r="C72" s="143">
        <f>VLOOKUP($A72,'Data shares'!$C:$FA,119)</f>
        <v>0.36</v>
      </c>
      <c r="D72" s="143">
        <f>VLOOKUP($A72,'Data shares'!$C:$FA,121)*100</f>
        <v>-5.56</v>
      </c>
      <c r="E72" s="143">
        <f>VLOOKUP($A72,'Data shares'!$C:$FA,124)</f>
        <v>0.24</v>
      </c>
      <c r="F72" s="143">
        <f>VLOOKUP($A72,'Data shares'!$C:$FA,125)</f>
        <v>0.16</v>
      </c>
      <c r="G72" s="143">
        <f>VLOOKUP($A72,'Data shares'!$C:$FA,127)*100</f>
        <v>50</v>
      </c>
      <c r="H72" s="103">
        <f>VLOOKUP($A72,'OI(Volume)'!$A$7:$O$445,8)</f>
        <v>78550</v>
      </c>
      <c r="I72" s="103">
        <f>VLOOKUP($A72,'OI(Volume)'!$A$7:$O$445,9)</f>
        <v>5175</v>
      </c>
      <c r="J72" s="103">
        <f>VLOOKUP($A72,'OI(Volume)'!$A$7:$O$445,11)</f>
        <v>26400</v>
      </c>
      <c r="K72" s="103">
        <f>VLOOKUP($A72,'OI(Volume)'!$A$7:$O$445,12)</f>
        <v>0</v>
      </c>
      <c r="L72" s="103">
        <f>VLOOKUP($A72,'OI(Value)'!$A$7:$O$329,8,0)</f>
        <v>176</v>
      </c>
      <c r="M72" s="103">
        <f>VLOOKUP($A72,'OI(Value)'!$A$7:$O$329,9,0)</f>
        <v>12</v>
      </c>
      <c r="N72" s="103">
        <f>VLOOKUP($A72,'OI(Value)'!$A$7:$O$329,11,0)</f>
        <v>59</v>
      </c>
      <c r="O72" s="103">
        <f>VLOOKUP($A72,'OI(Value)'!$A$7:$O$329,12,0)</f>
        <v>0</v>
      </c>
      <c r="P72" s="179">
        <f>VLOOKUP(A72,'OI(Value)'!A72:O296,8,0)</f>
        <v>176</v>
      </c>
      <c r="Q72" s="179">
        <f>VLOOKUP(A72,'OI(Value)'!A72:O296,9,0)</f>
        <v>12</v>
      </c>
      <c r="R72" s="179">
        <f>VLOOKUP(A72,'OI(Value)'!A72:O296,11,0)</f>
        <v>59</v>
      </c>
      <c r="S72" s="179">
        <f>VLOOKUP(A72,'OI(Value)'!A72:O296,11,0)</f>
        <v>59</v>
      </c>
    </row>
    <row r="73" spans="1:19" x14ac:dyDescent="0.25">
      <c r="A73" s="105" t="str">
        <f>'Data Vlaue (Cr)'!C68</f>
        <v>FORTIS</v>
      </c>
      <c r="B73" s="143">
        <f>VLOOKUP($A73,'Data shares'!$C:$FA,118)</f>
        <v>0.63</v>
      </c>
      <c r="C73" s="143">
        <f>VLOOKUP($A73,'Data shares'!$C:$FA,119)</f>
        <v>0.7</v>
      </c>
      <c r="D73" s="143">
        <f>VLOOKUP($A73,'Data shares'!$C:$FA,121)*100</f>
        <v>-10</v>
      </c>
      <c r="E73" s="143">
        <f>VLOOKUP($A73,'Data shares'!$C:$FA,124)</f>
        <v>0.46</v>
      </c>
      <c r="F73" s="143">
        <f>VLOOKUP($A73,'Data shares'!$C:$FA,125)</f>
        <v>0.48</v>
      </c>
      <c r="G73" s="143">
        <f>VLOOKUP($A73,'Data shares'!$C:$FA,127)*100</f>
        <v>-4.17</v>
      </c>
      <c r="H73" s="103">
        <f>VLOOKUP($A73,'OI(Volume)'!$A$7:$O$445,8)</f>
        <v>2492400</v>
      </c>
      <c r="I73" s="103">
        <f>VLOOKUP($A73,'OI(Volume)'!$A$7:$O$445,9)</f>
        <v>127875</v>
      </c>
      <c r="J73" s="103">
        <f>VLOOKUP($A73,'OI(Volume)'!$A$7:$O$445,11)</f>
        <v>1582550</v>
      </c>
      <c r="K73" s="103">
        <f>VLOOKUP($A73,'OI(Volume)'!$A$7:$O$445,12)</f>
        <v>-66650</v>
      </c>
      <c r="L73" s="103">
        <f>VLOOKUP($A73,'OI(Value)'!$A$7:$O$329,8,0)</f>
        <v>222</v>
      </c>
      <c r="M73" s="103">
        <f>VLOOKUP($A73,'OI(Value)'!$A$7:$O$329,9,0)</f>
        <v>11</v>
      </c>
      <c r="N73" s="103">
        <f>VLOOKUP($A73,'OI(Value)'!$A$7:$O$329,11,0)</f>
        <v>141</v>
      </c>
      <c r="O73" s="103">
        <f>VLOOKUP($A73,'OI(Value)'!$A$7:$O$329,12,0)</f>
        <v>-6</v>
      </c>
      <c r="P73" s="179">
        <f>VLOOKUP(A73,'OI(Value)'!A73:O297,8,0)</f>
        <v>222</v>
      </c>
      <c r="Q73" s="179">
        <f>VLOOKUP(A73,'OI(Value)'!A73:O297,9,0)</f>
        <v>11</v>
      </c>
      <c r="R73" s="179">
        <f>VLOOKUP(A73,'OI(Value)'!A73:O297,11,0)</f>
        <v>141</v>
      </c>
      <c r="S73" s="179">
        <f>VLOOKUP(A73,'OI(Value)'!A73:O297,11,0)</f>
        <v>141</v>
      </c>
    </row>
    <row r="74" spans="1:19" x14ac:dyDescent="0.25">
      <c r="A74" s="105" t="str">
        <f>'Data Vlaue (Cr)'!C69</f>
        <v>GAIL</v>
      </c>
      <c r="B74" s="143">
        <f>VLOOKUP($A74,'Data shares'!$C:$FA,118)</f>
        <v>1.18</v>
      </c>
      <c r="C74" s="143">
        <f>VLOOKUP($A74,'Data shares'!$C:$FA,119)</f>
        <v>1.21</v>
      </c>
      <c r="D74" s="143">
        <f>VLOOKUP($A74,'Data shares'!$C:$FA,121)*100</f>
        <v>-2.48</v>
      </c>
      <c r="E74" s="143">
        <f>VLOOKUP($A74,'Data shares'!$C:$FA,124)</f>
        <v>0.83</v>
      </c>
      <c r="F74" s="143">
        <f>VLOOKUP($A74,'Data shares'!$C:$FA,125)</f>
        <v>0.66</v>
      </c>
      <c r="G74" s="143">
        <f>VLOOKUP($A74,'Data shares'!$C:$FA,127)*100</f>
        <v>25.759999999999998</v>
      </c>
      <c r="H74" s="103">
        <f>VLOOKUP($A74,'OI(Volume)'!$A$7:$O$445,8)</f>
        <v>27653850</v>
      </c>
      <c r="I74" s="103">
        <f>VLOOKUP($A74,'OI(Volume)'!$A$7:$O$445,9)</f>
        <v>995400</v>
      </c>
      <c r="J74" s="103">
        <f>VLOOKUP($A74,'OI(Volume)'!$A$7:$O$445,11)</f>
        <v>32514300</v>
      </c>
      <c r="K74" s="103">
        <f>VLOOKUP($A74,'OI(Volume)'!$A$7:$O$445,12)</f>
        <v>261450</v>
      </c>
      <c r="L74" s="103">
        <f>VLOOKUP($A74,'OI(Value)'!$A$7:$O$329,8,0)</f>
        <v>438</v>
      </c>
      <c r="M74" s="103">
        <f>VLOOKUP($A74,'OI(Value)'!$A$7:$O$329,9,0)</f>
        <v>16</v>
      </c>
      <c r="N74" s="103">
        <f>VLOOKUP($A74,'OI(Value)'!$A$7:$O$329,11,0)</f>
        <v>515</v>
      </c>
      <c r="O74" s="103">
        <f>VLOOKUP($A74,'OI(Value)'!$A$7:$O$329,12,0)</f>
        <v>4</v>
      </c>
      <c r="P74" s="179">
        <f>VLOOKUP(A74,'OI(Value)'!A74:O298,8,0)</f>
        <v>438</v>
      </c>
      <c r="Q74" s="179">
        <f>VLOOKUP(A74,'OI(Value)'!A74:O298,9,0)</f>
        <v>16</v>
      </c>
      <c r="R74" s="179">
        <f>VLOOKUP(A74,'OI(Value)'!A74:O298,11,0)</f>
        <v>515</v>
      </c>
      <c r="S74" s="179">
        <f>VLOOKUP(A74,'OI(Value)'!A74:O298,11,0)</f>
        <v>515</v>
      </c>
    </row>
    <row r="75" spans="1:19" x14ac:dyDescent="0.25">
      <c r="A75" s="105" t="str">
        <f>'Data Vlaue (Cr)'!C70</f>
        <v>GLENMARK</v>
      </c>
      <c r="B75" s="143">
        <f>VLOOKUP($A75,'Data shares'!$C:$FA,118)</f>
        <v>0.51</v>
      </c>
      <c r="C75" s="143">
        <f>VLOOKUP($A75,'Data shares'!$C:$FA,119)</f>
        <v>0.62</v>
      </c>
      <c r="D75" s="143">
        <f>VLOOKUP($A75,'Data shares'!$C:$FA,121)*100</f>
        <v>-17.740000000000002</v>
      </c>
      <c r="E75" s="143">
        <f>VLOOKUP($A75,'Data shares'!$C:$FA,124)</f>
        <v>0.32</v>
      </c>
      <c r="F75" s="143">
        <f>VLOOKUP($A75,'Data shares'!$C:$FA,125)</f>
        <v>0.62</v>
      </c>
      <c r="G75" s="143">
        <f>VLOOKUP($A75,'Data shares'!$C:$FA,127)*100</f>
        <v>-48.39</v>
      </c>
      <c r="H75" s="103">
        <f>VLOOKUP($A75,'OI(Volume)'!$A$7:$O$445,8)</f>
        <v>2390625</v>
      </c>
      <c r="I75" s="103">
        <f>VLOOKUP($A75,'OI(Volume)'!$A$7:$O$445,9)</f>
        <v>575250</v>
      </c>
      <c r="J75" s="103">
        <f>VLOOKUP($A75,'OI(Volume)'!$A$7:$O$445,11)</f>
        <v>1211625</v>
      </c>
      <c r="K75" s="103">
        <f>VLOOKUP($A75,'OI(Volume)'!$A$7:$O$445,12)</f>
        <v>92250</v>
      </c>
      <c r="L75" s="103">
        <f>VLOOKUP($A75,'OI(Value)'!$A$7:$O$329,8,0)</f>
        <v>539</v>
      </c>
      <c r="M75" s="103">
        <f>VLOOKUP($A75,'OI(Value)'!$A$7:$O$329,9,0)</f>
        <v>130</v>
      </c>
      <c r="N75" s="103">
        <f>VLOOKUP($A75,'OI(Value)'!$A$7:$O$329,11,0)</f>
        <v>273</v>
      </c>
      <c r="O75" s="103">
        <f>VLOOKUP($A75,'OI(Value)'!$A$7:$O$329,12,0)</f>
        <v>21</v>
      </c>
      <c r="P75" s="179">
        <f>VLOOKUP(A75,'OI(Value)'!A75:O299,8,0)</f>
        <v>539</v>
      </c>
      <c r="Q75" s="179">
        <f>VLOOKUP(A75,'OI(Value)'!A75:O299,9,0)</f>
        <v>130</v>
      </c>
      <c r="R75" s="179">
        <f>VLOOKUP(A75,'OI(Value)'!A75:O299,11,0)</f>
        <v>273</v>
      </c>
      <c r="S75" s="179">
        <f>VLOOKUP(A75,'OI(Value)'!A75:O299,11,0)</f>
        <v>273</v>
      </c>
    </row>
    <row r="76" spans="1:19" x14ac:dyDescent="0.25">
      <c r="A76" s="105" t="str">
        <f>'Data Vlaue (Cr)'!C71</f>
        <v>GMRAIRPORT</v>
      </c>
      <c r="B76" s="143">
        <f>VLOOKUP($A76,'Data shares'!$C:$FA,118)</f>
        <v>0.75</v>
      </c>
      <c r="C76" s="143">
        <f>VLOOKUP($A76,'Data shares'!$C:$FA,119)</f>
        <v>0.75</v>
      </c>
      <c r="D76" s="143">
        <f>VLOOKUP($A76,'Data shares'!$C:$FA,121)*100</f>
        <v>0</v>
      </c>
      <c r="E76" s="143">
        <f>VLOOKUP($A76,'Data shares'!$C:$FA,124)</f>
        <v>0.5</v>
      </c>
      <c r="F76" s="143">
        <f>VLOOKUP($A76,'Data shares'!$C:$FA,125)</f>
        <v>0.71</v>
      </c>
      <c r="G76" s="143">
        <f>VLOOKUP($A76,'Data shares'!$C:$FA,127)*100</f>
        <v>-29.580000000000002</v>
      </c>
      <c r="H76" s="103">
        <f>VLOOKUP($A76,'OI(Volume)'!$A$7:$O$445,8)</f>
        <v>39011175</v>
      </c>
      <c r="I76" s="103">
        <f>VLOOKUP($A76,'OI(Volume)'!$A$7:$O$445,9)</f>
        <v>613800</v>
      </c>
      <c r="J76" s="103">
        <f>VLOOKUP($A76,'OI(Volume)'!$A$7:$O$445,11)</f>
        <v>29162475</v>
      </c>
      <c r="K76" s="103">
        <f>VLOOKUP($A76,'OI(Volume)'!$A$7:$O$445,12)</f>
        <v>544050</v>
      </c>
      <c r="L76" s="103">
        <f>VLOOKUP($A76,'OI(Value)'!$A$7:$O$329,8,0)</f>
        <v>379</v>
      </c>
      <c r="M76" s="103">
        <f>VLOOKUP($A76,'OI(Value)'!$A$7:$O$329,9,0)</f>
        <v>6</v>
      </c>
      <c r="N76" s="103">
        <f>VLOOKUP($A76,'OI(Value)'!$A$7:$O$329,11,0)</f>
        <v>283</v>
      </c>
      <c r="O76" s="103">
        <f>VLOOKUP($A76,'OI(Value)'!$A$7:$O$329,12,0)</f>
        <v>5</v>
      </c>
      <c r="P76" s="179">
        <f>VLOOKUP(A76,'OI(Value)'!A76:O300,8,0)</f>
        <v>379</v>
      </c>
      <c r="Q76" s="179">
        <f>VLOOKUP(A76,'OI(Value)'!A76:O300,9,0)</f>
        <v>6</v>
      </c>
      <c r="R76" s="179">
        <f>VLOOKUP(A76,'OI(Value)'!A76:O300,11,0)</f>
        <v>283</v>
      </c>
      <c r="S76" s="179">
        <f>VLOOKUP(A76,'OI(Value)'!A76:O300,11,0)</f>
        <v>283</v>
      </c>
    </row>
    <row r="77" spans="1:19" x14ac:dyDescent="0.25">
      <c r="A77" s="105" t="str">
        <f>'Data Vlaue (Cr)'!C72</f>
        <v>GODFRYPHLP</v>
      </c>
      <c r="B77" s="143">
        <f>VLOOKUP($A77,'Data shares'!$C:$FA,118)</f>
        <v>0.43</v>
      </c>
      <c r="C77" s="143">
        <f>VLOOKUP($A77,'Data shares'!$C:$FA,119)</f>
        <v>0.41</v>
      </c>
      <c r="D77" s="143">
        <f>VLOOKUP($A77,'Data shares'!$C:$FA,121)*100</f>
        <v>4.88</v>
      </c>
      <c r="E77" s="143">
        <f>VLOOKUP($A77,'Data shares'!$C:$FA,124)</f>
        <v>0.24</v>
      </c>
      <c r="F77" s="143">
        <f>VLOOKUP($A77,'Data shares'!$C:$FA,125)</f>
        <v>0.36</v>
      </c>
      <c r="G77" s="143">
        <f>VLOOKUP($A77,'Data shares'!$C:$FA,127)*100</f>
        <v>-33.33</v>
      </c>
      <c r="H77" s="103">
        <f>VLOOKUP($A77,'OI(Volume)'!$A$7:$O$445,8)</f>
        <v>920975</v>
      </c>
      <c r="I77" s="103">
        <f>VLOOKUP($A77,'OI(Volume)'!$A$7:$O$445,9)</f>
        <v>519200</v>
      </c>
      <c r="J77" s="103">
        <f>VLOOKUP($A77,'OI(Volume)'!$A$7:$O$445,11)</f>
        <v>394900</v>
      </c>
      <c r="K77" s="103">
        <f>VLOOKUP($A77,'OI(Volume)'!$A$7:$O$445,12)</f>
        <v>229350</v>
      </c>
      <c r="L77" s="103">
        <f>VLOOKUP($A77,'OI(Value)'!$A$7:$O$329,8,0)</f>
        <v>201</v>
      </c>
      <c r="M77" s="103">
        <f>VLOOKUP($A77,'OI(Value)'!$A$7:$O$329,9,0)</f>
        <v>113</v>
      </c>
      <c r="N77" s="103">
        <f>VLOOKUP($A77,'OI(Value)'!$A$7:$O$329,11,0)</f>
        <v>86</v>
      </c>
      <c r="O77" s="103">
        <f>VLOOKUP($A77,'OI(Value)'!$A$7:$O$329,12,0)</f>
        <v>50</v>
      </c>
      <c r="P77" s="179">
        <f>VLOOKUP(A77,'OI(Value)'!A77:O301,8,0)</f>
        <v>201</v>
      </c>
      <c r="Q77" s="179">
        <f>VLOOKUP(A77,'OI(Value)'!A77:O301,9,0)</f>
        <v>113</v>
      </c>
      <c r="R77" s="179">
        <f>VLOOKUP(A77,'OI(Value)'!A77:O301,11,0)</f>
        <v>86</v>
      </c>
      <c r="S77" s="179">
        <f>VLOOKUP(A77,'OI(Value)'!A77:O301,11,0)</f>
        <v>86</v>
      </c>
    </row>
    <row r="78" spans="1:19" x14ac:dyDescent="0.25">
      <c r="A78" s="105" t="str">
        <f>'Data Vlaue (Cr)'!C73</f>
        <v>GODREJCP</v>
      </c>
      <c r="B78" s="143">
        <f>VLOOKUP($A78,'Data shares'!$C:$FA,118)</f>
        <v>0.76</v>
      </c>
      <c r="C78" s="143">
        <f>VLOOKUP($A78,'Data shares'!$C:$FA,119)</f>
        <v>0.8</v>
      </c>
      <c r="D78" s="143">
        <f>VLOOKUP($A78,'Data shares'!$C:$FA,121)*100</f>
        <v>-5</v>
      </c>
      <c r="E78" s="143">
        <f>VLOOKUP($A78,'Data shares'!$C:$FA,124)</f>
        <v>0.36</v>
      </c>
      <c r="F78" s="143">
        <f>VLOOKUP($A78,'Data shares'!$C:$FA,125)</f>
        <v>0.56000000000000005</v>
      </c>
      <c r="G78" s="143">
        <f>VLOOKUP($A78,'Data shares'!$C:$FA,127)*100</f>
        <v>-35.709999999999994</v>
      </c>
      <c r="H78" s="103">
        <f>VLOOKUP($A78,'OI(Volume)'!$A$7:$O$445,8)</f>
        <v>1684500</v>
      </c>
      <c r="I78" s="103">
        <f>VLOOKUP($A78,'OI(Volume)'!$A$7:$O$445,9)</f>
        <v>142000</v>
      </c>
      <c r="J78" s="103">
        <f>VLOOKUP($A78,'OI(Volume)'!$A$7:$O$445,11)</f>
        <v>1286500</v>
      </c>
      <c r="K78" s="103">
        <f>VLOOKUP($A78,'OI(Volume)'!$A$7:$O$445,12)</f>
        <v>56000</v>
      </c>
      <c r="L78" s="103">
        <f>VLOOKUP($A78,'OI(Value)'!$A$7:$O$329,8,0)</f>
        <v>187</v>
      </c>
      <c r="M78" s="103">
        <f>VLOOKUP($A78,'OI(Value)'!$A$7:$O$329,9,0)</f>
        <v>16</v>
      </c>
      <c r="N78" s="103">
        <f>VLOOKUP($A78,'OI(Value)'!$A$7:$O$329,11,0)</f>
        <v>143</v>
      </c>
      <c r="O78" s="103">
        <f>VLOOKUP($A78,'OI(Value)'!$A$7:$O$329,12,0)</f>
        <v>6</v>
      </c>
      <c r="P78" s="179">
        <f>VLOOKUP(A78,'OI(Value)'!A78:O302,8,0)</f>
        <v>187</v>
      </c>
      <c r="Q78" s="179">
        <f>VLOOKUP(A78,'OI(Value)'!A78:O302,9,0)</f>
        <v>16</v>
      </c>
      <c r="R78" s="179">
        <f>VLOOKUP(A78,'OI(Value)'!A78:O302,11,0)</f>
        <v>143</v>
      </c>
      <c r="S78" s="179">
        <f>VLOOKUP(A78,'OI(Value)'!A78:O302,11,0)</f>
        <v>143</v>
      </c>
    </row>
    <row r="79" spans="1:19" x14ac:dyDescent="0.25">
      <c r="A79" s="105" t="str">
        <f>'Data Vlaue (Cr)'!C74</f>
        <v>GODREJPROP</v>
      </c>
      <c r="B79" s="143">
        <f>VLOOKUP($A79,'Data shares'!$C:$FA,118)</f>
        <v>0.94</v>
      </c>
      <c r="C79" s="143">
        <f>VLOOKUP($A79,'Data shares'!$C:$FA,119)</f>
        <v>0.95</v>
      </c>
      <c r="D79" s="143">
        <f>VLOOKUP($A79,'Data shares'!$C:$FA,121)*100</f>
        <v>-1.05</v>
      </c>
      <c r="E79" s="143">
        <f>VLOOKUP($A79,'Data shares'!$C:$FA,124)</f>
        <v>0.82</v>
      </c>
      <c r="F79" s="143">
        <f>VLOOKUP($A79,'Data shares'!$C:$FA,125)</f>
        <v>0.75</v>
      </c>
      <c r="G79" s="143">
        <f>VLOOKUP($A79,'Data shares'!$C:$FA,127)*100</f>
        <v>9.33</v>
      </c>
      <c r="H79" s="103">
        <f>VLOOKUP($A79,'OI(Volume)'!$A$7:$O$445,8)</f>
        <v>2893000</v>
      </c>
      <c r="I79" s="103">
        <f>VLOOKUP($A79,'OI(Volume)'!$A$7:$O$445,9)</f>
        <v>86350</v>
      </c>
      <c r="J79" s="103">
        <f>VLOOKUP($A79,'OI(Volume)'!$A$7:$O$445,11)</f>
        <v>2711500</v>
      </c>
      <c r="K79" s="103">
        <f>VLOOKUP($A79,'OI(Volume)'!$A$7:$O$445,12)</f>
        <v>36850</v>
      </c>
      <c r="L79" s="103">
        <f>VLOOKUP($A79,'OI(Value)'!$A$7:$O$329,8,0)</f>
        <v>510</v>
      </c>
      <c r="M79" s="103">
        <f>VLOOKUP($A79,'OI(Value)'!$A$7:$O$329,9,0)</f>
        <v>15</v>
      </c>
      <c r="N79" s="103">
        <f>VLOOKUP($A79,'OI(Value)'!$A$7:$O$329,11,0)</f>
        <v>478</v>
      </c>
      <c r="O79" s="103">
        <f>VLOOKUP($A79,'OI(Value)'!$A$7:$O$329,12,0)</f>
        <v>7</v>
      </c>
      <c r="P79" s="179">
        <f>VLOOKUP(A79,'OI(Value)'!A79:O303,8,0)</f>
        <v>510</v>
      </c>
      <c r="Q79" s="179">
        <f>VLOOKUP(A79,'OI(Value)'!A79:O303,9,0)</f>
        <v>15</v>
      </c>
      <c r="R79" s="179">
        <f>VLOOKUP(A79,'OI(Value)'!A79:O303,11,0)</f>
        <v>478</v>
      </c>
      <c r="S79" s="179">
        <f>VLOOKUP(A79,'OI(Value)'!A79:O303,11,0)</f>
        <v>478</v>
      </c>
    </row>
    <row r="80" spans="1:19" x14ac:dyDescent="0.25">
      <c r="A80" s="105" t="str">
        <f>'Data Vlaue (Cr)'!C75</f>
        <v>GRASIM</v>
      </c>
      <c r="B80" s="143">
        <f>VLOOKUP($A80,'Data shares'!$C:$FA,118)</f>
        <v>0.73</v>
      </c>
      <c r="C80" s="143">
        <f>VLOOKUP($A80,'Data shares'!$C:$FA,119)</f>
        <v>0.73</v>
      </c>
      <c r="D80" s="143">
        <f>VLOOKUP($A80,'Data shares'!$C:$FA,121)*100</f>
        <v>0</v>
      </c>
      <c r="E80" s="143">
        <f>VLOOKUP($A80,'Data shares'!$C:$FA,124)</f>
        <v>0.42</v>
      </c>
      <c r="F80" s="143">
        <f>VLOOKUP($A80,'Data shares'!$C:$FA,125)</f>
        <v>0.56000000000000005</v>
      </c>
      <c r="G80" s="143">
        <f>VLOOKUP($A80,'Data shares'!$C:$FA,127)*100</f>
        <v>-25</v>
      </c>
      <c r="H80" s="103">
        <f>VLOOKUP($A80,'OI(Volume)'!$A$7:$O$445,8)</f>
        <v>1701000</v>
      </c>
      <c r="I80" s="103">
        <f>VLOOKUP($A80,'OI(Volume)'!$A$7:$O$445,9)</f>
        <v>-47000</v>
      </c>
      <c r="J80" s="103">
        <f>VLOOKUP($A80,'OI(Volume)'!$A$7:$O$445,11)</f>
        <v>1234250</v>
      </c>
      <c r="K80" s="103">
        <f>VLOOKUP($A80,'OI(Volume)'!$A$7:$O$445,12)</f>
        <v>-46500</v>
      </c>
      <c r="L80" s="103">
        <f>VLOOKUP($A80,'OI(Value)'!$A$7:$O$329,8,0)</f>
        <v>464</v>
      </c>
      <c r="M80" s="103">
        <f>VLOOKUP($A80,'OI(Value)'!$A$7:$O$329,9,0)</f>
        <v>-13</v>
      </c>
      <c r="N80" s="103">
        <f>VLOOKUP($A80,'OI(Value)'!$A$7:$O$329,11,0)</f>
        <v>337</v>
      </c>
      <c r="O80" s="103">
        <f>VLOOKUP($A80,'OI(Value)'!$A$7:$O$329,12,0)</f>
        <v>-13</v>
      </c>
      <c r="P80" s="179">
        <f>VLOOKUP(A80,'OI(Value)'!A80:O304,8,0)</f>
        <v>464</v>
      </c>
      <c r="Q80" s="179">
        <f>VLOOKUP(A80,'OI(Value)'!A80:O304,9,0)</f>
        <v>-13</v>
      </c>
      <c r="R80" s="179">
        <f>VLOOKUP(A80,'OI(Value)'!A80:O304,11,0)</f>
        <v>337</v>
      </c>
      <c r="S80" s="179">
        <f>VLOOKUP(A80,'OI(Value)'!A80:O304,11,0)</f>
        <v>337</v>
      </c>
    </row>
    <row r="81" spans="1:19" x14ac:dyDescent="0.25">
      <c r="A81" s="105" t="str">
        <f>'Data Vlaue (Cr)'!C76</f>
        <v>HAL</v>
      </c>
      <c r="B81" s="143">
        <f>VLOOKUP($A81,'Data shares'!$C:$FA,118)</f>
        <v>0.95</v>
      </c>
      <c r="C81" s="143">
        <f>VLOOKUP($A81,'Data shares'!$C:$FA,119)</f>
        <v>0.96</v>
      </c>
      <c r="D81" s="143">
        <f>VLOOKUP($A81,'Data shares'!$C:$FA,121)*100</f>
        <v>-1.04</v>
      </c>
      <c r="E81" s="143">
        <f>VLOOKUP($A81,'Data shares'!$C:$FA,124)</f>
        <v>0.65</v>
      </c>
      <c r="F81" s="143">
        <f>VLOOKUP($A81,'Data shares'!$C:$FA,125)</f>
        <v>0.44</v>
      </c>
      <c r="G81" s="143">
        <f>VLOOKUP($A81,'Data shares'!$C:$FA,127)*100</f>
        <v>47.73</v>
      </c>
      <c r="H81" s="103">
        <f>VLOOKUP($A81,'OI(Volume)'!$A$7:$O$445,8)</f>
        <v>3505350</v>
      </c>
      <c r="I81" s="103">
        <f>VLOOKUP($A81,'OI(Volume)'!$A$7:$O$445,9)</f>
        <v>-24000</v>
      </c>
      <c r="J81" s="103">
        <f>VLOOKUP($A81,'OI(Volume)'!$A$7:$O$445,11)</f>
        <v>3327150</v>
      </c>
      <c r="K81" s="103">
        <f>VLOOKUP($A81,'OI(Volume)'!$A$7:$O$445,12)</f>
        <v>-48150</v>
      </c>
      <c r="L81" s="103">
        <f>VLOOKUP($A81,'OI(Value)'!$A$7:$O$329,8,0)</f>
        <v>1540</v>
      </c>
      <c r="M81" s="103">
        <f>VLOOKUP($A81,'OI(Value)'!$A$7:$O$329,9,0)</f>
        <v>-11</v>
      </c>
      <c r="N81" s="103">
        <f>VLOOKUP($A81,'OI(Value)'!$A$7:$O$329,11,0)</f>
        <v>1462</v>
      </c>
      <c r="O81" s="103">
        <f>VLOOKUP($A81,'OI(Value)'!$A$7:$O$329,12,0)</f>
        <v>-21</v>
      </c>
      <c r="P81" s="179">
        <f>VLOOKUP(A81,'OI(Value)'!A81:O305,8,0)</f>
        <v>1540</v>
      </c>
      <c r="Q81" s="179">
        <f>VLOOKUP(A81,'OI(Value)'!A81:O305,9,0)</f>
        <v>-11</v>
      </c>
      <c r="R81" s="179">
        <f>VLOOKUP(A81,'OI(Value)'!A81:O305,11,0)</f>
        <v>1462</v>
      </c>
      <c r="S81" s="179">
        <f>VLOOKUP(A81,'OI(Value)'!A81:O305,11,0)</f>
        <v>1462</v>
      </c>
    </row>
    <row r="82" spans="1:19" x14ac:dyDescent="0.25">
      <c r="A82" s="105" t="str">
        <f>'Data Vlaue (Cr)'!C77</f>
        <v>HAVELLS</v>
      </c>
      <c r="B82" s="143">
        <f>VLOOKUP($A82,'Data shares'!$C:$FA,118)</f>
        <v>0.74</v>
      </c>
      <c r="C82" s="143">
        <f>VLOOKUP($A82,'Data shares'!$C:$FA,119)</f>
        <v>0.74</v>
      </c>
      <c r="D82" s="143">
        <f>VLOOKUP($A82,'Data shares'!$C:$FA,121)*100</f>
        <v>0</v>
      </c>
      <c r="E82" s="143">
        <f>VLOOKUP($A82,'Data shares'!$C:$FA,124)</f>
        <v>0.33</v>
      </c>
      <c r="F82" s="143">
        <f>VLOOKUP($A82,'Data shares'!$C:$FA,125)</f>
        <v>0.44</v>
      </c>
      <c r="G82" s="143">
        <f>VLOOKUP($A82,'Data shares'!$C:$FA,127)*100</f>
        <v>-25</v>
      </c>
      <c r="H82" s="103">
        <f>VLOOKUP($A82,'OI(Volume)'!$A$7:$O$445,8)</f>
        <v>3176000</v>
      </c>
      <c r="I82" s="103">
        <f>VLOOKUP($A82,'OI(Volume)'!$A$7:$O$445,9)</f>
        <v>169000</v>
      </c>
      <c r="J82" s="103">
        <f>VLOOKUP($A82,'OI(Volume)'!$A$7:$O$445,11)</f>
        <v>2349000</v>
      </c>
      <c r="K82" s="103">
        <f>VLOOKUP($A82,'OI(Volume)'!$A$7:$O$445,12)</f>
        <v>124500</v>
      </c>
      <c r="L82" s="103">
        <f>VLOOKUP($A82,'OI(Value)'!$A$7:$O$329,8,0)</f>
        <v>416</v>
      </c>
      <c r="M82" s="103">
        <f>VLOOKUP($A82,'OI(Value)'!$A$7:$O$329,9,0)</f>
        <v>22</v>
      </c>
      <c r="N82" s="103">
        <f>VLOOKUP($A82,'OI(Value)'!$A$7:$O$329,11,0)</f>
        <v>308</v>
      </c>
      <c r="O82" s="103">
        <f>VLOOKUP($A82,'OI(Value)'!$A$7:$O$329,12,0)</f>
        <v>16</v>
      </c>
      <c r="P82" s="179">
        <f>VLOOKUP(A82,'OI(Value)'!A82:O306,8,0)</f>
        <v>416</v>
      </c>
      <c r="Q82" s="179">
        <f>VLOOKUP(A82,'OI(Value)'!A82:O306,9,0)</f>
        <v>22</v>
      </c>
      <c r="R82" s="179">
        <f>VLOOKUP(A82,'OI(Value)'!A82:O306,11,0)</f>
        <v>308</v>
      </c>
      <c r="S82" s="179">
        <f>VLOOKUP(A82,'OI(Value)'!A82:O306,11,0)</f>
        <v>308</v>
      </c>
    </row>
    <row r="83" spans="1:19" x14ac:dyDescent="0.25">
      <c r="A83" s="105" t="str">
        <f>'Data Vlaue (Cr)'!C78</f>
        <v>HCLTECH</v>
      </c>
      <c r="B83" s="143">
        <f>VLOOKUP($A83,'Data shares'!$C:$FA,118)</f>
        <v>0.83</v>
      </c>
      <c r="C83" s="143">
        <f>VLOOKUP($A83,'Data shares'!$C:$FA,119)</f>
        <v>0.86</v>
      </c>
      <c r="D83" s="143">
        <f>VLOOKUP($A83,'Data shares'!$C:$FA,121)*100</f>
        <v>-3.49</v>
      </c>
      <c r="E83" s="143">
        <f>VLOOKUP($A83,'Data shares'!$C:$FA,124)</f>
        <v>0.56000000000000005</v>
      </c>
      <c r="F83" s="143">
        <f>VLOOKUP($A83,'Data shares'!$C:$FA,125)</f>
        <v>0.56000000000000005</v>
      </c>
      <c r="G83" s="143">
        <f>VLOOKUP($A83,'Data shares'!$C:$FA,127)*100</f>
        <v>0</v>
      </c>
      <c r="H83" s="103">
        <f>VLOOKUP($A83,'OI(Volume)'!$A$7:$O$445,8)</f>
        <v>7123550</v>
      </c>
      <c r="I83" s="103">
        <f>VLOOKUP($A83,'OI(Volume)'!$A$7:$O$445,9)</f>
        <v>448350</v>
      </c>
      <c r="J83" s="103">
        <f>VLOOKUP($A83,'OI(Volume)'!$A$7:$O$445,11)</f>
        <v>5924100</v>
      </c>
      <c r="K83" s="103">
        <f>VLOOKUP($A83,'OI(Volume)'!$A$7:$O$445,12)</f>
        <v>208950</v>
      </c>
      <c r="L83" s="103">
        <f>VLOOKUP($A83,'OI(Value)'!$A$7:$O$329,8,0)</f>
        <v>1008</v>
      </c>
      <c r="M83" s="103">
        <f>VLOOKUP($A83,'OI(Value)'!$A$7:$O$329,9,0)</f>
        <v>63</v>
      </c>
      <c r="N83" s="103">
        <f>VLOOKUP($A83,'OI(Value)'!$A$7:$O$329,11,0)</f>
        <v>838</v>
      </c>
      <c r="O83" s="103">
        <f>VLOOKUP($A83,'OI(Value)'!$A$7:$O$329,12,0)</f>
        <v>30</v>
      </c>
      <c r="P83" s="179">
        <f>VLOOKUP(A83,'OI(Value)'!A83:O307,8,0)</f>
        <v>1008</v>
      </c>
      <c r="Q83" s="179">
        <f>VLOOKUP(A83,'OI(Value)'!A83:O307,9,0)</f>
        <v>63</v>
      </c>
      <c r="R83" s="179">
        <f>VLOOKUP(A83,'OI(Value)'!A83:O307,11,0)</f>
        <v>838</v>
      </c>
      <c r="S83" s="179">
        <f>VLOOKUP(A83,'OI(Value)'!A83:O307,11,0)</f>
        <v>838</v>
      </c>
    </row>
    <row r="84" spans="1:19" x14ac:dyDescent="0.25">
      <c r="A84" s="105" t="str">
        <f>'Data Vlaue (Cr)'!C79</f>
        <v>HDFCAMC</v>
      </c>
      <c r="B84" s="143">
        <f>VLOOKUP($A84,'Data shares'!$C:$FA,118)</f>
        <v>0.97</v>
      </c>
      <c r="C84" s="143">
        <f>VLOOKUP($A84,'Data shares'!$C:$FA,119)</f>
        <v>0.7</v>
      </c>
      <c r="D84" s="143">
        <f>VLOOKUP($A84,'Data shares'!$C:$FA,121)*100</f>
        <v>38.57</v>
      </c>
      <c r="E84" s="143">
        <f>VLOOKUP($A84,'Data shares'!$C:$FA,124)</f>
        <v>0.44</v>
      </c>
      <c r="F84" s="143">
        <f>VLOOKUP($A84,'Data shares'!$C:$FA,125)</f>
        <v>0.67</v>
      </c>
      <c r="G84" s="143">
        <f>VLOOKUP($A84,'Data shares'!$C:$FA,127)*100</f>
        <v>-34.33</v>
      </c>
      <c r="H84" s="103">
        <f>VLOOKUP($A84,'OI(Volume)'!$A$7:$O$445,8)</f>
        <v>2534400</v>
      </c>
      <c r="I84" s="103">
        <f>VLOOKUP($A84,'OI(Volume)'!$A$7:$O$445,9)</f>
        <v>72600</v>
      </c>
      <c r="J84" s="103">
        <f>VLOOKUP($A84,'OI(Volume)'!$A$7:$O$445,11)</f>
        <v>2455500</v>
      </c>
      <c r="K84" s="103">
        <f>VLOOKUP($A84,'OI(Volume)'!$A$7:$O$445,12)</f>
        <v>740100</v>
      </c>
      <c r="L84" s="103">
        <f>VLOOKUP($A84,'OI(Value)'!$A$7:$O$329,8,0)</f>
        <v>708</v>
      </c>
      <c r="M84" s="103">
        <f>VLOOKUP($A84,'OI(Value)'!$A$7:$O$329,9,0)</f>
        <v>20</v>
      </c>
      <c r="N84" s="103">
        <f>VLOOKUP($A84,'OI(Value)'!$A$7:$O$329,11,0)</f>
        <v>685</v>
      </c>
      <c r="O84" s="103">
        <f>VLOOKUP($A84,'OI(Value)'!$A$7:$O$329,12,0)</f>
        <v>207</v>
      </c>
      <c r="P84" s="179">
        <f>VLOOKUP(A84,'OI(Value)'!A84:O308,8,0)</f>
        <v>708</v>
      </c>
      <c r="Q84" s="179">
        <f>VLOOKUP(A84,'OI(Value)'!A84:O308,9,0)</f>
        <v>20</v>
      </c>
      <c r="R84" s="179">
        <f>VLOOKUP(A84,'OI(Value)'!A84:O308,11,0)</f>
        <v>685</v>
      </c>
      <c r="S84" s="179">
        <f>VLOOKUP(A84,'OI(Value)'!A84:O308,11,0)</f>
        <v>685</v>
      </c>
    </row>
    <row r="85" spans="1:19" x14ac:dyDescent="0.25">
      <c r="A85" s="105" t="str">
        <f>'Data Vlaue (Cr)'!C80</f>
        <v>HDFCBANK</v>
      </c>
      <c r="B85" s="143">
        <f>VLOOKUP($A85,'Data shares'!$C:$FA,118)</f>
        <v>0.56999999999999995</v>
      </c>
      <c r="C85" s="143">
        <f>VLOOKUP($A85,'Data shares'!$C:$FA,119)</f>
        <v>0.56000000000000005</v>
      </c>
      <c r="D85" s="143">
        <f>VLOOKUP($A85,'Data shares'!$C:$FA,121)*100</f>
        <v>1.79</v>
      </c>
      <c r="E85" s="143">
        <f>VLOOKUP($A85,'Data shares'!$C:$FA,124)</f>
        <v>0.55000000000000004</v>
      </c>
      <c r="F85" s="143">
        <f>VLOOKUP($A85,'Data shares'!$C:$FA,125)</f>
        <v>0.66</v>
      </c>
      <c r="G85" s="143">
        <f>VLOOKUP($A85,'Data shares'!$C:$FA,127)*100</f>
        <v>-16.669999999999998</v>
      </c>
      <c r="H85" s="103">
        <f>VLOOKUP($A85,'OI(Volume)'!$A$7:$O$445,8)</f>
        <v>97987450</v>
      </c>
      <c r="I85" s="103">
        <f>VLOOKUP($A85,'OI(Volume)'!$A$7:$O$445,9)</f>
        <v>14682250</v>
      </c>
      <c r="J85" s="103">
        <f>VLOOKUP($A85,'OI(Volume)'!$A$7:$O$445,11)</f>
        <v>55635250</v>
      </c>
      <c r="K85" s="103">
        <f>VLOOKUP($A85,'OI(Volume)'!$A$7:$O$445,12)</f>
        <v>8767550</v>
      </c>
      <c r="L85" s="103">
        <f>VLOOKUP($A85,'OI(Value)'!$A$7:$O$329,8,0)</f>
        <v>7855</v>
      </c>
      <c r="M85" s="103">
        <f>VLOOKUP($A85,'OI(Value)'!$A$7:$O$329,9,0)</f>
        <v>1177</v>
      </c>
      <c r="N85" s="103">
        <f>VLOOKUP($A85,'OI(Value)'!$A$7:$O$329,11,0)</f>
        <v>4460</v>
      </c>
      <c r="O85" s="103">
        <f>VLOOKUP($A85,'OI(Value)'!$A$7:$O$329,12,0)</f>
        <v>703</v>
      </c>
      <c r="P85" s="179">
        <f>VLOOKUP(A85,'OI(Value)'!A85:O309,8,0)</f>
        <v>7855</v>
      </c>
      <c r="Q85" s="179">
        <f>VLOOKUP(A85,'OI(Value)'!A85:O309,9,0)</f>
        <v>1177</v>
      </c>
      <c r="R85" s="179">
        <f>VLOOKUP(A85,'OI(Value)'!A85:O309,11,0)</f>
        <v>4460</v>
      </c>
      <c r="S85" s="179">
        <f>VLOOKUP(A85,'OI(Value)'!A85:O309,11,0)</f>
        <v>4460</v>
      </c>
    </row>
    <row r="86" spans="1:19" x14ac:dyDescent="0.25">
      <c r="A86" s="105" t="str">
        <f>'Data Vlaue (Cr)'!C81</f>
        <v>HDFCLIFE</v>
      </c>
      <c r="B86" s="143">
        <f>VLOOKUP($A86,'Data shares'!$C:$FA,118)</f>
        <v>0.66</v>
      </c>
      <c r="C86" s="143">
        <f>VLOOKUP($A86,'Data shares'!$C:$FA,119)</f>
        <v>0.76</v>
      </c>
      <c r="D86" s="143">
        <f>VLOOKUP($A86,'Data shares'!$C:$FA,121)*100</f>
        <v>-13.16</v>
      </c>
      <c r="E86" s="143">
        <f>VLOOKUP($A86,'Data shares'!$C:$FA,124)</f>
        <v>0.69</v>
      </c>
      <c r="F86" s="143">
        <f>VLOOKUP($A86,'Data shares'!$C:$FA,125)</f>
        <v>0.69</v>
      </c>
      <c r="G86" s="143">
        <f>VLOOKUP($A86,'Data shares'!$C:$FA,127)*100</f>
        <v>0</v>
      </c>
      <c r="H86" s="103">
        <f>VLOOKUP($A86,'OI(Volume)'!$A$7:$O$445,8)</f>
        <v>19886900</v>
      </c>
      <c r="I86" s="103">
        <f>VLOOKUP($A86,'OI(Volume)'!$A$7:$O$445,9)</f>
        <v>4206400</v>
      </c>
      <c r="J86" s="103">
        <f>VLOOKUP($A86,'OI(Volume)'!$A$7:$O$445,11)</f>
        <v>13211000</v>
      </c>
      <c r="K86" s="103">
        <f>VLOOKUP($A86,'OI(Volume)'!$A$7:$O$445,12)</f>
        <v>1273800</v>
      </c>
      <c r="L86" s="103">
        <f>VLOOKUP($A86,'OI(Value)'!$A$7:$O$329,8,0)</f>
        <v>1226</v>
      </c>
      <c r="M86" s="103">
        <f>VLOOKUP($A86,'OI(Value)'!$A$7:$O$329,9,0)</f>
        <v>259</v>
      </c>
      <c r="N86" s="103">
        <f>VLOOKUP($A86,'OI(Value)'!$A$7:$O$329,11,0)</f>
        <v>814</v>
      </c>
      <c r="O86" s="103">
        <f>VLOOKUP($A86,'OI(Value)'!$A$7:$O$329,12,0)</f>
        <v>79</v>
      </c>
      <c r="P86" s="179">
        <f>VLOOKUP(A86,'OI(Value)'!A86:O310,8,0)</f>
        <v>1226</v>
      </c>
      <c r="Q86" s="179">
        <f>VLOOKUP(A86,'OI(Value)'!A86:O310,9,0)</f>
        <v>259</v>
      </c>
      <c r="R86" s="179">
        <f>VLOOKUP(A86,'OI(Value)'!A86:O310,11,0)</f>
        <v>814</v>
      </c>
      <c r="S86" s="179">
        <f>VLOOKUP(A86,'OI(Value)'!A86:O310,11,0)</f>
        <v>814</v>
      </c>
    </row>
    <row r="87" spans="1:19" x14ac:dyDescent="0.25">
      <c r="A87" s="105" t="str">
        <f>'Data Vlaue (Cr)'!C82</f>
        <v>HEROMOTOCO</v>
      </c>
      <c r="B87" s="143">
        <f>VLOOKUP($A87,'Data shares'!$C:$FA,118)</f>
        <v>0.6</v>
      </c>
      <c r="C87" s="143">
        <f>VLOOKUP($A87,'Data shares'!$C:$FA,119)</f>
        <v>0.5</v>
      </c>
      <c r="D87" s="143">
        <f>VLOOKUP($A87,'Data shares'!$C:$FA,121)*100</f>
        <v>20</v>
      </c>
      <c r="E87" s="143">
        <f>VLOOKUP($A87,'Data shares'!$C:$FA,124)</f>
        <v>0.39</v>
      </c>
      <c r="F87" s="143">
        <f>VLOOKUP($A87,'Data shares'!$C:$FA,125)</f>
        <v>0.75</v>
      </c>
      <c r="G87" s="143">
        <f>VLOOKUP($A87,'Data shares'!$C:$FA,127)*100</f>
        <v>-48</v>
      </c>
      <c r="H87" s="103">
        <f>VLOOKUP($A87,'OI(Volume)'!$A$7:$O$445,8)</f>
        <v>2450250</v>
      </c>
      <c r="I87" s="103">
        <f>VLOOKUP($A87,'OI(Volume)'!$A$7:$O$445,9)</f>
        <v>-399600</v>
      </c>
      <c r="J87" s="103">
        <f>VLOOKUP($A87,'OI(Volume)'!$A$7:$O$445,11)</f>
        <v>1464300</v>
      </c>
      <c r="K87" s="103">
        <f>VLOOKUP($A87,'OI(Volume)'!$A$7:$O$445,12)</f>
        <v>37350</v>
      </c>
      <c r="L87" s="103">
        <f>VLOOKUP($A87,'OI(Value)'!$A$7:$O$329,8,0)</f>
        <v>1285</v>
      </c>
      <c r="M87" s="103">
        <f>VLOOKUP($A87,'OI(Value)'!$A$7:$O$329,9,0)</f>
        <v>-210</v>
      </c>
      <c r="N87" s="103">
        <f>VLOOKUP($A87,'OI(Value)'!$A$7:$O$329,11,0)</f>
        <v>768</v>
      </c>
      <c r="O87" s="103">
        <f>VLOOKUP($A87,'OI(Value)'!$A$7:$O$329,12,0)</f>
        <v>20</v>
      </c>
      <c r="P87" s="179">
        <f>VLOOKUP(A87,'OI(Value)'!A87:O311,8,0)</f>
        <v>1285</v>
      </c>
      <c r="Q87" s="179">
        <f>VLOOKUP(A87,'OI(Value)'!A87:O311,9,0)</f>
        <v>-210</v>
      </c>
      <c r="R87" s="179">
        <f>VLOOKUP(A87,'OI(Value)'!A87:O311,11,0)</f>
        <v>768</v>
      </c>
      <c r="S87" s="179">
        <f>VLOOKUP(A87,'OI(Value)'!A87:O311,11,0)</f>
        <v>768</v>
      </c>
    </row>
    <row r="88" spans="1:19" x14ac:dyDescent="0.25">
      <c r="A88" s="105" t="str">
        <f>'Data Vlaue (Cr)'!C83</f>
        <v>HINDALCO</v>
      </c>
      <c r="B88" s="143">
        <f>VLOOKUP($A88,'Data shares'!$C:$FA,118)</f>
        <v>0.79</v>
      </c>
      <c r="C88" s="143">
        <f>VLOOKUP($A88,'Data shares'!$C:$FA,119)</f>
        <v>0.86</v>
      </c>
      <c r="D88" s="143">
        <f>VLOOKUP($A88,'Data shares'!$C:$FA,121)*100</f>
        <v>-8.14</v>
      </c>
      <c r="E88" s="143">
        <f>VLOOKUP($A88,'Data shares'!$C:$FA,124)</f>
        <v>0.78</v>
      </c>
      <c r="F88" s="143">
        <f>VLOOKUP($A88,'Data shares'!$C:$FA,125)</f>
        <v>0.51</v>
      </c>
      <c r="G88" s="143">
        <f>VLOOKUP($A88,'Data shares'!$C:$FA,127)*100</f>
        <v>52.94</v>
      </c>
      <c r="H88" s="103">
        <f>VLOOKUP($A88,'OI(Volume)'!$A$7:$O$445,8)</f>
        <v>15120000</v>
      </c>
      <c r="I88" s="103">
        <f>VLOOKUP($A88,'OI(Volume)'!$A$7:$O$445,9)</f>
        <v>-368200</v>
      </c>
      <c r="J88" s="103">
        <f>VLOOKUP($A88,'OI(Volume)'!$A$7:$O$445,11)</f>
        <v>11953900</v>
      </c>
      <c r="K88" s="103">
        <f>VLOOKUP($A88,'OI(Volume)'!$A$7:$O$445,12)</f>
        <v>-1422400</v>
      </c>
      <c r="L88" s="103">
        <f>VLOOKUP($A88,'OI(Value)'!$A$7:$O$329,8,0)</f>
        <v>1574</v>
      </c>
      <c r="M88" s="103">
        <f>VLOOKUP($A88,'OI(Value)'!$A$7:$O$329,9,0)</f>
        <v>-38</v>
      </c>
      <c r="N88" s="103">
        <f>VLOOKUP($A88,'OI(Value)'!$A$7:$O$329,11,0)</f>
        <v>1244</v>
      </c>
      <c r="O88" s="103">
        <f>VLOOKUP($A88,'OI(Value)'!$A$7:$O$329,12,0)</f>
        <v>-148</v>
      </c>
      <c r="P88" s="179">
        <f>VLOOKUP(A88,'OI(Value)'!A88:O312,8,0)</f>
        <v>1574</v>
      </c>
      <c r="Q88" s="179">
        <f>VLOOKUP(A88,'OI(Value)'!A88:O312,9,0)</f>
        <v>-38</v>
      </c>
      <c r="R88" s="179">
        <f>VLOOKUP(A88,'OI(Value)'!A88:O312,11,0)</f>
        <v>1244</v>
      </c>
      <c r="S88" s="179">
        <f>VLOOKUP(A88,'OI(Value)'!A88:O312,11,0)</f>
        <v>1244</v>
      </c>
    </row>
    <row r="89" spans="1:19" x14ac:dyDescent="0.25">
      <c r="A89" s="105" t="str">
        <f>'Data Vlaue (Cr)'!C84</f>
        <v>HINDPETRO</v>
      </c>
      <c r="B89" s="143">
        <f>VLOOKUP($A89,'Data shares'!$C:$FA,118)</f>
        <v>0.84</v>
      </c>
      <c r="C89" s="143">
        <f>VLOOKUP($A89,'Data shares'!$C:$FA,119)</f>
        <v>0.92</v>
      </c>
      <c r="D89" s="143">
        <f>VLOOKUP($A89,'Data shares'!$C:$FA,121)*100</f>
        <v>-8.6999999999999993</v>
      </c>
      <c r="E89" s="143">
        <f>VLOOKUP($A89,'Data shares'!$C:$FA,124)</f>
        <v>0.79</v>
      </c>
      <c r="F89" s="143">
        <f>VLOOKUP($A89,'Data shares'!$C:$FA,125)</f>
        <v>0.65</v>
      </c>
      <c r="G89" s="143">
        <f>VLOOKUP($A89,'Data shares'!$C:$FA,127)*100</f>
        <v>21.54</v>
      </c>
      <c r="H89" s="103">
        <f>VLOOKUP($A89,'OI(Volume)'!$A$7:$O$445,8)</f>
        <v>19812600</v>
      </c>
      <c r="I89" s="103">
        <f>VLOOKUP($A89,'OI(Volume)'!$A$7:$O$445,9)</f>
        <v>1109700</v>
      </c>
      <c r="J89" s="103">
        <f>VLOOKUP($A89,'OI(Volume)'!$A$7:$O$445,11)</f>
        <v>16724475</v>
      </c>
      <c r="K89" s="103">
        <f>VLOOKUP($A89,'OI(Volume)'!$A$7:$O$445,12)</f>
        <v>-405000</v>
      </c>
      <c r="L89" s="103">
        <f>VLOOKUP($A89,'OI(Value)'!$A$7:$O$329,8,0)</f>
        <v>738</v>
      </c>
      <c r="M89" s="103">
        <f>VLOOKUP($A89,'OI(Value)'!$A$7:$O$329,9,0)</f>
        <v>41</v>
      </c>
      <c r="N89" s="103">
        <f>VLOOKUP($A89,'OI(Value)'!$A$7:$O$329,11,0)</f>
        <v>623</v>
      </c>
      <c r="O89" s="103">
        <f>VLOOKUP($A89,'OI(Value)'!$A$7:$O$329,12,0)</f>
        <v>-15</v>
      </c>
      <c r="P89" s="179">
        <f>VLOOKUP(A89,'OI(Value)'!A89:O313,8,0)</f>
        <v>738</v>
      </c>
      <c r="Q89" s="179">
        <f>VLOOKUP(A89,'OI(Value)'!A89:O313,9,0)</f>
        <v>41</v>
      </c>
      <c r="R89" s="179">
        <f>VLOOKUP(A89,'OI(Value)'!A89:O313,11,0)</f>
        <v>623</v>
      </c>
      <c r="S89" s="179">
        <f>VLOOKUP(A89,'OI(Value)'!A89:O313,11,0)</f>
        <v>623</v>
      </c>
    </row>
    <row r="90" spans="1:19" x14ac:dyDescent="0.25">
      <c r="A90" s="105" t="str">
        <f>'Data Vlaue (Cr)'!C85</f>
        <v>HINDUNILVR</v>
      </c>
      <c r="B90" s="143">
        <f>VLOOKUP($A90,'Data shares'!$C:$FA,118)</f>
        <v>0.7</v>
      </c>
      <c r="C90" s="143">
        <f>VLOOKUP($A90,'Data shares'!$C:$FA,119)</f>
        <v>0.75</v>
      </c>
      <c r="D90" s="143">
        <f>VLOOKUP($A90,'Data shares'!$C:$FA,121)*100</f>
        <v>-6.67</v>
      </c>
      <c r="E90" s="143">
        <f>VLOOKUP($A90,'Data shares'!$C:$FA,124)</f>
        <v>0.42</v>
      </c>
      <c r="F90" s="143">
        <f>VLOOKUP($A90,'Data shares'!$C:$FA,125)</f>
        <v>0.52</v>
      </c>
      <c r="G90" s="143">
        <f>VLOOKUP($A90,'Data shares'!$C:$FA,127)*100</f>
        <v>-19.23</v>
      </c>
      <c r="H90" s="103">
        <f>VLOOKUP($A90,'OI(Volume)'!$A$7:$O$445,8)</f>
        <v>7044000</v>
      </c>
      <c r="I90" s="103">
        <f>VLOOKUP($A90,'OI(Volume)'!$A$7:$O$445,9)</f>
        <v>1958400</v>
      </c>
      <c r="J90" s="103">
        <f>VLOOKUP($A90,'OI(Volume)'!$A$7:$O$445,11)</f>
        <v>4959000</v>
      </c>
      <c r="K90" s="103">
        <f>VLOOKUP($A90,'OI(Volume)'!$A$7:$O$445,12)</f>
        <v>1167600</v>
      </c>
      <c r="L90" s="103">
        <f>VLOOKUP($A90,'OI(Value)'!$A$7:$O$329,8,0)</f>
        <v>1578</v>
      </c>
      <c r="M90" s="103">
        <f>VLOOKUP($A90,'OI(Value)'!$A$7:$O$329,9,0)</f>
        <v>439</v>
      </c>
      <c r="N90" s="103">
        <f>VLOOKUP($A90,'OI(Value)'!$A$7:$O$329,11,0)</f>
        <v>1111</v>
      </c>
      <c r="O90" s="103">
        <f>VLOOKUP($A90,'OI(Value)'!$A$7:$O$329,12,0)</f>
        <v>262</v>
      </c>
      <c r="P90" s="179">
        <f>VLOOKUP(A90,'OI(Value)'!A90:O314,8,0)</f>
        <v>1578</v>
      </c>
      <c r="Q90" s="179">
        <f>VLOOKUP(A90,'OI(Value)'!A90:O314,9,0)</f>
        <v>439</v>
      </c>
      <c r="R90" s="179">
        <f>VLOOKUP(A90,'OI(Value)'!A90:O314,11,0)</f>
        <v>1111</v>
      </c>
      <c r="S90" s="179">
        <f>VLOOKUP(A90,'OI(Value)'!A90:O314,11,0)</f>
        <v>1111</v>
      </c>
    </row>
    <row r="91" spans="1:19" x14ac:dyDescent="0.25">
      <c r="A91" s="105" t="str">
        <f>'Data Vlaue (Cr)'!C86</f>
        <v>HINDZINC</v>
      </c>
      <c r="B91" s="143">
        <f>VLOOKUP($A91,'Data shares'!$C:$FA,118)</f>
        <v>0.8</v>
      </c>
      <c r="C91" s="143">
        <f>VLOOKUP($A91,'Data shares'!$C:$FA,119)</f>
        <v>0.83</v>
      </c>
      <c r="D91" s="143">
        <f>VLOOKUP($A91,'Data shares'!$C:$FA,121)*100</f>
        <v>-3.61</v>
      </c>
      <c r="E91" s="143">
        <f>VLOOKUP($A91,'Data shares'!$C:$FA,124)</f>
        <v>0.6</v>
      </c>
      <c r="F91" s="143">
        <f>VLOOKUP($A91,'Data shares'!$C:$FA,125)</f>
        <v>0.44</v>
      </c>
      <c r="G91" s="143">
        <f>VLOOKUP($A91,'Data shares'!$C:$FA,127)*100</f>
        <v>36.36</v>
      </c>
      <c r="H91" s="103">
        <f>VLOOKUP($A91,'OI(Volume)'!$A$7:$O$445,8)</f>
        <v>20903400</v>
      </c>
      <c r="I91" s="103">
        <f>VLOOKUP($A91,'OI(Volume)'!$A$7:$O$445,9)</f>
        <v>1215200</v>
      </c>
      <c r="J91" s="103">
        <f>VLOOKUP($A91,'OI(Volume)'!$A$7:$O$445,11)</f>
        <v>16691850</v>
      </c>
      <c r="K91" s="103">
        <f>VLOOKUP($A91,'OI(Volume)'!$A$7:$O$445,12)</f>
        <v>340550</v>
      </c>
      <c r="L91" s="103">
        <f>VLOOKUP($A91,'OI(Value)'!$A$7:$O$329,8,0)</f>
        <v>1240</v>
      </c>
      <c r="M91" s="103">
        <f>VLOOKUP($A91,'OI(Value)'!$A$7:$O$329,9,0)</f>
        <v>72</v>
      </c>
      <c r="N91" s="103">
        <f>VLOOKUP($A91,'OI(Value)'!$A$7:$O$329,11,0)</f>
        <v>990</v>
      </c>
      <c r="O91" s="103">
        <f>VLOOKUP($A91,'OI(Value)'!$A$7:$O$329,12,0)</f>
        <v>20</v>
      </c>
      <c r="P91" s="179">
        <f>VLOOKUP(A91,'OI(Value)'!A91:O315,8,0)</f>
        <v>1240</v>
      </c>
      <c r="Q91" s="179">
        <f>VLOOKUP(A91,'OI(Value)'!A91:O315,9,0)</f>
        <v>72</v>
      </c>
      <c r="R91" s="179">
        <f>VLOOKUP(A91,'OI(Value)'!A91:O315,11,0)</f>
        <v>990</v>
      </c>
      <c r="S91" s="179">
        <f>VLOOKUP(A91,'OI(Value)'!A91:O315,11,0)</f>
        <v>990</v>
      </c>
    </row>
    <row r="92" spans="1:19" x14ac:dyDescent="0.25">
      <c r="A92" s="105" t="str">
        <f>'Data Vlaue (Cr)'!C87</f>
        <v>HUDCO</v>
      </c>
      <c r="B92" s="143">
        <f>VLOOKUP($A92,'Data shares'!$C:$FA,118)</f>
        <v>0.89</v>
      </c>
      <c r="C92" s="143">
        <f>VLOOKUP($A92,'Data shares'!$C:$FA,119)</f>
        <v>0.8</v>
      </c>
      <c r="D92" s="143">
        <f>VLOOKUP($A92,'Data shares'!$C:$FA,121)*100</f>
        <v>11.25</v>
      </c>
      <c r="E92" s="143">
        <f>VLOOKUP($A92,'Data shares'!$C:$FA,124)</f>
        <v>0.56999999999999995</v>
      </c>
      <c r="F92" s="143">
        <f>VLOOKUP($A92,'Data shares'!$C:$FA,125)</f>
        <v>0.4</v>
      </c>
      <c r="G92" s="143">
        <f>VLOOKUP($A92,'Data shares'!$C:$FA,127)*100</f>
        <v>42.5</v>
      </c>
      <c r="H92" s="103">
        <f>VLOOKUP($A92,'OI(Volume)'!$A$7:$O$445,8)</f>
        <v>11161050</v>
      </c>
      <c r="I92" s="103">
        <f>VLOOKUP($A92,'OI(Volume)'!$A$7:$O$445,9)</f>
        <v>-901875</v>
      </c>
      <c r="J92" s="103">
        <f>VLOOKUP($A92,'OI(Volume)'!$A$7:$O$445,11)</f>
        <v>9879000</v>
      </c>
      <c r="K92" s="103">
        <f>VLOOKUP($A92,'OI(Volume)'!$A$7:$O$445,12)</f>
        <v>252525</v>
      </c>
      <c r="L92" s="103">
        <f>VLOOKUP($A92,'OI(Value)'!$A$7:$O$329,8,0)</f>
        <v>221</v>
      </c>
      <c r="M92" s="103">
        <f>VLOOKUP($A92,'OI(Value)'!$A$7:$O$329,9,0)</f>
        <v>-18</v>
      </c>
      <c r="N92" s="103">
        <f>VLOOKUP($A92,'OI(Value)'!$A$7:$O$329,11,0)</f>
        <v>195</v>
      </c>
      <c r="O92" s="103">
        <f>VLOOKUP($A92,'OI(Value)'!$A$7:$O$329,12,0)</f>
        <v>5</v>
      </c>
      <c r="P92" s="179">
        <f>VLOOKUP(A92,'OI(Value)'!A92:O316,8,0)</f>
        <v>221</v>
      </c>
      <c r="Q92" s="179">
        <f>VLOOKUP(A92,'OI(Value)'!A92:O316,9,0)</f>
        <v>-18</v>
      </c>
      <c r="R92" s="179">
        <f>VLOOKUP(A92,'OI(Value)'!A92:O316,11,0)</f>
        <v>195</v>
      </c>
      <c r="S92" s="179">
        <f>VLOOKUP(A92,'OI(Value)'!A92:O316,11,0)</f>
        <v>195</v>
      </c>
    </row>
    <row r="93" spans="1:19" x14ac:dyDescent="0.25">
      <c r="A93" s="105" t="str">
        <f>'Data Vlaue (Cr)'!C88</f>
        <v>HYUNDAI</v>
      </c>
      <c r="B93" s="143">
        <f>VLOOKUP($A93,'Data shares'!$C:$FA,118)</f>
        <v>0.66</v>
      </c>
      <c r="C93" s="143">
        <f>VLOOKUP($A93,'Data shares'!$C:$FA,119)</f>
        <v>0.51</v>
      </c>
      <c r="D93" s="143">
        <f>VLOOKUP($A93,'Data shares'!$C:$FA,121)*100</f>
        <v>29.409999999999997</v>
      </c>
      <c r="E93" s="143">
        <f>VLOOKUP($A93,'Data shares'!$C:$FA,124)</f>
        <v>0.24</v>
      </c>
      <c r="F93" s="143">
        <f>VLOOKUP($A93,'Data shares'!$C:$FA,125)</f>
        <v>0.22</v>
      </c>
      <c r="G93" s="143">
        <f>VLOOKUP($A93,'Data shares'!$C:$FA,127)*100</f>
        <v>9.09</v>
      </c>
      <c r="H93" s="103">
        <f>VLOOKUP($A93,'OI(Volume)'!$A$7:$O$445,8)</f>
        <v>1046925</v>
      </c>
      <c r="I93" s="103">
        <f>VLOOKUP($A93,'OI(Volume)'!$A$7:$O$445,9)</f>
        <v>-308550</v>
      </c>
      <c r="J93" s="103">
        <f>VLOOKUP($A93,'OI(Volume)'!$A$7:$O$445,11)</f>
        <v>689425</v>
      </c>
      <c r="K93" s="103">
        <f>VLOOKUP($A93,'OI(Volume)'!$A$7:$O$445,12)</f>
        <v>-275</v>
      </c>
      <c r="L93" s="103">
        <f>VLOOKUP($A93,'OI(Value)'!$A$7:$O$329,8,0)</f>
        <v>196</v>
      </c>
      <c r="M93" s="103">
        <f>VLOOKUP($A93,'OI(Value)'!$A$7:$O$329,9,0)</f>
        <v>-58</v>
      </c>
      <c r="N93" s="103">
        <f>VLOOKUP($A93,'OI(Value)'!$A$7:$O$329,11,0)</f>
        <v>129</v>
      </c>
      <c r="O93" s="103">
        <f>VLOOKUP($A93,'OI(Value)'!$A$7:$O$329,12,0)</f>
        <v>0</v>
      </c>
      <c r="P93" s="179">
        <f>VLOOKUP(A93,'OI(Value)'!A93:O317,8,0)</f>
        <v>196</v>
      </c>
      <c r="Q93" s="179">
        <f>VLOOKUP(A93,'OI(Value)'!A93:O317,9,0)</f>
        <v>-58</v>
      </c>
      <c r="R93" s="179">
        <f>VLOOKUP(A93,'OI(Value)'!A93:O317,11,0)</f>
        <v>129</v>
      </c>
      <c r="S93" s="179">
        <f>VLOOKUP(A93,'OI(Value)'!A93:O317,11,0)</f>
        <v>129</v>
      </c>
    </row>
    <row r="94" spans="1:19" x14ac:dyDescent="0.25">
      <c r="A94" s="105" t="str">
        <f>'Data Vlaue (Cr)'!C89</f>
        <v>ICICIBANK</v>
      </c>
      <c r="B94" s="143">
        <f>VLOOKUP($A94,'Data shares'!$C:$FA,118)</f>
        <v>0.83</v>
      </c>
      <c r="C94" s="143">
        <f>VLOOKUP($A94,'Data shares'!$C:$FA,119)</f>
        <v>0.81</v>
      </c>
      <c r="D94" s="143">
        <f>VLOOKUP($A94,'Data shares'!$C:$FA,121)*100</f>
        <v>2.4699999999999998</v>
      </c>
      <c r="E94" s="143">
        <f>VLOOKUP($A94,'Data shares'!$C:$FA,124)</f>
        <v>0.68</v>
      </c>
      <c r="F94" s="143">
        <f>VLOOKUP($A94,'Data shares'!$C:$FA,125)</f>
        <v>0.61</v>
      </c>
      <c r="G94" s="143">
        <f>VLOOKUP($A94,'Data shares'!$C:$FA,127)*100</f>
        <v>11.48</v>
      </c>
      <c r="H94" s="103">
        <f>VLOOKUP($A94,'OI(Volume)'!$A$7:$O$445,8)</f>
        <v>30629200</v>
      </c>
      <c r="I94" s="103">
        <f>VLOOKUP($A94,'OI(Volume)'!$A$7:$O$445,9)</f>
        <v>4713100</v>
      </c>
      <c r="J94" s="103">
        <f>VLOOKUP($A94,'OI(Volume)'!$A$7:$O$445,11)</f>
        <v>25355400</v>
      </c>
      <c r="K94" s="103">
        <f>VLOOKUP($A94,'OI(Volume)'!$A$7:$O$445,12)</f>
        <v>4347000</v>
      </c>
      <c r="L94" s="103">
        <f>VLOOKUP($A94,'OI(Value)'!$A$7:$O$329,8,0)</f>
        <v>4140</v>
      </c>
      <c r="M94" s="103">
        <f>VLOOKUP($A94,'OI(Value)'!$A$7:$O$329,9,0)</f>
        <v>637</v>
      </c>
      <c r="N94" s="103">
        <f>VLOOKUP($A94,'OI(Value)'!$A$7:$O$329,11,0)</f>
        <v>3427</v>
      </c>
      <c r="O94" s="103">
        <f>VLOOKUP($A94,'OI(Value)'!$A$7:$O$329,12,0)</f>
        <v>588</v>
      </c>
      <c r="P94" s="179">
        <f>VLOOKUP(A94,'OI(Value)'!A94:O318,8,0)</f>
        <v>4140</v>
      </c>
      <c r="Q94" s="179">
        <f>VLOOKUP(A94,'OI(Value)'!A94:O318,9,0)</f>
        <v>637</v>
      </c>
      <c r="R94" s="179">
        <f>VLOOKUP(A94,'OI(Value)'!A94:O318,11,0)</f>
        <v>3427</v>
      </c>
      <c r="S94" s="179">
        <f>VLOOKUP(A94,'OI(Value)'!A94:O318,11,0)</f>
        <v>3427</v>
      </c>
    </row>
    <row r="95" spans="1:19" x14ac:dyDescent="0.25">
      <c r="A95" s="105" t="str">
        <f>'Data Vlaue (Cr)'!C90</f>
        <v>ICICIGI</v>
      </c>
      <c r="B95" s="143">
        <f>VLOOKUP($A95,'Data shares'!$C:$FA,118)</f>
        <v>0.88</v>
      </c>
      <c r="C95" s="143">
        <f>VLOOKUP($A95,'Data shares'!$C:$FA,119)</f>
        <v>0.92</v>
      </c>
      <c r="D95" s="143">
        <f>VLOOKUP($A95,'Data shares'!$C:$FA,121)*100</f>
        <v>-4.3499999999999996</v>
      </c>
      <c r="E95" s="143">
        <f>VLOOKUP($A95,'Data shares'!$C:$FA,124)</f>
        <v>0.65</v>
      </c>
      <c r="F95" s="143">
        <f>VLOOKUP($A95,'Data shares'!$C:$FA,125)</f>
        <v>0.54</v>
      </c>
      <c r="G95" s="143">
        <f>VLOOKUP($A95,'Data shares'!$C:$FA,127)*100</f>
        <v>20.369999999999997</v>
      </c>
      <c r="H95" s="103">
        <f>VLOOKUP($A95,'OI(Volume)'!$A$7:$O$445,8)</f>
        <v>1501175</v>
      </c>
      <c r="I95" s="103">
        <f>VLOOKUP($A95,'OI(Volume)'!$A$7:$O$445,9)</f>
        <v>-201500</v>
      </c>
      <c r="J95" s="103">
        <f>VLOOKUP($A95,'OI(Volume)'!$A$7:$O$445,11)</f>
        <v>1327950</v>
      </c>
      <c r="K95" s="103">
        <f>VLOOKUP($A95,'OI(Volume)'!$A$7:$O$445,12)</f>
        <v>-231400</v>
      </c>
      <c r="L95" s="103">
        <f>VLOOKUP($A95,'OI(Value)'!$A$7:$O$329,8,0)</f>
        <v>284</v>
      </c>
      <c r="M95" s="103">
        <f>VLOOKUP($A95,'OI(Value)'!$A$7:$O$329,9,0)</f>
        <v>-38</v>
      </c>
      <c r="N95" s="103">
        <f>VLOOKUP($A95,'OI(Value)'!$A$7:$O$329,11,0)</f>
        <v>251</v>
      </c>
      <c r="O95" s="103">
        <f>VLOOKUP($A95,'OI(Value)'!$A$7:$O$329,12,0)</f>
        <v>-44</v>
      </c>
      <c r="P95" s="179">
        <f>VLOOKUP(A95,'OI(Value)'!A95:O319,8,0)</f>
        <v>284</v>
      </c>
      <c r="Q95" s="179">
        <f>VLOOKUP(A95,'OI(Value)'!A95:O319,9,0)</f>
        <v>-38</v>
      </c>
      <c r="R95" s="179">
        <f>VLOOKUP(A95,'OI(Value)'!A95:O319,11,0)</f>
        <v>251</v>
      </c>
      <c r="S95" s="179">
        <f>VLOOKUP(A95,'OI(Value)'!A95:O319,11,0)</f>
        <v>251</v>
      </c>
    </row>
    <row r="96" spans="1:19" x14ac:dyDescent="0.25">
      <c r="A96" s="105" t="str">
        <f>'Data Vlaue (Cr)'!C91</f>
        <v>ICICIPRULI</v>
      </c>
      <c r="B96" s="143">
        <f>VLOOKUP($A96,'Data shares'!$C:$FA,118)</f>
        <v>0.71</v>
      </c>
      <c r="C96" s="143">
        <f>VLOOKUP($A96,'Data shares'!$C:$FA,119)</f>
        <v>0.66</v>
      </c>
      <c r="D96" s="143">
        <f>VLOOKUP($A96,'Data shares'!$C:$FA,121)*100</f>
        <v>7.580000000000001</v>
      </c>
      <c r="E96" s="143">
        <f>VLOOKUP($A96,'Data shares'!$C:$FA,124)</f>
        <v>0.55000000000000004</v>
      </c>
      <c r="F96" s="143">
        <f>VLOOKUP($A96,'Data shares'!$C:$FA,125)</f>
        <v>0.38</v>
      </c>
      <c r="G96" s="143">
        <f>VLOOKUP($A96,'Data shares'!$C:$FA,127)*100</f>
        <v>44.74</v>
      </c>
      <c r="H96" s="103">
        <f>VLOOKUP($A96,'OI(Volume)'!$A$7:$O$445,8)</f>
        <v>7217775</v>
      </c>
      <c r="I96" s="103">
        <f>VLOOKUP($A96,'OI(Volume)'!$A$7:$O$445,9)</f>
        <v>925</v>
      </c>
      <c r="J96" s="103">
        <f>VLOOKUP($A96,'OI(Volume)'!$A$7:$O$445,11)</f>
        <v>5129125</v>
      </c>
      <c r="K96" s="103">
        <f>VLOOKUP($A96,'OI(Volume)'!$A$7:$O$445,12)</f>
        <v>373700</v>
      </c>
      <c r="L96" s="103">
        <f>VLOOKUP($A96,'OI(Value)'!$A$7:$O$329,8,0)</f>
        <v>406</v>
      </c>
      <c r="M96" s="103">
        <f>VLOOKUP($A96,'OI(Value)'!$A$7:$O$329,9,0)</f>
        <v>0</v>
      </c>
      <c r="N96" s="103">
        <f>VLOOKUP($A96,'OI(Value)'!$A$7:$O$329,11,0)</f>
        <v>289</v>
      </c>
      <c r="O96" s="103">
        <f>VLOOKUP($A96,'OI(Value)'!$A$7:$O$329,12,0)</f>
        <v>21</v>
      </c>
      <c r="P96" s="179">
        <f>VLOOKUP(A96,'OI(Value)'!A96:O320,8,0)</f>
        <v>406</v>
      </c>
      <c r="Q96" s="179">
        <f>VLOOKUP(A96,'OI(Value)'!A96:O320,9,0)</f>
        <v>0</v>
      </c>
      <c r="R96" s="179">
        <f>VLOOKUP(A96,'OI(Value)'!A96:O320,11,0)</f>
        <v>289</v>
      </c>
      <c r="S96" s="179">
        <f>VLOOKUP(A96,'OI(Value)'!A96:O320,11,0)</f>
        <v>289</v>
      </c>
    </row>
    <row r="97" spans="1:19" x14ac:dyDescent="0.25">
      <c r="A97" s="105" t="str">
        <f>'Data Vlaue (Cr)'!C92</f>
        <v>IDEA</v>
      </c>
      <c r="B97" s="143">
        <f>VLOOKUP($A97,'Data shares'!$C:$FA,118)</f>
        <v>0.52</v>
      </c>
      <c r="C97" s="143">
        <f>VLOOKUP($A97,'Data shares'!$C:$FA,119)</f>
        <v>0.53</v>
      </c>
      <c r="D97" s="143">
        <f>VLOOKUP($A97,'Data shares'!$C:$FA,121)*100</f>
        <v>-1.8900000000000001</v>
      </c>
      <c r="E97" s="143">
        <f>VLOOKUP($A97,'Data shares'!$C:$FA,124)</f>
        <v>0.38</v>
      </c>
      <c r="F97" s="143">
        <f>VLOOKUP($A97,'Data shares'!$C:$FA,125)</f>
        <v>0.36</v>
      </c>
      <c r="G97" s="143">
        <f>VLOOKUP($A97,'Data shares'!$C:$FA,127)*100</f>
        <v>5.56</v>
      </c>
      <c r="H97" s="103">
        <f>VLOOKUP($A97,'OI(Volume)'!$A$7:$O$445,8)</f>
        <v>1430071800</v>
      </c>
      <c r="I97" s="103">
        <f>VLOOKUP($A97,'OI(Volume)'!$A$7:$O$445,9)</f>
        <v>16081875</v>
      </c>
      <c r="J97" s="103">
        <f>VLOOKUP($A97,'OI(Volume)'!$A$7:$O$445,11)</f>
        <v>750416025</v>
      </c>
      <c r="K97" s="103">
        <f>VLOOKUP($A97,'OI(Volume)'!$A$7:$O$445,12)</f>
        <v>-5003250</v>
      </c>
      <c r="L97" s="103">
        <f>VLOOKUP($A97,'OI(Value)'!$A$7:$O$329,8,0)</f>
        <v>1374</v>
      </c>
      <c r="M97" s="103">
        <f>VLOOKUP($A97,'OI(Value)'!$A$7:$O$329,9,0)</f>
        <v>15</v>
      </c>
      <c r="N97" s="103">
        <f>VLOOKUP($A97,'OI(Value)'!$A$7:$O$329,11,0)</f>
        <v>721</v>
      </c>
      <c r="O97" s="103">
        <f>VLOOKUP($A97,'OI(Value)'!$A$7:$O$329,12,0)</f>
        <v>-5</v>
      </c>
      <c r="P97" s="179">
        <f>VLOOKUP(A97,'OI(Value)'!A97:O321,8,0)</f>
        <v>1374</v>
      </c>
      <c r="Q97" s="179">
        <f>VLOOKUP(A97,'OI(Value)'!A97:O321,9,0)</f>
        <v>15</v>
      </c>
      <c r="R97" s="179">
        <f>VLOOKUP(A97,'OI(Value)'!A97:O321,11,0)</f>
        <v>721</v>
      </c>
      <c r="S97" s="179">
        <f>VLOOKUP(A97,'OI(Value)'!A97:O321,11,0)</f>
        <v>721</v>
      </c>
    </row>
    <row r="98" spans="1:19" x14ac:dyDescent="0.25">
      <c r="A98" s="105" t="str">
        <f>'Data Vlaue (Cr)'!C93</f>
        <v>IDFCFIRSTB</v>
      </c>
      <c r="B98" s="143">
        <f>VLOOKUP($A98,'Data shares'!$C:$FA,118)</f>
        <v>0.93</v>
      </c>
      <c r="C98" s="143">
        <f>VLOOKUP($A98,'Data shares'!$C:$FA,119)</f>
        <v>0.93</v>
      </c>
      <c r="D98" s="143">
        <f>VLOOKUP($A98,'Data shares'!$C:$FA,121)*100</f>
        <v>0</v>
      </c>
      <c r="E98" s="143">
        <f>VLOOKUP($A98,'Data shares'!$C:$FA,124)</f>
        <v>0.88</v>
      </c>
      <c r="F98" s="143">
        <f>VLOOKUP($A98,'Data shares'!$C:$FA,125)</f>
        <v>0.81</v>
      </c>
      <c r="G98" s="143">
        <f>VLOOKUP($A98,'Data shares'!$C:$FA,127)*100</f>
        <v>8.64</v>
      </c>
      <c r="H98" s="103">
        <f>VLOOKUP($A98,'OI(Volume)'!$A$7:$O$445,8)</f>
        <v>126075075</v>
      </c>
      <c r="I98" s="103">
        <f>VLOOKUP($A98,'OI(Volume)'!$A$7:$O$445,9)</f>
        <v>120575</v>
      </c>
      <c r="J98" s="103">
        <f>VLOOKUP($A98,'OI(Volume)'!$A$7:$O$445,11)</f>
        <v>117449325</v>
      </c>
      <c r="K98" s="103">
        <f>VLOOKUP($A98,'OI(Volume)'!$A$7:$O$445,12)</f>
        <v>-120575</v>
      </c>
      <c r="L98" s="103">
        <f>VLOOKUP($A98,'OI(Value)'!$A$7:$O$329,8,0)</f>
        <v>864</v>
      </c>
      <c r="M98" s="103">
        <f>VLOOKUP($A98,'OI(Value)'!$A$7:$O$329,9,0)</f>
        <v>1</v>
      </c>
      <c r="N98" s="103">
        <f>VLOOKUP($A98,'OI(Value)'!$A$7:$O$329,11,0)</f>
        <v>805</v>
      </c>
      <c r="O98" s="103">
        <f>VLOOKUP($A98,'OI(Value)'!$A$7:$O$329,12,0)</f>
        <v>-1</v>
      </c>
      <c r="P98" s="179">
        <f>VLOOKUP(A98,'OI(Value)'!A98:O322,8,0)</f>
        <v>864</v>
      </c>
      <c r="Q98" s="179">
        <f>VLOOKUP(A98,'OI(Value)'!A98:O322,9,0)</f>
        <v>1</v>
      </c>
      <c r="R98" s="179">
        <f>VLOOKUP(A98,'OI(Value)'!A98:O322,11,0)</f>
        <v>805</v>
      </c>
      <c r="S98" s="179">
        <f>VLOOKUP(A98,'OI(Value)'!A98:O322,11,0)</f>
        <v>805</v>
      </c>
    </row>
    <row r="99" spans="1:19" x14ac:dyDescent="0.25">
      <c r="A99" s="105" t="str">
        <f>'Data Vlaue (Cr)'!C94</f>
        <v>IEX</v>
      </c>
      <c r="B99" s="143">
        <f>VLOOKUP($A99,'Data shares'!$C:$FA,118)</f>
        <v>0.93</v>
      </c>
      <c r="C99" s="143">
        <f>VLOOKUP($A99,'Data shares'!$C:$FA,119)</f>
        <v>0.83</v>
      </c>
      <c r="D99" s="143">
        <f>VLOOKUP($A99,'Data shares'!$C:$FA,121)*100</f>
        <v>12.049999999999999</v>
      </c>
      <c r="E99" s="143">
        <f>VLOOKUP($A99,'Data shares'!$C:$FA,124)</f>
        <v>0.44</v>
      </c>
      <c r="F99" s="143">
        <f>VLOOKUP($A99,'Data shares'!$C:$FA,125)</f>
        <v>0.57999999999999996</v>
      </c>
      <c r="G99" s="143">
        <f>VLOOKUP($A99,'Data shares'!$C:$FA,127)*100</f>
        <v>-24.14</v>
      </c>
      <c r="H99" s="103">
        <f>VLOOKUP($A99,'OI(Volume)'!$A$7:$O$445,8)</f>
        <v>35103750</v>
      </c>
      <c r="I99" s="103">
        <f>VLOOKUP($A99,'OI(Volume)'!$A$7:$O$445,9)</f>
        <v>-4140000</v>
      </c>
      <c r="J99" s="103">
        <f>VLOOKUP($A99,'OI(Volume)'!$A$7:$O$445,11)</f>
        <v>32677500</v>
      </c>
      <c r="K99" s="103">
        <f>VLOOKUP($A99,'OI(Volume)'!$A$7:$O$445,12)</f>
        <v>172500</v>
      </c>
      <c r="L99" s="103">
        <f>VLOOKUP($A99,'OI(Value)'!$A$7:$O$329,8,0)</f>
        <v>477</v>
      </c>
      <c r="M99" s="103">
        <f>VLOOKUP($A99,'OI(Value)'!$A$7:$O$329,9,0)</f>
        <v>-56</v>
      </c>
      <c r="N99" s="103">
        <f>VLOOKUP($A99,'OI(Value)'!$A$7:$O$329,11,0)</f>
        <v>444</v>
      </c>
      <c r="O99" s="103">
        <f>VLOOKUP($A99,'OI(Value)'!$A$7:$O$329,12,0)</f>
        <v>2</v>
      </c>
      <c r="P99" s="179">
        <f>VLOOKUP(A99,'OI(Value)'!A99:O323,8,0)</f>
        <v>477</v>
      </c>
      <c r="Q99" s="179">
        <f>VLOOKUP(A99,'OI(Value)'!A99:O323,9,0)</f>
        <v>-56</v>
      </c>
      <c r="R99" s="179">
        <f>VLOOKUP(A99,'OI(Value)'!A99:O323,11,0)</f>
        <v>444</v>
      </c>
      <c r="S99" s="179">
        <f>VLOOKUP(A99,'OI(Value)'!A99:O323,11,0)</f>
        <v>444</v>
      </c>
    </row>
    <row r="100" spans="1:19" x14ac:dyDescent="0.25">
      <c r="A100" s="105" t="str">
        <f>'Data Vlaue (Cr)'!C95</f>
        <v>INDHOTEL</v>
      </c>
      <c r="B100" s="143">
        <f>VLOOKUP($A100,'Data shares'!$C:$FA,118)</f>
        <v>0.97</v>
      </c>
      <c r="C100" s="143">
        <f>VLOOKUP($A100,'Data shares'!$C:$FA,119)</f>
        <v>1.02</v>
      </c>
      <c r="D100" s="143">
        <f>VLOOKUP($A100,'Data shares'!$C:$FA,121)*100</f>
        <v>-4.9000000000000004</v>
      </c>
      <c r="E100" s="143">
        <f>VLOOKUP($A100,'Data shares'!$C:$FA,124)</f>
        <v>0.68</v>
      </c>
      <c r="F100" s="143">
        <f>VLOOKUP($A100,'Data shares'!$C:$FA,125)</f>
        <v>0.44</v>
      </c>
      <c r="G100" s="143">
        <f>VLOOKUP($A100,'Data shares'!$C:$FA,127)*100</f>
        <v>54.55</v>
      </c>
      <c r="H100" s="103">
        <f>VLOOKUP($A100,'OI(Volume)'!$A$7:$O$445,8)</f>
        <v>6080000</v>
      </c>
      <c r="I100" s="103">
        <f>VLOOKUP($A100,'OI(Volume)'!$A$7:$O$445,9)</f>
        <v>67000</v>
      </c>
      <c r="J100" s="103">
        <f>VLOOKUP($A100,'OI(Volume)'!$A$7:$O$445,11)</f>
        <v>5885000</v>
      </c>
      <c r="K100" s="103">
        <f>VLOOKUP($A100,'OI(Volume)'!$A$7:$O$445,12)</f>
        <v>-274000</v>
      </c>
      <c r="L100" s="103">
        <f>VLOOKUP($A100,'OI(Value)'!$A$7:$O$329,8,0)</f>
        <v>401</v>
      </c>
      <c r="M100" s="103">
        <f>VLOOKUP($A100,'OI(Value)'!$A$7:$O$329,9,0)</f>
        <v>4</v>
      </c>
      <c r="N100" s="103">
        <f>VLOOKUP($A100,'OI(Value)'!$A$7:$O$329,11,0)</f>
        <v>388</v>
      </c>
      <c r="O100" s="103">
        <f>VLOOKUP($A100,'OI(Value)'!$A$7:$O$329,12,0)</f>
        <v>-18</v>
      </c>
      <c r="P100" s="179">
        <f>VLOOKUP(A100,'OI(Value)'!A100:O324,8,0)</f>
        <v>401</v>
      </c>
      <c r="Q100" s="179">
        <f>VLOOKUP(A100,'OI(Value)'!A100:O324,9,0)</f>
        <v>4</v>
      </c>
      <c r="R100" s="179">
        <f>VLOOKUP(A100,'OI(Value)'!A100:O324,11,0)</f>
        <v>388</v>
      </c>
      <c r="S100" s="179">
        <f>VLOOKUP(A100,'OI(Value)'!A100:O324,11,0)</f>
        <v>388</v>
      </c>
    </row>
    <row r="101" spans="1:19" x14ac:dyDescent="0.25">
      <c r="A101" s="105" t="str">
        <f>'Data Vlaue (Cr)'!C96</f>
        <v>INDIANB</v>
      </c>
      <c r="B101" s="143">
        <f>VLOOKUP($A101,'Data shares'!$C:$FA,118)</f>
        <v>0.53</v>
      </c>
      <c r="C101" s="143">
        <f>VLOOKUP($A101,'Data shares'!$C:$FA,119)</f>
        <v>0.52</v>
      </c>
      <c r="D101" s="143">
        <f>VLOOKUP($A101,'Data shares'!$C:$FA,121)*100</f>
        <v>1.92</v>
      </c>
      <c r="E101" s="143">
        <f>VLOOKUP($A101,'Data shares'!$C:$FA,124)</f>
        <v>0.35</v>
      </c>
      <c r="F101" s="143">
        <f>VLOOKUP($A101,'Data shares'!$C:$FA,125)</f>
        <v>0.4</v>
      </c>
      <c r="G101" s="143">
        <f>VLOOKUP($A101,'Data shares'!$C:$FA,127)*100</f>
        <v>-12.5</v>
      </c>
      <c r="H101" s="103">
        <f>VLOOKUP($A101,'OI(Volume)'!$A$7:$O$445,8)</f>
        <v>6358000</v>
      </c>
      <c r="I101" s="103">
        <f>VLOOKUP($A101,'OI(Volume)'!$A$7:$O$445,9)</f>
        <v>-53000</v>
      </c>
      <c r="J101" s="103">
        <f>VLOOKUP($A101,'OI(Volume)'!$A$7:$O$445,11)</f>
        <v>3393000</v>
      </c>
      <c r="K101" s="103">
        <f>VLOOKUP($A101,'OI(Volume)'!$A$7:$O$445,12)</f>
        <v>71000</v>
      </c>
      <c r="L101" s="103">
        <f>VLOOKUP($A101,'OI(Value)'!$A$7:$O$329,8,0)</f>
        <v>599</v>
      </c>
      <c r="M101" s="103">
        <f>VLOOKUP($A101,'OI(Value)'!$A$7:$O$329,9,0)</f>
        <v>-5</v>
      </c>
      <c r="N101" s="103">
        <f>VLOOKUP($A101,'OI(Value)'!$A$7:$O$329,11,0)</f>
        <v>320</v>
      </c>
      <c r="O101" s="103">
        <f>VLOOKUP($A101,'OI(Value)'!$A$7:$O$329,12,0)</f>
        <v>7</v>
      </c>
      <c r="P101" s="179">
        <f>VLOOKUP(A101,'OI(Value)'!A101:O325,8,0)</f>
        <v>599</v>
      </c>
      <c r="Q101" s="179">
        <f>VLOOKUP(A101,'OI(Value)'!A101:O325,9,0)</f>
        <v>-5</v>
      </c>
      <c r="R101" s="179">
        <f>VLOOKUP(A101,'OI(Value)'!A101:O325,11,0)</f>
        <v>320</v>
      </c>
      <c r="S101" s="179">
        <f>VLOOKUP(A101,'OI(Value)'!A101:O325,11,0)</f>
        <v>320</v>
      </c>
    </row>
    <row r="102" spans="1:19" x14ac:dyDescent="0.25">
      <c r="A102" s="105" t="str">
        <f>'Data Vlaue (Cr)'!C97</f>
        <v>INDIAVIX</v>
      </c>
      <c r="B102" s="143">
        <f>VLOOKUP($A102,'Data shares'!$C:$FA,118)</f>
        <v>0</v>
      </c>
      <c r="C102" s="143">
        <f>VLOOKUP($A102,'Data shares'!$C:$FA,119)</f>
        <v>0</v>
      </c>
      <c r="D102" s="143">
        <f>VLOOKUP($A102,'Data shares'!$C:$FA,121)*100</f>
        <v>0</v>
      </c>
      <c r="E102" s="143">
        <f>VLOOKUP($A102,'Data shares'!$C:$FA,124)</f>
        <v>0</v>
      </c>
      <c r="F102" s="143">
        <f>VLOOKUP($A102,'Data shares'!$C:$FA,125)</f>
        <v>0</v>
      </c>
      <c r="G102" s="143">
        <f>VLOOKUP($A102,'Data shares'!$C:$FA,127)*100</f>
        <v>0</v>
      </c>
      <c r="H102" s="103">
        <f>VLOOKUP($A102,'OI(Volume)'!$A$7:$O$445,8)</f>
        <v>0</v>
      </c>
      <c r="I102" s="103">
        <f>VLOOKUP($A102,'OI(Volume)'!$A$7:$O$445,9)</f>
        <v>0</v>
      </c>
      <c r="J102" s="103">
        <f>VLOOKUP($A102,'OI(Volume)'!$A$7:$O$445,11)</f>
        <v>0</v>
      </c>
      <c r="K102" s="103">
        <f>VLOOKUP($A102,'OI(Volume)'!$A$7:$O$445,12)</f>
        <v>0</v>
      </c>
      <c r="L102" s="103">
        <f>VLOOKUP($A102,'OI(Value)'!$A$7:$O$329,8,0)</f>
        <v>0</v>
      </c>
      <c r="M102" s="103">
        <f>VLOOKUP($A102,'OI(Value)'!$A$7:$O$329,9,0)</f>
        <v>0</v>
      </c>
      <c r="N102" s="103">
        <f>VLOOKUP($A102,'OI(Value)'!$A$7:$O$329,11,0)</f>
        <v>0</v>
      </c>
      <c r="O102" s="103">
        <f>VLOOKUP($A102,'OI(Value)'!$A$7:$O$329,12,0)</f>
        <v>0</v>
      </c>
      <c r="P102" s="179">
        <f>VLOOKUP(A102,'OI(Value)'!A102:O326,8,0)</f>
        <v>0</v>
      </c>
      <c r="Q102" s="179">
        <f>VLOOKUP(A102,'OI(Value)'!A102:O326,9,0)</f>
        <v>0</v>
      </c>
      <c r="R102" s="179">
        <f>VLOOKUP(A102,'OI(Value)'!A102:O326,11,0)</f>
        <v>0</v>
      </c>
      <c r="S102" s="179">
        <f>VLOOKUP(A102,'OI(Value)'!A102:O326,11,0)</f>
        <v>0</v>
      </c>
    </row>
    <row r="103" spans="1:19" x14ac:dyDescent="0.25">
      <c r="A103" s="105" t="str">
        <f>'Data Vlaue (Cr)'!C98</f>
        <v>INDIGO</v>
      </c>
      <c r="B103" s="143">
        <f>VLOOKUP($A103,'Data shares'!$C:$FA,118)</f>
        <v>0.69</v>
      </c>
      <c r="C103" s="143">
        <f>VLOOKUP($A103,'Data shares'!$C:$FA,119)</f>
        <v>0.7</v>
      </c>
      <c r="D103" s="143">
        <f>VLOOKUP($A103,'Data shares'!$C:$FA,121)*100</f>
        <v>-1.43</v>
      </c>
      <c r="E103" s="143">
        <f>VLOOKUP($A103,'Data shares'!$C:$FA,124)</f>
        <v>0.89</v>
      </c>
      <c r="F103" s="143">
        <f>VLOOKUP($A103,'Data shares'!$C:$FA,125)</f>
        <v>0.81</v>
      </c>
      <c r="G103" s="143">
        <f>VLOOKUP($A103,'Data shares'!$C:$FA,127)*100</f>
        <v>9.879999999999999</v>
      </c>
      <c r="H103" s="103">
        <f>VLOOKUP($A103,'OI(Volume)'!$A$7:$O$445,8)</f>
        <v>6302100</v>
      </c>
      <c r="I103" s="103">
        <f>VLOOKUP($A103,'OI(Volume)'!$A$7:$O$445,9)</f>
        <v>92700</v>
      </c>
      <c r="J103" s="103">
        <f>VLOOKUP($A103,'OI(Volume)'!$A$7:$O$445,11)</f>
        <v>4357800</v>
      </c>
      <c r="K103" s="103">
        <f>VLOOKUP($A103,'OI(Volume)'!$A$7:$O$445,12)</f>
        <v>23850</v>
      </c>
      <c r="L103" s="103">
        <f>VLOOKUP($A103,'OI(Value)'!$A$7:$O$329,8,0)</f>
        <v>2929</v>
      </c>
      <c r="M103" s="103">
        <f>VLOOKUP($A103,'OI(Value)'!$A$7:$O$329,9,0)</f>
        <v>43</v>
      </c>
      <c r="N103" s="103">
        <f>VLOOKUP($A103,'OI(Value)'!$A$7:$O$329,11,0)</f>
        <v>2025</v>
      </c>
      <c r="O103" s="103">
        <f>VLOOKUP($A103,'OI(Value)'!$A$7:$O$329,12,0)</f>
        <v>11</v>
      </c>
      <c r="P103" s="179">
        <f>VLOOKUP(A103,'OI(Value)'!A103:O327,8,0)</f>
        <v>2929</v>
      </c>
      <c r="Q103" s="179">
        <f>VLOOKUP(A103,'OI(Value)'!A103:O327,9,0)</f>
        <v>43</v>
      </c>
      <c r="R103" s="179">
        <f>VLOOKUP(A103,'OI(Value)'!A103:O327,11,0)</f>
        <v>2025</v>
      </c>
      <c r="S103" s="179">
        <f>VLOOKUP(A103,'OI(Value)'!A103:O327,11,0)</f>
        <v>2025</v>
      </c>
    </row>
    <row r="104" spans="1:19" x14ac:dyDescent="0.25">
      <c r="A104" s="105" t="str">
        <f>'Data Vlaue (Cr)'!C99</f>
        <v>INDUSINDBK</v>
      </c>
      <c r="B104" s="143">
        <f>VLOOKUP($A104,'Data shares'!$C:$FA,118)</f>
        <v>0.77</v>
      </c>
      <c r="C104" s="143">
        <f>VLOOKUP($A104,'Data shares'!$C:$FA,119)</f>
        <v>0.84</v>
      </c>
      <c r="D104" s="143">
        <f>VLOOKUP($A104,'Data shares'!$C:$FA,121)*100</f>
        <v>-8.33</v>
      </c>
      <c r="E104" s="143">
        <f>VLOOKUP($A104,'Data shares'!$C:$FA,124)</f>
        <v>0.57999999999999996</v>
      </c>
      <c r="F104" s="143">
        <f>VLOOKUP($A104,'Data shares'!$C:$FA,125)</f>
        <v>0.74</v>
      </c>
      <c r="G104" s="143">
        <f>VLOOKUP($A104,'Data shares'!$C:$FA,127)*100</f>
        <v>-21.62</v>
      </c>
      <c r="H104" s="103">
        <f>VLOOKUP($A104,'OI(Volume)'!$A$7:$O$445,8)</f>
        <v>7996100</v>
      </c>
      <c r="I104" s="103">
        <f>VLOOKUP($A104,'OI(Volume)'!$A$7:$O$445,9)</f>
        <v>599900</v>
      </c>
      <c r="J104" s="103">
        <f>VLOOKUP($A104,'OI(Volume)'!$A$7:$O$445,11)</f>
        <v>6124300</v>
      </c>
      <c r="K104" s="103">
        <f>VLOOKUP($A104,'OI(Volume)'!$A$7:$O$445,12)</f>
        <v>-75600</v>
      </c>
      <c r="L104" s="103">
        <f>VLOOKUP($A104,'OI(Value)'!$A$7:$O$329,8,0)</f>
        <v>682</v>
      </c>
      <c r="M104" s="103">
        <f>VLOOKUP($A104,'OI(Value)'!$A$7:$O$329,9,0)</f>
        <v>51</v>
      </c>
      <c r="N104" s="103">
        <f>VLOOKUP($A104,'OI(Value)'!$A$7:$O$329,11,0)</f>
        <v>522</v>
      </c>
      <c r="O104" s="103">
        <f>VLOOKUP($A104,'OI(Value)'!$A$7:$O$329,12,0)</f>
        <v>-6</v>
      </c>
      <c r="P104" s="179">
        <f>VLOOKUP(A104,'OI(Value)'!A104:O328,8,0)</f>
        <v>682</v>
      </c>
      <c r="Q104" s="179">
        <f>VLOOKUP(A104,'OI(Value)'!A104:O328,9,0)</f>
        <v>51</v>
      </c>
      <c r="R104" s="179">
        <f>VLOOKUP(A104,'OI(Value)'!A104:O328,11,0)</f>
        <v>522</v>
      </c>
      <c r="S104" s="179">
        <f>VLOOKUP(A104,'OI(Value)'!A104:O328,11,0)</f>
        <v>522</v>
      </c>
    </row>
    <row r="105" spans="1:19" x14ac:dyDescent="0.25">
      <c r="A105" s="105" t="str">
        <f>'Data Vlaue (Cr)'!C100</f>
        <v>INDUSTOWER</v>
      </c>
      <c r="B105" s="143">
        <f>VLOOKUP($A105,'Data shares'!$C:$FA,118)</f>
        <v>0.57999999999999996</v>
      </c>
      <c r="C105" s="143">
        <f>VLOOKUP($A105,'Data shares'!$C:$FA,119)</f>
        <v>0.55000000000000004</v>
      </c>
      <c r="D105" s="143">
        <f>VLOOKUP($A105,'Data shares'!$C:$FA,121)*100</f>
        <v>5.45</v>
      </c>
      <c r="E105" s="143">
        <f>VLOOKUP($A105,'Data shares'!$C:$FA,124)</f>
        <v>0.52</v>
      </c>
      <c r="F105" s="143">
        <f>VLOOKUP($A105,'Data shares'!$C:$FA,125)</f>
        <v>0.45</v>
      </c>
      <c r="G105" s="143">
        <f>VLOOKUP($A105,'Data shares'!$C:$FA,127)*100</f>
        <v>15.559999999999999</v>
      </c>
      <c r="H105" s="103">
        <f>VLOOKUP($A105,'OI(Volume)'!$A$7:$O$445,8)</f>
        <v>25369100</v>
      </c>
      <c r="I105" s="103">
        <f>VLOOKUP($A105,'OI(Volume)'!$A$7:$O$445,9)</f>
        <v>1514700</v>
      </c>
      <c r="J105" s="103">
        <f>VLOOKUP($A105,'OI(Volume)'!$A$7:$O$445,11)</f>
        <v>14703300</v>
      </c>
      <c r="K105" s="103">
        <f>VLOOKUP($A105,'OI(Volume)'!$A$7:$O$445,12)</f>
        <v>1472200</v>
      </c>
      <c r="L105" s="103">
        <f>VLOOKUP($A105,'OI(Value)'!$A$7:$O$329,8,0)</f>
        <v>1049</v>
      </c>
      <c r="M105" s="103">
        <f>VLOOKUP($A105,'OI(Value)'!$A$7:$O$329,9,0)</f>
        <v>63</v>
      </c>
      <c r="N105" s="103">
        <f>VLOOKUP($A105,'OI(Value)'!$A$7:$O$329,11,0)</f>
        <v>608</v>
      </c>
      <c r="O105" s="103">
        <f>VLOOKUP($A105,'OI(Value)'!$A$7:$O$329,12,0)</f>
        <v>61</v>
      </c>
      <c r="P105" s="179">
        <f>VLOOKUP(A105,'OI(Value)'!A105:O329,8,0)</f>
        <v>1049</v>
      </c>
      <c r="Q105" s="179">
        <f>VLOOKUP(A105,'OI(Value)'!A105:O329,9,0)</f>
        <v>63</v>
      </c>
      <c r="R105" s="179">
        <f>VLOOKUP(A105,'OI(Value)'!A105:O329,11,0)</f>
        <v>608</v>
      </c>
      <c r="S105" s="179">
        <f>VLOOKUP(A105,'OI(Value)'!A105:O329,11,0)</f>
        <v>608</v>
      </c>
    </row>
    <row r="106" spans="1:19" x14ac:dyDescent="0.25">
      <c r="A106" s="105" t="str">
        <f>'Data Vlaue (Cr)'!C101</f>
        <v>INFY</v>
      </c>
      <c r="B106" s="143">
        <f>VLOOKUP($A106,'Data shares'!$C:$FA,118)</f>
        <v>0.71</v>
      </c>
      <c r="C106" s="143">
        <f>VLOOKUP($A106,'Data shares'!$C:$FA,119)</f>
        <v>0.73</v>
      </c>
      <c r="D106" s="143">
        <f>VLOOKUP($A106,'Data shares'!$C:$FA,121)*100</f>
        <v>-2.74</v>
      </c>
      <c r="E106" s="143">
        <f>VLOOKUP($A106,'Data shares'!$C:$FA,124)</f>
        <v>0.73</v>
      </c>
      <c r="F106" s="143">
        <f>VLOOKUP($A106,'Data shares'!$C:$FA,125)</f>
        <v>0.53</v>
      </c>
      <c r="G106" s="143">
        <f>VLOOKUP($A106,'Data shares'!$C:$FA,127)*100</f>
        <v>37.74</v>
      </c>
      <c r="H106" s="103">
        <f>VLOOKUP($A106,'OI(Volume)'!$A$7:$O$445,8)</f>
        <v>28466400</v>
      </c>
      <c r="I106" s="103">
        <f>VLOOKUP($A106,'OI(Volume)'!$A$7:$O$445,9)</f>
        <v>829200</v>
      </c>
      <c r="J106" s="103">
        <f>VLOOKUP($A106,'OI(Volume)'!$A$7:$O$445,11)</f>
        <v>20294800</v>
      </c>
      <c r="K106" s="103">
        <f>VLOOKUP($A106,'OI(Volume)'!$A$7:$O$445,12)</f>
        <v>17200</v>
      </c>
      <c r="L106" s="103">
        <f>VLOOKUP($A106,'OI(Value)'!$A$7:$O$329,8,0)</f>
        <v>3760</v>
      </c>
      <c r="M106" s="103">
        <f>VLOOKUP($A106,'OI(Value)'!$A$7:$O$329,9,0)</f>
        <v>110</v>
      </c>
      <c r="N106" s="103">
        <f>VLOOKUP($A106,'OI(Value)'!$A$7:$O$329,11,0)</f>
        <v>2681</v>
      </c>
      <c r="O106" s="103">
        <f>VLOOKUP($A106,'OI(Value)'!$A$7:$O$329,12,0)</f>
        <v>2</v>
      </c>
      <c r="P106" s="179">
        <f>VLOOKUP(A106,'OI(Value)'!A106:O330,8,0)</f>
        <v>3760</v>
      </c>
      <c r="Q106" s="179">
        <f>VLOOKUP(A106,'OI(Value)'!A106:O330,9,0)</f>
        <v>110</v>
      </c>
      <c r="R106" s="179">
        <f>VLOOKUP(A106,'OI(Value)'!A106:O330,11,0)</f>
        <v>2681</v>
      </c>
      <c r="S106" s="179">
        <f>VLOOKUP(A106,'OI(Value)'!A106:O330,11,0)</f>
        <v>2681</v>
      </c>
    </row>
    <row r="107" spans="1:19" x14ac:dyDescent="0.25">
      <c r="A107" s="105" t="str">
        <f>'Data Vlaue (Cr)'!C102</f>
        <v>INOXWIND</v>
      </c>
      <c r="B107" s="143">
        <f>VLOOKUP($A107,'Data shares'!$C:$FA,118)</f>
        <v>0.82</v>
      </c>
      <c r="C107" s="143">
        <f>VLOOKUP($A107,'Data shares'!$C:$FA,119)</f>
        <v>0.98</v>
      </c>
      <c r="D107" s="143">
        <f>VLOOKUP($A107,'Data shares'!$C:$FA,121)*100</f>
        <v>-16.329999999999998</v>
      </c>
      <c r="E107" s="143">
        <f>VLOOKUP($A107,'Data shares'!$C:$FA,124)</f>
        <v>0.35</v>
      </c>
      <c r="F107" s="143">
        <f>VLOOKUP($A107,'Data shares'!$C:$FA,125)</f>
        <v>0.5</v>
      </c>
      <c r="G107" s="143">
        <f>VLOOKUP($A107,'Data shares'!$C:$FA,127)*100</f>
        <v>-30</v>
      </c>
      <c r="H107" s="103">
        <f>VLOOKUP($A107,'OI(Volume)'!$A$7:$O$445,8)</f>
        <v>27977950</v>
      </c>
      <c r="I107" s="103">
        <f>VLOOKUP($A107,'OI(Volume)'!$A$7:$O$445,9)</f>
        <v>5644925</v>
      </c>
      <c r="J107" s="103">
        <f>VLOOKUP($A107,'OI(Volume)'!$A$7:$O$445,11)</f>
        <v>23073050</v>
      </c>
      <c r="K107" s="103">
        <f>VLOOKUP($A107,'OI(Volume)'!$A$7:$O$445,12)</f>
        <v>1290575</v>
      </c>
      <c r="L107" s="103">
        <f>VLOOKUP($A107,'OI(Value)'!$A$7:$O$329,8,0)</f>
        <v>274</v>
      </c>
      <c r="M107" s="103">
        <f>VLOOKUP($A107,'OI(Value)'!$A$7:$O$329,9,0)</f>
        <v>55</v>
      </c>
      <c r="N107" s="103">
        <f>VLOOKUP($A107,'OI(Value)'!$A$7:$O$329,11,0)</f>
        <v>226</v>
      </c>
      <c r="O107" s="103">
        <f>VLOOKUP($A107,'OI(Value)'!$A$7:$O$329,12,0)</f>
        <v>13</v>
      </c>
      <c r="P107" s="179">
        <f>VLOOKUP(A107,'OI(Value)'!A107:O331,8,0)</f>
        <v>274</v>
      </c>
      <c r="Q107" s="179">
        <f>VLOOKUP(A107,'OI(Value)'!A107:O331,9,0)</f>
        <v>55</v>
      </c>
      <c r="R107" s="179">
        <f>VLOOKUP(A107,'OI(Value)'!A107:O331,11,0)</f>
        <v>226</v>
      </c>
      <c r="S107" s="179">
        <f>VLOOKUP(A107,'OI(Value)'!A107:O331,11,0)</f>
        <v>226</v>
      </c>
    </row>
    <row r="108" spans="1:19" x14ac:dyDescent="0.25">
      <c r="A108" s="105" t="str">
        <f>'Data Vlaue (Cr)'!C103</f>
        <v>IOC</v>
      </c>
      <c r="B108" s="143">
        <f>VLOOKUP($A108,'Data shares'!$C:$FA,118)</f>
        <v>0.73</v>
      </c>
      <c r="C108" s="143">
        <f>VLOOKUP($A108,'Data shares'!$C:$FA,119)</f>
        <v>0.72</v>
      </c>
      <c r="D108" s="143">
        <f>VLOOKUP($A108,'Data shares'!$C:$FA,121)*100</f>
        <v>1.39</v>
      </c>
      <c r="E108" s="143">
        <f>VLOOKUP($A108,'Data shares'!$C:$FA,124)</f>
        <v>0.6</v>
      </c>
      <c r="F108" s="143">
        <f>VLOOKUP($A108,'Data shares'!$C:$FA,125)</f>
        <v>0.76</v>
      </c>
      <c r="G108" s="143">
        <f>VLOOKUP($A108,'Data shares'!$C:$FA,127)*100</f>
        <v>-21.05</v>
      </c>
      <c r="H108" s="103">
        <f>VLOOKUP($A108,'OI(Volume)'!$A$7:$O$445,8)</f>
        <v>64652250</v>
      </c>
      <c r="I108" s="103">
        <f>VLOOKUP($A108,'OI(Volume)'!$A$7:$O$445,9)</f>
        <v>-63375</v>
      </c>
      <c r="J108" s="103">
        <f>VLOOKUP($A108,'OI(Volume)'!$A$7:$O$445,11)</f>
        <v>47326500</v>
      </c>
      <c r="K108" s="103">
        <f>VLOOKUP($A108,'OI(Volume)'!$A$7:$O$445,12)</f>
        <v>975000</v>
      </c>
      <c r="L108" s="103">
        <f>VLOOKUP($A108,'OI(Value)'!$A$7:$O$329,8,0)</f>
        <v>945</v>
      </c>
      <c r="M108" s="103">
        <f>VLOOKUP($A108,'OI(Value)'!$A$7:$O$329,9,0)</f>
        <v>-1</v>
      </c>
      <c r="N108" s="103">
        <f>VLOOKUP($A108,'OI(Value)'!$A$7:$O$329,11,0)</f>
        <v>692</v>
      </c>
      <c r="O108" s="103">
        <f>VLOOKUP($A108,'OI(Value)'!$A$7:$O$329,12,0)</f>
        <v>14</v>
      </c>
      <c r="P108" s="179">
        <f>VLOOKUP(A108,'OI(Value)'!A108:O332,8,0)</f>
        <v>945</v>
      </c>
      <c r="Q108" s="179">
        <f>VLOOKUP(A108,'OI(Value)'!A108:O332,9,0)</f>
        <v>-1</v>
      </c>
      <c r="R108" s="179">
        <f>VLOOKUP(A108,'OI(Value)'!A108:O332,11,0)</f>
        <v>692</v>
      </c>
      <c r="S108" s="179">
        <f>VLOOKUP(A108,'OI(Value)'!A108:O332,11,0)</f>
        <v>692</v>
      </c>
    </row>
    <row r="109" spans="1:19" x14ac:dyDescent="0.25">
      <c r="A109" s="105" t="str">
        <f>'Data Vlaue (Cr)'!C104</f>
        <v>IREDA</v>
      </c>
      <c r="B109" s="143">
        <f>VLOOKUP($A109,'Data shares'!$C:$FA,118)</f>
        <v>0.79</v>
      </c>
      <c r="C109" s="143">
        <f>VLOOKUP($A109,'Data shares'!$C:$FA,119)</f>
        <v>0.81</v>
      </c>
      <c r="D109" s="143">
        <f>VLOOKUP($A109,'Data shares'!$C:$FA,121)*100</f>
        <v>-2.4699999999999998</v>
      </c>
      <c r="E109" s="143">
        <f>VLOOKUP($A109,'Data shares'!$C:$FA,124)</f>
        <v>0.32</v>
      </c>
      <c r="F109" s="143">
        <f>VLOOKUP($A109,'Data shares'!$C:$FA,125)</f>
        <v>0.38</v>
      </c>
      <c r="G109" s="143">
        <f>VLOOKUP($A109,'Data shares'!$C:$FA,127)*100</f>
        <v>-15.790000000000001</v>
      </c>
      <c r="H109" s="103">
        <f>VLOOKUP($A109,'OI(Volume)'!$A$7:$O$445,8)</f>
        <v>24960750</v>
      </c>
      <c r="I109" s="103">
        <f>VLOOKUP($A109,'OI(Volume)'!$A$7:$O$445,9)</f>
        <v>1562850</v>
      </c>
      <c r="J109" s="103">
        <f>VLOOKUP($A109,'OI(Volume)'!$A$7:$O$445,11)</f>
        <v>19706400</v>
      </c>
      <c r="K109" s="103">
        <f>VLOOKUP($A109,'OI(Volume)'!$A$7:$O$445,12)</f>
        <v>814200</v>
      </c>
      <c r="L109" s="103">
        <f>VLOOKUP($A109,'OI(Value)'!$A$7:$O$329,8,0)</f>
        <v>333</v>
      </c>
      <c r="M109" s="103">
        <f>VLOOKUP($A109,'OI(Value)'!$A$7:$O$329,9,0)</f>
        <v>21</v>
      </c>
      <c r="N109" s="103">
        <f>VLOOKUP($A109,'OI(Value)'!$A$7:$O$329,11,0)</f>
        <v>263</v>
      </c>
      <c r="O109" s="103">
        <f>VLOOKUP($A109,'OI(Value)'!$A$7:$O$329,12,0)</f>
        <v>11</v>
      </c>
      <c r="P109" s="179">
        <f>VLOOKUP(A109,'OI(Value)'!A109:O333,8,0)</f>
        <v>333</v>
      </c>
      <c r="Q109" s="179">
        <f>VLOOKUP(A109,'OI(Value)'!A109:O333,9,0)</f>
        <v>21</v>
      </c>
      <c r="R109" s="179">
        <f>VLOOKUP(A109,'OI(Value)'!A109:O333,11,0)</f>
        <v>263</v>
      </c>
      <c r="S109" s="179">
        <f>VLOOKUP(A109,'OI(Value)'!A109:O333,11,0)</f>
        <v>263</v>
      </c>
    </row>
    <row r="110" spans="1:19" x14ac:dyDescent="0.25">
      <c r="A110" s="105" t="str">
        <f>'Data Vlaue (Cr)'!C105</f>
        <v>IRFC</v>
      </c>
      <c r="B110" s="143">
        <f>VLOOKUP($A110,'Data shares'!$C:$FA,118)</f>
        <v>0.72</v>
      </c>
      <c r="C110" s="143">
        <f>VLOOKUP($A110,'Data shares'!$C:$FA,119)</f>
        <v>0.75</v>
      </c>
      <c r="D110" s="143">
        <f>VLOOKUP($A110,'Data shares'!$C:$FA,121)*100</f>
        <v>-4</v>
      </c>
      <c r="E110" s="143">
        <f>VLOOKUP($A110,'Data shares'!$C:$FA,124)</f>
        <v>0.39</v>
      </c>
      <c r="F110" s="143">
        <f>VLOOKUP($A110,'Data shares'!$C:$FA,125)</f>
        <v>0.36</v>
      </c>
      <c r="G110" s="143">
        <f>VLOOKUP($A110,'Data shares'!$C:$FA,127)*100</f>
        <v>8.33</v>
      </c>
      <c r="H110" s="103">
        <f>VLOOKUP($A110,'OI(Volume)'!$A$7:$O$445,8)</f>
        <v>42334250</v>
      </c>
      <c r="I110" s="103">
        <f>VLOOKUP($A110,'OI(Volume)'!$A$7:$O$445,9)</f>
        <v>2626500</v>
      </c>
      <c r="J110" s="103">
        <f>VLOOKUP($A110,'OI(Volume)'!$A$7:$O$445,11)</f>
        <v>30285500</v>
      </c>
      <c r="K110" s="103">
        <f>VLOOKUP($A110,'OI(Volume)'!$A$7:$O$445,12)</f>
        <v>399500</v>
      </c>
      <c r="L110" s="103">
        <f>VLOOKUP($A110,'OI(Value)'!$A$7:$O$329,8,0)</f>
        <v>444</v>
      </c>
      <c r="M110" s="103">
        <f>VLOOKUP($A110,'OI(Value)'!$A$7:$O$329,9,0)</f>
        <v>28</v>
      </c>
      <c r="N110" s="103">
        <f>VLOOKUP($A110,'OI(Value)'!$A$7:$O$329,11,0)</f>
        <v>318</v>
      </c>
      <c r="O110" s="103">
        <f>VLOOKUP($A110,'OI(Value)'!$A$7:$O$329,12,0)</f>
        <v>4</v>
      </c>
      <c r="P110" s="179">
        <f>VLOOKUP(A110,'OI(Value)'!A110:O334,8,0)</f>
        <v>444</v>
      </c>
      <c r="Q110" s="179">
        <f>VLOOKUP(A110,'OI(Value)'!A110:O334,9,0)</f>
        <v>28</v>
      </c>
      <c r="R110" s="179">
        <f>VLOOKUP(A110,'OI(Value)'!A110:O334,11,0)</f>
        <v>318</v>
      </c>
      <c r="S110" s="179">
        <f>VLOOKUP(A110,'OI(Value)'!A110:O334,11,0)</f>
        <v>318</v>
      </c>
    </row>
    <row r="111" spans="1:19" x14ac:dyDescent="0.25">
      <c r="A111" s="105" t="str">
        <f>'Data Vlaue (Cr)'!C106</f>
        <v>ITC</v>
      </c>
      <c r="B111" s="143">
        <f>VLOOKUP($A111,'Data shares'!$C:$FA,118)</f>
        <v>0.5</v>
      </c>
      <c r="C111" s="143">
        <f>VLOOKUP($A111,'Data shares'!$C:$FA,119)</f>
        <v>0.53</v>
      </c>
      <c r="D111" s="143">
        <f>VLOOKUP($A111,'Data shares'!$C:$FA,121)*100</f>
        <v>-5.66</v>
      </c>
      <c r="E111" s="143">
        <f>VLOOKUP($A111,'Data shares'!$C:$FA,124)</f>
        <v>0.43</v>
      </c>
      <c r="F111" s="143">
        <f>VLOOKUP($A111,'Data shares'!$C:$FA,125)</f>
        <v>0.47</v>
      </c>
      <c r="G111" s="143">
        <f>VLOOKUP($A111,'Data shares'!$C:$FA,127)*100</f>
        <v>-8.51</v>
      </c>
      <c r="H111" s="103">
        <f>VLOOKUP($A111,'OI(Volume)'!$A$7:$O$445,8)</f>
        <v>114555200</v>
      </c>
      <c r="I111" s="103">
        <f>VLOOKUP($A111,'OI(Volume)'!$A$7:$O$445,9)</f>
        <v>16153600</v>
      </c>
      <c r="J111" s="103">
        <f>VLOOKUP($A111,'OI(Volume)'!$A$7:$O$445,11)</f>
        <v>57020800</v>
      </c>
      <c r="K111" s="103">
        <f>VLOOKUP($A111,'OI(Volume)'!$A$7:$O$445,12)</f>
        <v>5256000</v>
      </c>
      <c r="L111" s="103">
        <f>VLOOKUP($A111,'OI(Value)'!$A$7:$O$329,8,0)</f>
        <v>3523</v>
      </c>
      <c r="M111" s="103">
        <f>VLOOKUP($A111,'OI(Value)'!$A$7:$O$329,9,0)</f>
        <v>497</v>
      </c>
      <c r="N111" s="103">
        <f>VLOOKUP($A111,'OI(Value)'!$A$7:$O$329,11,0)</f>
        <v>1753</v>
      </c>
      <c r="O111" s="103">
        <f>VLOOKUP($A111,'OI(Value)'!$A$7:$O$329,12,0)</f>
        <v>162</v>
      </c>
      <c r="P111" s="179">
        <f>VLOOKUP(A111,'OI(Value)'!A111:O335,8,0)</f>
        <v>3523</v>
      </c>
      <c r="Q111" s="179">
        <f>VLOOKUP(A111,'OI(Value)'!A111:O335,9,0)</f>
        <v>497</v>
      </c>
      <c r="R111" s="179">
        <f>VLOOKUP(A111,'OI(Value)'!A111:O335,11,0)</f>
        <v>1753</v>
      </c>
      <c r="S111" s="179">
        <f>VLOOKUP(A111,'OI(Value)'!A111:O335,11,0)</f>
        <v>1753</v>
      </c>
    </row>
    <row r="112" spans="1:19" x14ac:dyDescent="0.25">
      <c r="A112" s="105" t="str">
        <f>'Data Vlaue (Cr)'!C107</f>
        <v>JINDALSTEL</v>
      </c>
      <c r="B112" s="143">
        <f>VLOOKUP($A112,'Data shares'!$C:$FA,118)</f>
        <v>1.0900000000000001</v>
      </c>
      <c r="C112" s="143">
        <f>VLOOKUP($A112,'Data shares'!$C:$FA,119)</f>
        <v>0.98</v>
      </c>
      <c r="D112" s="143">
        <f>VLOOKUP($A112,'Data shares'!$C:$FA,121)*100</f>
        <v>11.219999999999999</v>
      </c>
      <c r="E112" s="143">
        <f>VLOOKUP($A112,'Data shares'!$C:$FA,124)</f>
        <v>0.61</v>
      </c>
      <c r="F112" s="143">
        <f>VLOOKUP($A112,'Data shares'!$C:$FA,125)</f>
        <v>0.54</v>
      </c>
      <c r="G112" s="143">
        <f>VLOOKUP($A112,'Data shares'!$C:$FA,127)*100</f>
        <v>12.959999999999999</v>
      </c>
      <c r="H112" s="103">
        <f>VLOOKUP($A112,'OI(Volume)'!$A$7:$O$445,8)</f>
        <v>3788125</v>
      </c>
      <c r="I112" s="103">
        <f>VLOOKUP($A112,'OI(Volume)'!$A$7:$O$445,9)</f>
        <v>381875</v>
      </c>
      <c r="J112" s="103">
        <f>VLOOKUP($A112,'OI(Volume)'!$A$7:$O$445,11)</f>
        <v>4120000</v>
      </c>
      <c r="K112" s="103">
        <f>VLOOKUP($A112,'OI(Volume)'!$A$7:$O$445,12)</f>
        <v>776250</v>
      </c>
      <c r="L112" s="103">
        <f>VLOOKUP($A112,'OI(Value)'!$A$7:$O$329,8,0)</f>
        <v>482</v>
      </c>
      <c r="M112" s="103">
        <f>VLOOKUP($A112,'OI(Value)'!$A$7:$O$329,9,0)</f>
        <v>49</v>
      </c>
      <c r="N112" s="103">
        <f>VLOOKUP($A112,'OI(Value)'!$A$7:$O$329,11,0)</f>
        <v>524</v>
      </c>
      <c r="O112" s="103">
        <f>VLOOKUP($A112,'OI(Value)'!$A$7:$O$329,12,0)</f>
        <v>99</v>
      </c>
      <c r="P112" s="179">
        <f>VLOOKUP(A112,'OI(Value)'!A112:O336,8,0)</f>
        <v>482</v>
      </c>
      <c r="Q112" s="179">
        <f>VLOOKUP(A112,'OI(Value)'!A112:O336,9,0)</f>
        <v>49</v>
      </c>
      <c r="R112" s="179">
        <f>VLOOKUP(A112,'OI(Value)'!A112:O336,11,0)</f>
        <v>524</v>
      </c>
      <c r="S112" s="179">
        <f>VLOOKUP(A112,'OI(Value)'!A112:O336,11,0)</f>
        <v>524</v>
      </c>
    </row>
    <row r="113" spans="1:19" x14ac:dyDescent="0.25">
      <c r="A113" s="105" t="str">
        <f>'Data Vlaue (Cr)'!C108</f>
        <v>JIOFIN</v>
      </c>
      <c r="B113" s="143">
        <f>VLOOKUP($A113,'Data shares'!$C:$FA,118)</f>
        <v>0.67</v>
      </c>
      <c r="C113" s="143">
        <f>VLOOKUP($A113,'Data shares'!$C:$FA,119)</f>
        <v>0.73</v>
      </c>
      <c r="D113" s="143">
        <f>VLOOKUP($A113,'Data shares'!$C:$FA,121)*100</f>
        <v>-8.2199999999999989</v>
      </c>
      <c r="E113" s="143">
        <f>VLOOKUP($A113,'Data shares'!$C:$FA,124)</f>
        <v>0.34</v>
      </c>
      <c r="F113" s="143">
        <f>VLOOKUP($A113,'Data shares'!$C:$FA,125)</f>
        <v>0.46</v>
      </c>
      <c r="G113" s="143">
        <f>VLOOKUP($A113,'Data shares'!$C:$FA,127)*100</f>
        <v>-26.090000000000003</v>
      </c>
      <c r="H113" s="103">
        <f>VLOOKUP($A113,'OI(Volume)'!$A$7:$O$445,8)</f>
        <v>69118200</v>
      </c>
      <c r="I113" s="103">
        <f>VLOOKUP($A113,'OI(Volume)'!$A$7:$O$445,9)</f>
        <v>18210150</v>
      </c>
      <c r="J113" s="103">
        <f>VLOOKUP($A113,'OI(Volume)'!$A$7:$O$445,11)</f>
        <v>46475950</v>
      </c>
      <c r="K113" s="103">
        <f>VLOOKUP($A113,'OI(Volume)'!$A$7:$O$445,12)</f>
        <v>9331850</v>
      </c>
      <c r="L113" s="103">
        <f>VLOOKUP($A113,'OI(Value)'!$A$7:$O$329,8,0)</f>
        <v>1691</v>
      </c>
      <c r="M113" s="103">
        <f>VLOOKUP($A113,'OI(Value)'!$A$7:$O$329,9,0)</f>
        <v>445</v>
      </c>
      <c r="N113" s="103">
        <f>VLOOKUP($A113,'OI(Value)'!$A$7:$O$329,11,0)</f>
        <v>1137</v>
      </c>
      <c r="O113" s="103">
        <f>VLOOKUP($A113,'OI(Value)'!$A$7:$O$329,12,0)</f>
        <v>228</v>
      </c>
      <c r="P113" s="179">
        <f>VLOOKUP(A113,'OI(Value)'!A113:O337,8,0)</f>
        <v>1691</v>
      </c>
      <c r="Q113" s="179">
        <f>VLOOKUP(A113,'OI(Value)'!A113:O337,9,0)</f>
        <v>445</v>
      </c>
      <c r="R113" s="179">
        <f>VLOOKUP(A113,'OI(Value)'!A113:O337,11,0)</f>
        <v>1137</v>
      </c>
      <c r="S113" s="179">
        <f>VLOOKUP(A113,'OI(Value)'!A113:O337,11,0)</f>
        <v>1137</v>
      </c>
    </row>
    <row r="114" spans="1:19" x14ac:dyDescent="0.25">
      <c r="A114" s="105" t="str">
        <f>'Data Vlaue (Cr)'!C109</f>
        <v>JSWENERGY</v>
      </c>
      <c r="B114" s="143">
        <f>VLOOKUP($A114,'Data shares'!$C:$FA,118)</f>
        <v>0.69</v>
      </c>
      <c r="C114" s="143">
        <f>VLOOKUP($A114,'Data shares'!$C:$FA,119)</f>
        <v>0.79</v>
      </c>
      <c r="D114" s="143">
        <f>VLOOKUP($A114,'Data shares'!$C:$FA,121)*100</f>
        <v>-12.659999999999998</v>
      </c>
      <c r="E114" s="143">
        <f>VLOOKUP($A114,'Data shares'!$C:$FA,124)</f>
        <v>0.53</v>
      </c>
      <c r="F114" s="143">
        <f>VLOOKUP($A114,'Data shares'!$C:$FA,125)</f>
        <v>0.57999999999999996</v>
      </c>
      <c r="G114" s="143">
        <f>VLOOKUP($A114,'Data shares'!$C:$FA,127)*100</f>
        <v>-8.6199999999999992</v>
      </c>
      <c r="H114" s="103">
        <f>VLOOKUP($A114,'OI(Volume)'!$A$7:$O$445,8)</f>
        <v>6911000</v>
      </c>
      <c r="I114" s="103">
        <f>VLOOKUP($A114,'OI(Volume)'!$A$7:$O$445,9)</f>
        <v>404000</v>
      </c>
      <c r="J114" s="103">
        <f>VLOOKUP($A114,'OI(Volume)'!$A$7:$O$445,11)</f>
        <v>4748000</v>
      </c>
      <c r="K114" s="103">
        <f>VLOOKUP($A114,'OI(Volume)'!$A$7:$O$445,12)</f>
        <v>-384000</v>
      </c>
      <c r="L114" s="103">
        <f>VLOOKUP($A114,'OI(Value)'!$A$7:$O$329,8,0)</f>
        <v>372</v>
      </c>
      <c r="M114" s="103">
        <f>VLOOKUP($A114,'OI(Value)'!$A$7:$O$329,9,0)</f>
        <v>22</v>
      </c>
      <c r="N114" s="103">
        <f>VLOOKUP($A114,'OI(Value)'!$A$7:$O$329,11,0)</f>
        <v>255</v>
      </c>
      <c r="O114" s="103">
        <f>VLOOKUP($A114,'OI(Value)'!$A$7:$O$329,12,0)</f>
        <v>-21</v>
      </c>
      <c r="P114" s="179">
        <f>VLOOKUP(A114,'OI(Value)'!A114:O338,8,0)</f>
        <v>372</v>
      </c>
      <c r="Q114" s="179">
        <f>VLOOKUP(A114,'OI(Value)'!A114:O338,9,0)</f>
        <v>22</v>
      </c>
      <c r="R114" s="179">
        <f>VLOOKUP(A114,'OI(Value)'!A114:O338,11,0)</f>
        <v>255</v>
      </c>
      <c r="S114" s="179">
        <f>VLOOKUP(A114,'OI(Value)'!A114:O338,11,0)</f>
        <v>255</v>
      </c>
    </row>
    <row r="115" spans="1:19" x14ac:dyDescent="0.25">
      <c r="A115" s="105" t="str">
        <f>'Data Vlaue (Cr)'!C110</f>
        <v>JSWSTEEL</v>
      </c>
      <c r="B115" s="143">
        <f>VLOOKUP($A115,'Data shares'!$C:$FA,118)</f>
        <v>0.96</v>
      </c>
      <c r="C115" s="143">
        <f>VLOOKUP($A115,'Data shares'!$C:$FA,119)</f>
        <v>0.82</v>
      </c>
      <c r="D115" s="143">
        <f>VLOOKUP($A115,'Data shares'!$C:$FA,121)*100</f>
        <v>17.07</v>
      </c>
      <c r="E115" s="143">
        <f>VLOOKUP($A115,'Data shares'!$C:$FA,124)</f>
        <v>0.5</v>
      </c>
      <c r="F115" s="143">
        <f>VLOOKUP($A115,'Data shares'!$C:$FA,125)</f>
        <v>0.47</v>
      </c>
      <c r="G115" s="143">
        <f>VLOOKUP($A115,'Data shares'!$C:$FA,127)*100</f>
        <v>6.38</v>
      </c>
      <c r="H115" s="103">
        <f>VLOOKUP($A115,'OI(Volume)'!$A$7:$O$445,8)</f>
        <v>5775300</v>
      </c>
      <c r="I115" s="103">
        <f>VLOOKUP($A115,'OI(Volume)'!$A$7:$O$445,9)</f>
        <v>-924075</v>
      </c>
      <c r="J115" s="103">
        <f>VLOOKUP($A115,'OI(Volume)'!$A$7:$O$445,11)</f>
        <v>5556600</v>
      </c>
      <c r="K115" s="103">
        <f>VLOOKUP($A115,'OI(Volume)'!$A$7:$O$445,12)</f>
        <v>75600</v>
      </c>
      <c r="L115" s="103">
        <f>VLOOKUP($A115,'OI(Value)'!$A$7:$O$329,8,0)</f>
        <v>716</v>
      </c>
      <c r="M115" s="103">
        <f>VLOOKUP($A115,'OI(Value)'!$A$7:$O$329,9,0)</f>
        <v>-115</v>
      </c>
      <c r="N115" s="103">
        <f>VLOOKUP($A115,'OI(Value)'!$A$7:$O$329,11,0)</f>
        <v>689</v>
      </c>
      <c r="O115" s="103">
        <f>VLOOKUP($A115,'OI(Value)'!$A$7:$O$329,12,0)</f>
        <v>9</v>
      </c>
      <c r="P115" s="179">
        <f>VLOOKUP(A115,'OI(Value)'!A115:O339,8,0)</f>
        <v>716</v>
      </c>
      <c r="Q115" s="179">
        <f>VLOOKUP(A115,'OI(Value)'!A115:O339,9,0)</f>
        <v>-115</v>
      </c>
      <c r="R115" s="179">
        <f>VLOOKUP(A115,'OI(Value)'!A115:O339,11,0)</f>
        <v>689</v>
      </c>
      <c r="S115" s="179">
        <f>VLOOKUP(A115,'OI(Value)'!A115:O339,11,0)</f>
        <v>689</v>
      </c>
    </row>
    <row r="116" spans="1:19" x14ac:dyDescent="0.25">
      <c r="A116" s="105" t="str">
        <f>'Data Vlaue (Cr)'!C111</f>
        <v>JUBLFOOD</v>
      </c>
      <c r="B116" s="143">
        <f>VLOOKUP($A116,'Data shares'!$C:$FA,118)</f>
        <v>0.64</v>
      </c>
      <c r="C116" s="143">
        <f>VLOOKUP($A116,'Data shares'!$C:$FA,119)</f>
        <v>0.66</v>
      </c>
      <c r="D116" s="143">
        <f>VLOOKUP($A116,'Data shares'!$C:$FA,121)*100</f>
        <v>-3.0300000000000002</v>
      </c>
      <c r="E116" s="143">
        <f>VLOOKUP($A116,'Data shares'!$C:$FA,124)</f>
        <v>0.39</v>
      </c>
      <c r="F116" s="143">
        <f>VLOOKUP($A116,'Data shares'!$C:$FA,125)</f>
        <v>0.39</v>
      </c>
      <c r="G116" s="143">
        <f>VLOOKUP($A116,'Data shares'!$C:$FA,127)*100</f>
        <v>0</v>
      </c>
      <c r="H116" s="103">
        <f>VLOOKUP($A116,'OI(Volume)'!$A$7:$O$445,8)</f>
        <v>15147500</v>
      </c>
      <c r="I116" s="103">
        <f>VLOOKUP($A116,'OI(Volume)'!$A$7:$O$445,9)</f>
        <v>1328750</v>
      </c>
      <c r="J116" s="103">
        <f>VLOOKUP($A116,'OI(Volume)'!$A$7:$O$445,11)</f>
        <v>9751250</v>
      </c>
      <c r="K116" s="103">
        <f>VLOOKUP($A116,'OI(Volume)'!$A$7:$O$445,12)</f>
        <v>687500</v>
      </c>
      <c r="L116" s="103">
        <f>VLOOKUP($A116,'OI(Value)'!$A$7:$O$329,8,0)</f>
        <v>695</v>
      </c>
      <c r="M116" s="103">
        <f>VLOOKUP($A116,'OI(Value)'!$A$7:$O$329,9,0)</f>
        <v>61</v>
      </c>
      <c r="N116" s="103">
        <f>VLOOKUP($A116,'OI(Value)'!$A$7:$O$329,11,0)</f>
        <v>447</v>
      </c>
      <c r="O116" s="103">
        <f>VLOOKUP($A116,'OI(Value)'!$A$7:$O$329,12,0)</f>
        <v>32</v>
      </c>
      <c r="P116" s="179">
        <f>VLOOKUP(A116,'OI(Value)'!A116:O340,8,0)</f>
        <v>695</v>
      </c>
      <c r="Q116" s="179">
        <f>VLOOKUP(A116,'OI(Value)'!A116:O340,9,0)</f>
        <v>61</v>
      </c>
      <c r="R116" s="179">
        <f>VLOOKUP(A116,'OI(Value)'!A116:O340,11,0)</f>
        <v>447</v>
      </c>
      <c r="S116" s="179">
        <f>VLOOKUP(A116,'OI(Value)'!A116:O340,11,0)</f>
        <v>447</v>
      </c>
    </row>
    <row r="117" spans="1:19" x14ac:dyDescent="0.25">
      <c r="A117" s="105" t="str">
        <f>'Data Vlaue (Cr)'!C112</f>
        <v>KALYANKJIL</v>
      </c>
      <c r="B117" s="143">
        <f>VLOOKUP($A117,'Data shares'!$C:$FA,118)</f>
        <v>0.53</v>
      </c>
      <c r="C117" s="143">
        <f>VLOOKUP($A117,'Data shares'!$C:$FA,119)</f>
        <v>0.8</v>
      </c>
      <c r="D117" s="143">
        <f>VLOOKUP($A117,'Data shares'!$C:$FA,121)*100</f>
        <v>-33.75</v>
      </c>
      <c r="E117" s="143">
        <f>VLOOKUP($A117,'Data shares'!$C:$FA,124)</f>
        <v>0.73</v>
      </c>
      <c r="F117" s="143">
        <f>VLOOKUP($A117,'Data shares'!$C:$FA,125)</f>
        <v>0.76</v>
      </c>
      <c r="G117" s="143">
        <f>VLOOKUP($A117,'Data shares'!$C:$FA,127)*100</f>
        <v>-3.95</v>
      </c>
      <c r="H117" s="103">
        <f>VLOOKUP($A117,'OI(Volume)'!$A$7:$O$445,8)</f>
        <v>13987200</v>
      </c>
      <c r="I117" s="103">
        <f>VLOOKUP($A117,'OI(Volume)'!$A$7:$O$445,9)</f>
        <v>6904300</v>
      </c>
      <c r="J117" s="103">
        <f>VLOOKUP($A117,'OI(Volume)'!$A$7:$O$445,11)</f>
        <v>7438925</v>
      </c>
      <c r="K117" s="103">
        <f>VLOOKUP($A117,'OI(Volume)'!$A$7:$O$445,12)</f>
        <v>1781300</v>
      </c>
      <c r="L117" s="103">
        <f>VLOOKUP($A117,'OI(Value)'!$A$7:$O$329,8,0)</f>
        <v>599</v>
      </c>
      <c r="M117" s="103">
        <f>VLOOKUP($A117,'OI(Value)'!$A$7:$O$329,9,0)</f>
        <v>295</v>
      </c>
      <c r="N117" s="103">
        <f>VLOOKUP($A117,'OI(Value)'!$A$7:$O$329,11,0)</f>
        <v>318</v>
      </c>
      <c r="O117" s="103">
        <f>VLOOKUP($A117,'OI(Value)'!$A$7:$O$329,12,0)</f>
        <v>76</v>
      </c>
      <c r="P117" s="179">
        <f>VLOOKUP(A117,'OI(Value)'!A117:O341,8,0)</f>
        <v>599</v>
      </c>
      <c r="Q117" s="179">
        <f>VLOOKUP(A117,'OI(Value)'!A117:O341,9,0)</f>
        <v>295</v>
      </c>
      <c r="R117" s="179">
        <f>VLOOKUP(A117,'OI(Value)'!A117:O341,11,0)</f>
        <v>318</v>
      </c>
      <c r="S117" s="179">
        <f>VLOOKUP(A117,'OI(Value)'!A117:O341,11,0)</f>
        <v>318</v>
      </c>
    </row>
    <row r="118" spans="1:19" x14ac:dyDescent="0.25">
      <c r="A118" s="105" t="str">
        <f>'Data Vlaue (Cr)'!C113</f>
        <v>KAYNES</v>
      </c>
      <c r="B118" s="143">
        <f>VLOOKUP($A118,'Data shares'!$C:$FA,118)</f>
        <v>0.8</v>
      </c>
      <c r="C118" s="143">
        <f>VLOOKUP($A118,'Data shares'!$C:$FA,119)</f>
        <v>0.84</v>
      </c>
      <c r="D118" s="143">
        <f>VLOOKUP($A118,'Data shares'!$C:$FA,121)*100</f>
        <v>-4.7600000000000007</v>
      </c>
      <c r="E118" s="143">
        <f>VLOOKUP($A118,'Data shares'!$C:$FA,124)</f>
        <v>0.65</v>
      </c>
      <c r="F118" s="143">
        <f>VLOOKUP($A118,'Data shares'!$C:$FA,125)</f>
        <v>0.45</v>
      </c>
      <c r="G118" s="143">
        <f>VLOOKUP($A118,'Data shares'!$C:$FA,127)*100</f>
        <v>44.440000000000005</v>
      </c>
      <c r="H118" s="103">
        <f>VLOOKUP($A118,'OI(Volume)'!$A$7:$O$445,8)</f>
        <v>1513300</v>
      </c>
      <c r="I118" s="103">
        <f>VLOOKUP($A118,'OI(Volume)'!$A$7:$O$445,9)</f>
        <v>68400</v>
      </c>
      <c r="J118" s="103">
        <f>VLOOKUP($A118,'OI(Volume)'!$A$7:$O$445,11)</f>
        <v>1208000</v>
      </c>
      <c r="K118" s="103">
        <f>VLOOKUP($A118,'OI(Volume)'!$A$7:$O$445,12)</f>
        <v>-8600</v>
      </c>
      <c r="L118" s="103">
        <f>VLOOKUP($A118,'OI(Value)'!$A$7:$O$329,8,0)</f>
        <v>637</v>
      </c>
      <c r="M118" s="103">
        <f>VLOOKUP($A118,'OI(Value)'!$A$7:$O$329,9,0)</f>
        <v>29</v>
      </c>
      <c r="N118" s="103">
        <f>VLOOKUP($A118,'OI(Value)'!$A$7:$O$329,11,0)</f>
        <v>508</v>
      </c>
      <c r="O118" s="103">
        <f>VLOOKUP($A118,'OI(Value)'!$A$7:$O$329,12,0)</f>
        <v>-4</v>
      </c>
      <c r="P118" s="179">
        <f>VLOOKUP(A118,'OI(Value)'!A118:O342,8,0)</f>
        <v>637</v>
      </c>
      <c r="Q118" s="179">
        <f>VLOOKUP(A118,'OI(Value)'!A118:O342,9,0)</f>
        <v>29</v>
      </c>
      <c r="R118" s="179">
        <f>VLOOKUP(A118,'OI(Value)'!A118:O342,11,0)</f>
        <v>508</v>
      </c>
      <c r="S118" s="179">
        <f>VLOOKUP(A118,'OI(Value)'!A118:O342,11,0)</f>
        <v>508</v>
      </c>
    </row>
    <row r="119" spans="1:19" x14ac:dyDescent="0.25">
      <c r="A119" s="105" t="str">
        <f>'Data Vlaue (Cr)'!C114</f>
        <v>KEI</v>
      </c>
      <c r="B119" s="143">
        <f>VLOOKUP($A119,'Data shares'!$C:$FA,118)</f>
        <v>0.7</v>
      </c>
      <c r="C119" s="143">
        <f>VLOOKUP($A119,'Data shares'!$C:$FA,119)</f>
        <v>0.72</v>
      </c>
      <c r="D119" s="143">
        <f>VLOOKUP($A119,'Data shares'!$C:$FA,121)*100</f>
        <v>-2.78</v>
      </c>
      <c r="E119" s="143">
        <f>VLOOKUP($A119,'Data shares'!$C:$FA,124)</f>
        <v>0.28000000000000003</v>
      </c>
      <c r="F119" s="143">
        <f>VLOOKUP($A119,'Data shares'!$C:$FA,125)</f>
        <v>0.21</v>
      </c>
      <c r="G119" s="143">
        <f>VLOOKUP($A119,'Data shares'!$C:$FA,127)*100</f>
        <v>33.33</v>
      </c>
      <c r="H119" s="103">
        <f>VLOOKUP($A119,'OI(Volume)'!$A$7:$O$445,8)</f>
        <v>694575</v>
      </c>
      <c r="I119" s="103">
        <f>VLOOKUP($A119,'OI(Volume)'!$A$7:$O$445,9)</f>
        <v>59150</v>
      </c>
      <c r="J119" s="103">
        <f>VLOOKUP($A119,'OI(Volume)'!$A$7:$O$445,11)</f>
        <v>483875</v>
      </c>
      <c r="K119" s="103">
        <f>VLOOKUP($A119,'OI(Volume)'!$A$7:$O$445,12)</f>
        <v>25200</v>
      </c>
      <c r="L119" s="103">
        <f>VLOOKUP($A119,'OI(Value)'!$A$7:$O$329,8,0)</f>
        <v>335</v>
      </c>
      <c r="M119" s="103">
        <f>VLOOKUP($A119,'OI(Value)'!$A$7:$O$329,9,0)</f>
        <v>29</v>
      </c>
      <c r="N119" s="103">
        <f>VLOOKUP($A119,'OI(Value)'!$A$7:$O$329,11,0)</f>
        <v>233</v>
      </c>
      <c r="O119" s="103">
        <f>VLOOKUP($A119,'OI(Value)'!$A$7:$O$329,12,0)</f>
        <v>12</v>
      </c>
      <c r="P119" s="179">
        <f>VLOOKUP(A119,'OI(Value)'!A119:O343,8,0)</f>
        <v>335</v>
      </c>
      <c r="Q119" s="179">
        <f>VLOOKUP(A119,'OI(Value)'!A119:O343,9,0)</f>
        <v>29</v>
      </c>
      <c r="R119" s="179">
        <f>VLOOKUP(A119,'OI(Value)'!A119:O343,11,0)</f>
        <v>233</v>
      </c>
      <c r="S119" s="179">
        <f>VLOOKUP(A119,'OI(Value)'!A119:O343,11,0)</f>
        <v>233</v>
      </c>
    </row>
    <row r="120" spans="1:19" x14ac:dyDescent="0.25">
      <c r="A120" s="105" t="str">
        <f>'Data Vlaue (Cr)'!C115</f>
        <v>KFINTECH</v>
      </c>
      <c r="B120" s="143">
        <f>VLOOKUP($A120,'Data shares'!$C:$FA,118)</f>
        <v>0.5</v>
      </c>
      <c r="C120" s="143">
        <f>VLOOKUP($A120,'Data shares'!$C:$FA,119)</f>
        <v>0.51</v>
      </c>
      <c r="D120" s="143">
        <f>VLOOKUP($A120,'Data shares'!$C:$FA,121)*100</f>
        <v>-1.96</v>
      </c>
      <c r="E120" s="143">
        <f>VLOOKUP($A120,'Data shares'!$C:$FA,124)</f>
        <v>0.26</v>
      </c>
      <c r="F120" s="143">
        <f>VLOOKUP($A120,'Data shares'!$C:$FA,125)</f>
        <v>0.2</v>
      </c>
      <c r="G120" s="143">
        <f>VLOOKUP($A120,'Data shares'!$C:$FA,127)*100</f>
        <v>30</v>
      </c>
      <c r="H120" s="103">
        <f>VLOOKUP($A120,'OI(Volume)'!$A$7:$O$445,8)</f>
        <v>2499000</v>
      </c>
      <c r="I120" s="103">
        <f>VLOOKUP($A120,'OI(Volume)'!$A$7:$O$445,9)</f>
        <v>608000</v>
      </c>
      <c r="J120" s="103">
        <f>VLOOKUP($A120,'OI(Volume)'!$A$7:$O$445,11)</f>
        <v>1249000</v>
      </c>
      <c r="K120" s="103">
        <f>VLOOKUP($A120,'OI(Volume)'!$A$7:$O$445,12)</f>
        <v>279000</v>
      </c>
      <c r="L120" s="103">
        <f>VLOOKUP($A120,'OI(Value)'!$A$7:$O$329,8,0)</f>
        <v>244</v>
      </c>
      <c r="M120" s="103">
        <f>VLOOKUP($A120,'OI(Value)'!$A$7:$O$329,9,0)</f>
        <v>59</v>
      </c>
      <c r="N120" s="103">
        <f>VLOOKUP($A120,'OI(Value)'!$A$7:$O$329,11,0)</f>
        <v>122</v>
      </c>
      <c r="O120" s="103">
        <f>VLOOKUP($A120,'OI(Value)'!$A$7:$O$329,12,0)</f>
        <v>27</v>
      </c>
      <c r="P120" s="179">
        <f>VLOOKUP(A120,'OI(Value)'!A120:O344,8,0)</f>
        <v>244</v>
      </c>
      <c r="Q120" s="179">
        <f>VLOOKUP(A120,'OI(Value)'!A120:O344,9,0)</f>
        <v>59</v>
      </c>
      <c r="R120" s="179">
        <f>VLOOKUP(A120,'OI(Value)'!A120:O344,11,0)</f>
        <v>122</v>
      </c>
      <c r="S120" s="179">
        <f>VLOOKUP(A120,'OI(Value)'!A120:O344,11,0)</f>
        <v>122</v>
      </c>
    </row>
    <row r="121" spans="1:19" x14ac:dyDescent="0.25">
      <c r="A121" s="105" t="str">
        <f>'Data Vlaue (Cr)'!C116</f>
        <v>KOTAKBANK</v>
      </c>
      <c r="B121" s="143">
        <f>VLOOKUP($A121,'Data shares'!$C:$FA,118)</f>
        <v>0.9</v>
      </c>
      <c r="C121" s="143">
        <f>VLOOKUP($A121,'Data shares'!$C:$FA,119)</f>
        <v>0.84</v>
      </c>
      <c r="D121" s="143">
        <f>VLOOKUP($A121,'Data shares'!$C:$FA,121)*100</f>
        <v>7.1400000000000006</v>
      </c>
      <c r="E121" s="143">
        <f>VLOOKUP($A121,'Data shares'!$C:$FA,124)</f>
        <v>0.61</v>
      </c>
      <c r="F121" s="143">
        <f>VLOOKUP($A121,'Data shares'!$C:$FA,125)</f>
        <v>0.53</v>
      </c>
      <c r="G121" s="143">
        <f>VLOOKUP($A121,'Data shares'!$C:$FA,127)*100</f>
        <v>15.09</v>
      </c>
      <c r="H121" s="103">
        <f>VLOOKUP($A121,'OI(Volume)'!$A$7:$O$445,8)</f>
        <v>30824000</v>
      </c>
      <c r="I121" s="103">
        <f>VLOOKUP($A121,'OI(Volume)'!$A$7:$O$445,9)</f>
        <v>-1126000</v>
      </c>
      <c r="J121" s="103">
        <f>VLOOKUP($A121,'OI(Volume)'!$A$7:$O$445,11)</f>
        <v>27720000</v>
      </c>
      <c r="K121" s="103">
        <f>VLOOKUP($A121,'OI(Volume)'!$A$7:$O$445,12)</f>
        <v>920000</v>
      </c>
      <c r="L121" s="103">
        <f>VLOOKUP($A121,'OI(Value)'!$A$7:$O$329,8,0)</f>
        <v>1182</v>
      </c>
      <c r="M121" s="103">
        <f>VLOOKUP($A121,'OI(Value)'!$A$7:$O$329,9,0)</f>
        <v>-43</v>
      </c>
      <c r="N121" s="103">
        <f>VLOOKUP($A121,'OI(Value)'!$A$7:$O$329,11,0)</f>
        <v>1063</v>
      </c>
      <c r="O121" s="103">
        <f>VLOOKUP($A121,'OI(Value)'!$A$7:$O$329,12,0)</f>
        <v>35</v>
      </c>
      <c r="P121" s="179">
        <f>VLOOKUP(A121,'OI(Value)'!A121:O345,8,0)</f>
        <v>1182</v>
      </c>
      <c r="Q121" s="179">
        <f>VLOOKUP(A121,'OI(Value)'!A121:O345,9,0)</f>
        <v>-43</v>
      </c>
      <c r="R121" s="179">
        <f>VLOOKUP(A121,'OI(Value)'!A121:O345,11,0)</f>
        <v>1063</v>
      </c>
      <c r="S121" s="179">
        <f>VLOOKUP(A121,'OI(Value)'!A121:O345,11,0)</f>
        <v>1063</v>
      </c>
    </row>
    <row r="122" spans="1:19" x14ac:dyDescent="0.25">
      <c r="A122" s="105" t="str">
        <f>'Data Vlaue (Cr)'!C117</f>
        <v>KPITTECH</v>
      </c>
      <c r="B122" s="143">
        <f>VLOOKUP($A122,'Data shares'!$C:$FA,118)</f>
        <v>0.64</v>
      </c>
      <c r="C122" s="143">
        <f>VLOOKUP($A122,'Data shares'!$C:$FA,119)</f>
        <v>0.64</v>
      </c>
      <c r="D122" s="143">
        <f>VLOOKUP($A122,'Data shares'!$C:$FA,121)*100</f>
        <v>0</v>
      </c>
      <c r="E122" s="143">
        <f>VLOOKUP($A122,'Data shares'!$C:$FA,124)</f>
        <v>0.42</v>
      </c>
      <c r="F122" s="143">
        <f>VLOOKUP($A122,'Data shares'!$C:$FA,125)</f>
        <v>0.34</v>
      </c>
      <c r="G122" s="143">
        <f>VLOOKUP($A122,'Data shares'!$C:$FA,127)*100</f>
        <v>23.53</v>
      </c>
      <c r="H122" s="103">
        <f>VLOOKUP($A122,'OI(Volume)'!$A$7:$O$445,8)</f>
        <v>3639700</v>
      </c>
      <c r="I122" s="103">
        <f>VLOOKUP($A122,'OI(Volume)'!$A$7:$O$445,9)</f>
        <v>248625</v>
      </c>
      <c r="J122" s="103">
        <f>VLOOKUP($A122,'OI(Volume)'!$A$7:$O$445,11)</f>
        <v>2312000</v>
      </c>
      <c r="K122" s="103">
        <f>VLOOKUP($A122,'OI(Volume)'!$A$7:$O$445,12)</f>
        <v>134725</v>
      </c>
      <c r="L122" s="103">
        <f>VLOOKUP($A122,'OI(Value)'!$A$7:$O$329,8,0)</f>
        <v>272</v>
      </c>
      <c r="M122" s="103">
        <f>VLOOKUP($A122,'OI(Value)'!$A$7:$O$329,9,0)</f>
        <v>19</v>
      </c>
      <c r="N122" s="103">
        <f>VLOOKUP($A122,'OI(Value)'!$A$7:$O$329,11,0)</f>
        <v>173</v>
      </c>
      <c r="O122" s="103">
        <f>VLOOKUP($A122,'OI(Value)'!$A$7:$O$329,12,0)</f>
        <v>10</v>
      </c>
      <c r="P122" s="179">
        <f>VLOOKUP(A122,'OI(Value)'!A122:O346,8,0)</f>
        <v>272</v>
      </c>
      <c r="Q122" s="179">
        <f>VLOOKUP(A122,'OI(Value)'!A122:O346,9,0)</f>
        <v>19</v>
      </c>
      <c r="R122" s="179">
        <f>VLOOKUP(A122,'OI(Value)'!A122:O346,11,0)</f>
        <v>173</v>
      </c>
      <c r="S122" s="179">
        <f>VLOOKUP(A122,'OI(Value)'!A122:O346,11,0)</f>
        <v>173</v>
      </c>
    </row>
    <row r="123" spans="1:19" x14ac:dyDescent="0.25">
      <c r="A123" s="105" t="str">
        <f>'Data Vlaue (Cr)'!C118</f>
        <v>LAURUSLABS</v>
      </c>
      <c r="B123" s="143">
        <f>VLOOKUP($A123,'Data shares'!$C:$FA,118)</f>
        <v>0.88</v>
      </c>
      <c r="C123" s="143">
        <f>VLOOKUP($A123,'Data shares'!$C:$FA,119)</f>
        <v>0.88</v>
      </c>
      <c r="D123" s="143">
        <f>VLOOKUP($A123,'Data shares'!$C:$FA,121)*100</f>
        <v>0</v>
      </c>
      <c r="E123" s="143">
        <f>VLOOKUP($A123,'Data shares'!$C:$FA,124)</f>
        <v>0.55000000000000004</v>
      </c>
      <c r="F123" s="143">
        <f>VLOOKUP($A123,'Data shares'!$C:$FA,125)</f>
        <v>0.59</v>
      </c>
      <c r="G123" s="143">
        <f>VLOOKUP($A123,'Data shares'!$C:$FA,127)*100</f>
        <v>-6.78</v>
      </c>
      <c r="H123" s="103">
        <f>VLOOKUP($A123,'OI(Volume)'!$A$7:$O$445,8)</f>
        <v>5406000</v>
      </c>
      <c r="I123" s="103">
        <f>VLOOKUP($A123,'OI(Volume)'!$A$7:$O$445,9)</f>
        <v>148750</v>
      </c>
      <c r="J123" s="103">
        <f>VLOOKUP($A123,'OI(Volume)'!$A$7:$O$445,11)</f>
        <v>4783800</v>
      </c>
      <c r="K123" s="103">
        <f>VLOOKUP($A123,'OI(Volume)'!$A$7:$O$445,12)</f>
        <v>134300</v>
      </c>
      <c r="L123" s="103">
        <f>VLOOKUP($A123,'OI(Value)'!$A$7:$O$329,8,0)</f>
        <v>615</v>
      </c>
      <c r="M123" s="103">
        <f>VLOOKUP($A123,'OI(Value)'!$A$7:$O$329,9,0)</f>
        <v>17</v>
      </c>
      <c r="N123" s="103">
        <f>VLOOKUP($A123,'OI(Value)'!$A$7:$O$329,11,0)</f>
        <v>544</v>
      </c>
      <c r="O123" s="103">
        <f>VLOOKUP($A123,'OI(Value)'!$A$7:$O$329,12,0)</f>
        <v>15</v>
      </c>
      <c r="P123" s="179">
        <f>VLOOKUP(A123,'OI(Value)'!A123:O347,8,0)</f>
        <v>615</v>
      </c>
      <c r="Q123" s="179">
        <f>VLOOKUP(A123,'OI(Value)'!A123:O347,9,0)</f>
        <v>17</v>
      </c>
      <c r="R123" s="179">
        <f>VLOOKUP(A123,'OI(Value)'!A123:O347,11,0)</f>
        <v>544</v>
      </c>
      <c r="S123" s="179">
        <f>VLOOKUP(A123,'OI(Value)'!A123:O347,11,0)</f>
        <v>544</v>
      </c>
    </row>
    <row r="124" spans="1:19" x14ac:dyDescent="0.25">
      <c r="A124" s="105" t="str">
        <f>'Data Vlaue (Cr)'!C119</f>
        <v>LICHSGFIN</v>
      </c>
      <c r="B124" s="143">
        <f>VLOOKUP($A124,'Data shares'!$C:$FA,118)</f>
        <v>0.97</v>
      </c>
      <c r="C124" s="143">
        <f>VLOOKUP($A124,'Data shares'!$C:$FA,119)</f>
        <v>0.94</v>
      </c>
      <c r="D124" s="143">
        <f>VLOOKUP($A124,'Data shares'!$C:$FA,121)*100</f>
        <v>3.19</v>
      </c>
      <c r="E124" s="143">
        <f>VLOOKUP($A124,'Data shares'!$C:$FA,124)</f>
        <v>0.34</v>
      </c>
      <c r="F124" s="143">
        <f>VLOOKUP($A124,'Data shares'!$C:$FA,125)</f>
        <v>0.36</v>
      </c>
      <c r="G124" s="143">
        <f>VLOOKUP($A124,'Data shares'!$C:$FA,127)*100</f>
        <v>-5.56</v>
      </c>
      <c r="H124" s="103">
        <f>VLOOKUP($A124,'OI(Volume)'!$A$7:$O$445,8)</f>
        <v>5866000</v>
      </c>
      <c r="I124" s="103">
        <f>VLOOKUP($A124,'OI(Volume)'!$A$7:$O$445,9)</f>
        <v>40000</v>
      </c>
      <c r="J124" s="103">
        <f>VLOOKUP($A124,'OI(Volume)'!$A$7:$O$445,11)</f>
        <v>5700000</v>
      </c>
      <c r="K124" s="103">
        <f>VLOOKUP($A124,'OI(Volume)'!$A$7:$O$445,12)</f>
        <v>197000</v>
      </c>
      <c r="L124" s="103">
        <f>VLOOKUP($A124,'OI(Value)'!$A$7:$O$329,8,0)</f>
        <v>317</v>
      </c>
      <c r="M124" s="103">
        <f>VLOOKUP($A124,'OI(Value)'!$A$7:$O$329,9,0)</f>
        <v>2</v>
      </c>
      <c r="N124" s="103">
        <f>VLOOKUP($A124,'OI(Value)'!$A$7:$O$329,11,0)</f>
        <v>308</v>
      </c>
      <c r="O124" s="103">
        <f>VLOOKUP($A124,'OI(Value)'!$A$7:$O$329,12,0)</f>
        <v>11</v>
      </c>
      <c r="P124" s="179">
        <f>VLOOKUP(A124,'OI(Value)'!A124:O348,8,0)</f>
        <v>317</v>
      </c>
      <c r="Q124" s="179">
        <f>VLOOKUP(A124,'OI(Value)'!A124:O348,9,0)</f>
        <v>2</v>
      </c>
      <c r="R124" s="179">
        <f>VLOOKUP(A124,'OI(Value)'!A124:O348,11,0)</f>
        <v>308</v>
      </c>
      <c r="S124" s="179">
        <f>VLOOKUP(A124,'OI(Value)'!A124:O348,11,0)</f>
        <v>308</v>
      </c>
    </row>
    <row r="125" spans="1:19" x14ac:dyDescent="0.25">
      <c r="A125" s="105" t="str">
        <f>'Data Vlaue (Cr)'!C120</f>
        <v>LICI</v>
      </c>
      <c r="B125" s="143">
        <f>VLOOKUP($A125,'Data shares'!$C:$FA,118)</f>
        <v>0.59</v>
      </c>
      <c r="C125" s="143">
        <f>VLOOKUP($A125,'Data shares'!$C:$FA,119)</f>
        <v>0.63</v>
      </c>
      <c r="D125" s="143">
        <f>VLOOKUP($A125,'Data shares'!$C:$FA,121)*100</f>
        <v>-6.35</v>
      </c>
      <c r="E125" s="143">
        <f>VLOOKUP($A125,'Data shares'!$C:$FA,124)</f>
        <v>0.47</v>
      </c>
      <c r="F125" s="143">
        <f>VLOOKUP($A125,'Data shares'!$C:$FA,125)</f>
        <v>0.37</v>
      </c>
      <c r="G125" s="143">
        <f>VLOOKUP($A125,'Data shares'!$C:$FA,127)*100</f>
        <v>27.029999999999998</v>
      </c>
      <c r="H125" s="103">
        <f>VLOOKUP($A125,'OI(Volume)'!$A$7:$O$445,8)</f>
        <v>7314300</v>
      </c>
      <c r="I125" s="103">
        <f>VLOOKUP($A125,'OI(Volume)'!$A$7:$O$445,9)</f>
        <v>1055600</v>
      </c>
      <c r="J125" s="103">
        <f>VLOOKUP($A125,'OI(Volume)'!$A$7:$O$445,11)</f>
        <v>4316200</v>
      </c>
      <c r="K125" s="103">
        <f>VLOOKUP($A125,'OI(Volume)'!$A$7:$O$445,12)</f>
        <v>345800</v>
      </c>
      <c r="L125" s="103">
        <f>VLOOKUP($A125,'OI(Value)'!$A$7:$O$329,8,0)</f>
        <v>617</v>
      </c>
      <c r="M125" s="103">
        <f>VLOOKUP($A125,'OI(Value)'!$A$7:$O$329,9,0)</f>
        <v>89</v>
      </c>
      <c r="N125" s="103">
        <f>VLOOKUP($A125,'OI(Value)'!$A$7:$O$329,11,0)</f>
        <v>364</v>
      </c>
      <c r="O125" s="103">
        <f>VLOOKUP($A125,'OI(Value)'!$A$7:$O$329,12,0)</f>
        <v>29</v>
      </c>
      <c r="P125" s="179">
        <f>VLOOKUP(A125,'OI(Value)'!A125:O349,8,0)</f>
        <v>617</v>
      </c>
      <c r="Q125" s="179">
        <f>VLOOKUP(A125,'OI(Value)'!A125:O349,9,0)</f>
        <v>89</v>
      </c>
      <c r="R125" s="179">
        <f>VLOOKUP(A125,'OI(Value)'!A125:O349,11,0)</f>
        <v>364</v>
      </c>
      <c r="S125" s="179">
        <f>VLOOKUP(A125,'OI(Value)'!A125:O349,11,0)</f>
        <v>364</v>
      </c>
    </row>
    <row r="126" spans="1:19" x14ac:dyDescent="0.25">
      <c r="A126" s="105" t="str">
        <f>'Data Vlaue (Cr)'!C121</f>
        <v>LODHA</v>
      </c>
      <c r="B126" s="143">
        <f>VLOOKUP($A126,'Data shares'!$C:$FA,118)</f>
        <v>0.84</v>
      </c>
      <c r="C126" s="143">
        <f>VLOOKUP($A126,'Data shares'!$C:$FA,119)</f>
        <v>0.93</v>
      </c>
      <c r="D126" s="143">
        <f>VLOOKUP($A126,'Data shares'!$C:$FA,121)*100</f>
        <v>-9.68</v>
      </c>
      <c r="E126" s="143">
        <f>VLOOKUP($A126,'Data shares'!$C:$FA,124)</f>
        <v>0.82</v>
      </c>
      <c r="F126" s="143">
        <f>VLOOKUP($A126,'Data shares'!$C:$FA,125)</f>
        <v>0.78</v>
      </c>
      <c r="G126" s="143">
        <f>VLOOKUP($A126,'Data shares'!$C:$FA,127)*100</f>
        <v>5.13</v>
      </c>
      <c r="H126" s="103">
        <f>VLOOKUP($A126,'OI(Volume)'!$A$7:$O$445,8)</f>
        <v>6134850</v>
      </c>
      <c r="I126" s="103">
        <f>VLOOKUP($A126,'OI(Volume)'!$A$7:$O$445,9)</f>
        <v>127350</v>
      </c>
      <c r="J126" s="103">
        <f>VLOOKUP($A126,'OI(Volume)'!$A$7:$O$445,11)</f>
        <v>5165550</v>
      </c>
      <c r="K126" s="103">
        <f>VLOOKUP($A126,'OI(Volume)'!$A$7:$O$445,12)</f>
        <v>-419400</v>
      </c>
      <c r="L126" s="103">
        <f>VLOOKUP($A126,'OI(Value)'!$A$7:$O$329,8,0)</f>
        <v>535</v>
      </c>
      <c r="M126" s="103">
        <f>VLOOKUP($A126,'OI(Value)'!$A$7:$O$329,9,0)</f>
        <v>11</v>
      </c>
      <c r="N126" s="103">
        <f>VLOOKUP($A126,'OI(Value)'!$A$7:$O$329,11,0)</f>
        <v>451</v>
      </c>
      <c r="O126" s="103">
        <f>VLOOKUP($A126,'OI(Value)'!$A$7:$O$329,12,0)</f>
        <v>-37</v>
      </c>
      <c r="P126" s="179">
        <f>VLOOKUP(A126,'OI(Value)'!A126:O350,8,0)</f>
        <v>535</v>
      </c>
      <c r="Q126" s="179">
        <f>VLOOKUP(A126,'OI(Value)'!A126:O350,9,0)</f>
        <v>11</v>
      </c>
      <c r="R126" s="179">
        <f>VLOOKUP(A126,'OI(Value)'!A126:O350,11,0)</f>
        <v>451</v>
      </c>
      <c r="S126" s="179">
        <f>VLOOKUP(A126,'OI(Value)'!A126:O350,11,0)</f>
        <v>451</v>
      </c>
    </row>
    <row r="127" spans="1:19" x14ac:dyDescent="0.25">
      <c r="A127" s="105" t="str">
        <f>'Data Vlaue (Cr)'!C122</f>
        <v>LT</v>
      </c>
      <c r="B127" s="143">
        <f>VLOOKUP($A127,'Data shares'!$C:$FA,118)</f>
        <v>0.89</v>
      </c>
      <c r="C127" s="143">
        <f>VLOOKUP($A127,'Data shares'!$C:$FA,119)</f>
        <v>0.87</v>
      </c>
      <c r="D127" s="143">
        <f>VLOOKUP($A127,'Data shares'!$C:$FA,121)*100</f>
        <v>2.2999999999999998</v>
      </c>
      <c r="E127" s="143">
        <f>VLOOKUP($A127,'Data shares'!$C:$FA,124)</f>
        <v>0.9</v>
      </c>
      <c r="F127" s="143">
        <f>VLOOKUP($A127,'Data shares'!$C:$FA,125)</f>
        <v>0.59</v>
      </c>
      <c r="G127" s="143">
        <f>VLOOKUP($A127,'Data shares'!$C:$FA,127)*100</f>
        <v>52.54</v>
      </c>
      <c r="H127" s="103">
        <f>VLOOKUP($A127,'OI(Volume)'!$A$7:$O$445,8)</f>
        <v>9248225</v>
      </c>
      <c r="I127" s="103">
        <f>VLOOKUP($A127,'OI(Volume)'!$A$7:$O$445,9)</f>
        <v>54425</v>
      </c>
      <c r="J127" s="103">
        <f>VLOOKUP($A127,'OI(Volume)'!$A$7:$O$445,11)</f>
        <v>8221150</v>
      </c>
      <c r="K127" s="103">
        <f>VLOOKUP($A127,'OI(Volume)'!$A$7:$O$445,12)</f>
        <v>215600</v>
      </c>
      <c r="L127" s="103">
        <f>VLOOKUP($A127,'OI(Value)'!$A$7:$O$329,8,0)</f>
        <v>3798</v>
      </c>
      <c r="M127" s="103">
        <f>VLOOKUP($A127,'OI(Value)'!$A$7:$O$329,9,0)</f>
        <v>22</v>
      </c>
      <c r="N127" s="103">
        <f>VLOOKUP($A127,'OI(Value)'!$A$7:$O$329,11,0)</f>
        <v>3376</v>
      </c>
      <c r="O127" s="103">
        <f>VLOOKUP($A127,'OI(Value)'!$A$7:$O$329,12,0)</f>
        <v>89</v>
      </c>
      <c r="P127" s="179">
        <f>VLOOKUP(A127,'OI(Value)'!A127:O351,8,0)</f>
        <v>3798</v>
      </c>
      <c r="Q127" s="179">
        <f>VLOOKUP(A127,'OI(Value)'!A127:O351,9,0)</f>
        <v>22</v>
      </c>
      <c r="R127" s="179">
        <f>VLOOKUP(A127,'OI(Value)'!A127:O351,11,0)</f>
        <v>3376</v>
      </c>
      <c r="S127" s="179">
        <f>VLOOKUP(A127,'OI(Value)'!A127:O351,11,0)</f>
        <v>3376</v>
      </c>
    </row>
    <row r="128" spans="1:19" x14ac:dyDescent="0.25">
      <c r="A128" s="105" t="str">
        <f>'Data Vlaue (Cr)'!C123</f>
        <v>LTF</v>
      </c>
      <c r="B128" s="143">
        <f>VLOOKUP($A128,'Data shares'!$C:$FA,118)</f>
        <v>0.87</v>
      </c>
      <c r="C128" s="143">
        <f>VLOOKUP($A128,'Data shares'!$C:$FA,119)</f>
        <v>0.78</v>
      </c>
      <c r="D128" s="143">
        <f>VLOOKUP($A128,'Data shares'!$C:$FA,121)*100</f>
        <v>11.540000000000001</v>
      </c>
      <c r="E128" s="143">
        <f>VLOOKUP($A128,'Data shares'!$C:$FA,124)</f>
        <v>0.61</v>
      </c>
      <c r="F128" s="143">
        <f>VLOOKUP($A128,'Data shares'!$C:$FA,125)</f>
        <v>0.34</v>
      </c>
      <c r="G128" s="143">
        <f>VLOOKUP($A128,'Data shares'!$C:$FA,127)*100</f>
        <v>79.41</v>
      </c>
      <c r="H128" s="103">
        <f>VLOOKUP($A128,'OI(Volume)'!$A$7:$O$445,8)</f>
        <v>18911250</v>
      </c>
      <c r="I128" s="103">
        <f>VLOOKUP($A128,'OI(Volume)'!$A$7:$O$445,9)</f>
        <v>-769500</v>
      </c>
      <c r="J128" s="103">
        <f>VLOOKUP($A128,'OI(Volume)'!$A$7:$O$445,11)</f>
        <v>16436250</v>
      </c>
      <c r="K128" s="103">
        <f>VLOOKUP($A128,'OI(Volume)'!$A$7:$O$445,12)</f>
        <v>1037250</v>
      </c>
      <c r="L128" s="103">
        <f>VLOOKUP($A128,'OI(Value)'!$A$7:$O$329,8,0)</f>
        <v>543</v>
      </c>
      <c r="M128" s="103">
        <f>VLOOKUP($A128,'OI(Value)'!$A$7:$O$329,9,0)</f>
        <v>-22</v>
      </c>
      <c r="N128" s="103">
        <f>VLOOKUP($A128,'OI(Value)'!$A$7:$O$329,11,0)</f>
        <v>472</v>
      </c>
      <c r="O128" s="103">
        <f>VLOOKUP($A128,'OI(Value)'!$A$7:$O$329,12,0)</f>
        <v>30</v>
      </c>
      <c r="P128" s="179">
        <f>VLOOKUP(A128,'OI(Value)'!A128:O352,8,0)</f>
        <v>543</v>
      </c>
      <c r="Q128" s="179">
        <f>VLOOKUP(A128,'OI(Value)'!A128:O352,9,0)</f>
        <v>-22</v>
      </c>
      <c r="R128" s="179">
        <f>VLOOKUP(A128,'OI(Value)'!A128:O352,11,0)</f>
        <v>472</v>
      </c>
      <c r="S128" s="179">
        <f>VLOOKUP(A128,'OI(Value)'!A128:O352,11,0)</f>
        <v>472</v>
      </c>
    </row>
    <row r="129" spans="1:19" x14ac:dyDescent="0.25">
      <c r="A129" s="105" t="str">
        <f>'Data Vlaue (Cr)'!C124</f>
        <v>LTM</v>
      </c>
      <c r="B129" s="143">
        <f>VLOOKUP($A129,'Data shares'!$C:$FA,118)</f>
        <v>0.87</v>
      </c>
      <c r="C129" s="143">
        <f>VLOOKUP($A129,'Data shares'!$C:$FA,119)</f>
        <v>0.77</v>
      </c>
      <c r="D129" s="143">
        <f>VLOOKUP($A129,'Data shares'!$C:$FA,121)*100</f>
        <v>12.989999999999998</v>
      </c>
      <c r="E129" s="143">
        <f>VLOOKUP($A129,'Data shares'!$C:$FA,124)</f>
        <v>0.5</v>
      </c>
      <c r="F129" s="143">
        <f>VLOOKUP($A129,'Data shares'!$C:$FA,125)</f>
        <v>0.28000000000000003</v>
      </c>
      <c r="G129" s="143">
        <f>VLOOKUP($A129,'Data shares'!$C:$FA,127)*100</f>
        <v>78.569999999999993</v>
      </c>
      <c r="H129" s="103">
        <f>VLOOKUP($A129,'OI(Volume)'!$A$7:$O$445,8)</f>
        <v>1049550</v>
      </c>
      <c r="I129" s="103">
        <f>VLOOKUP($A129,'OI(Volume)'!$A$7:$O$445,9)</f>
        <v>-89400</v>
      </c>
      <c r="J129" s="103">
        <f>VLOOKUP($A129,'OI(Volume)'!$A$7:$O$445,11)</f>
        <v>910800</v>
      </c>
      <c r="K129" s="103">
        <f>VLOOKUP($A129,'OI(Volume)'!$A$7:$O$445,12)</f>
        <v>38550</v>
      </c>
      <c r="L129" s="103">
        <f>VLOOKUP($A129,'OI(Value)'!$A$7:$O$329,8,0)</f>
        <v>492</v>
      </c>
      <c r="M129" s="103">
        <f>VLOOKUP($A129,'OI(Value)'!$A$7:$O$329,9,0)</f>
        <v>-42</v>
      </c>
      <c r="N129" s="103">
        <f>VLOOKUP($A129,'OI(Value)'!$A$7:$O$329,11,0)</f>
        <v>427</v>
      </c>
      <c r="O129" s="103">
        <f>VLOOKUP($A129,'OI(Value)'!$A$7:$O$329,12,0)</f>
        <v>18</v>
      </c>
      <c r="P129" s="179">
        <f>VLOOKUP(A129,'OI(Value)'!A129:O353,8,0)</f>
        <v>492</v>
      </c>
      <c r="Q129" s="179">
        <f>VLOOKUP(A129,'OI(Value)'!A129:O353,9,0)</f>
        <v>-42</v>
      </c>
      <c r="R129" s="179">
        <f>VLOOKUP(A129,'OI(Value)'!A129:O353,11,0)</f>
        <v>427</v>
      </c>
      <c r="S129" s="179">
        <f>VLOOKUP(A129,'OI(Value)'!A129:O353,11,0)</f>
        <v>427</v>
      </c>
    </row>
    <row r="130" spans="1:19" x14ac:dyDescent="0.25">
      <c r="A130" s="105" t="str">
        <f>'Data Vlaue (Cr)'!C125</f>
        <v>LUPIN</v>
      </c>
      <c r="B130" s="143">
        <f>VLOOKUP($A130,'Data shares'!$C:$FA,118)</f>
        <v>0.64</v>
      </c>
      <c r="C130" s="143">
        <f>VLOOKUP($A130,'Data shares'!$C:$FA,119)</f>
        <v>0.68</v>
      </c>
      <c r="D130" s="143">
        <f>VLOOKUP($A130,'Data shares'!$C:$FA,121)*100</f>
        <v>-5.88</v>
      </c>
      <c r="E130" s="143">
        <f>VLOOKUP($A130,'Data shares'!$C:$FA,124)</f>
        <v>0.47</v>
      </c>
      <c r="F130" s="143">
        <f>VLOOKUP($A130,'Data shares'!$C:$FA,125)</f>
        <v>0.46</v>
      </c>
      <c r="G130" s="143">
        <f>VLOOKUP($A130,'Data shares'!$C:$FA,127)*100</f>
        <v>2.17</v>
      </c>
      <c r="H130" s="103">
        <f>VLOOKUP($A130,'OI(Volume)'!$A$7:$O$445,8)</f>
        <v>2481150</v>
      </c>
      <c r="I130" s="103">
        <f>VLOOKUP($A130,'OI(Volume)'!$A$7:$O$445,9)</f>
        <v>86275</v>
      </c>
      <c r="J130" s="103">
        <f>VLOOKUP($A130,'OI(Volume)'!$A$7:$O$445,11)</f>
        <v>1587800</v>
      </c>
      <c r="K130" s="103">
        <f>VLOOKUP($A130,'OI(Volume)'!$A$7:$O$445,12)</f>
        <v>-32300</v>
      </c>
      <c r="L130" s="103">
        <f>VLOOKUP($A130,'OI(Value)'!$A$7:$O$329,8,0)</f>
        <v>578</v>
      </c>
      <c r="M130" s="103">
        <f>VLOOKUP($A130,'OI(Value)'!$A$7:$O$329,9,0)</f>
        <v>20</v>
      </c>
      <c r="N130" s="103">
        <f>VLOOKUP($A130,'OI(Value)'!$A$7:$O$329,11,0)</f>
        <v>370</v>
      </c>
      <c r="O130" s="103">
        <f>VLOOKUP($A130,'OI(Value)'!$A$7:$O$329,12,0)</f>
        <v>-8</v>
      </c>
      <c r="P130" s="179">
        <f>VLOOKUP(A130,'OI(Value)'!A130:O354,8,0)</f>
        <v>578</v>
      </c>
      <c r="Q130" s="179">
        <f>VLOOKUP(A130,'OI(Value)'!A130:O354,9,0)</f>
        <v>20</v>
      </c>
      <c r="R130" s="179">
        <f>VLOOKUP(A130,'OI(Value)'!A130:O354,11,0)</f>
        <v>370</v>
      </c>
      <c r="S130" s="179">
        <f>VLOOKUP(A130,'OI(Value)'!A130:O354,11,0)</f>
        <v>370</v>
      </c>
    </row>
    <row r="131" spans="1:19" x14ac:dyDescent="0.25">
      <c r="A131" s="105" t="str">
        <f>'Data Vlaue (Cr)'!C126</f>
        <v>M&amp;M</v>
      </c>
      <c r="B131" s="143">
        <f>VLOOKUP($A131,'Data shares'!$C:$FA,118)</f>
        <v>0.65</v>
      </c>
      <c r="C131" s="143">
        <f>VLOOKUP($A131,'Data shares'!$C:$FA,119)</f>
        <v>0.69</v>
      </c>
      <c r="D131" s="143">
        <f>VLOOKUP($A131,'Data shares'!$C:$FA,121)*100</f>
        <v>-5.8000000000000007</v>
      </c>
      <c r="E131" s="143">
        <f>VLOOKUP($A131,'Data shares'!$C:$FA,124)</f>
        <v>0.55000000000000004</v>
      </c>
      <c r="F131" s="143">
        <f>VLOOKUP($A131,'Data shares'!$C:$FA,125)</f>
        <v>0.6</v>
      </c>
      <c r="G131" s="143">
        <f>VLOOKUP($A131,'Data shares'!$C:$FA,127)*100</f>
        <v>-8.33</v>
      </c>
      <c r="H131" s="103">
        <f>VLOOKUP($A131,'OI(Volume)'!$A$7:$O$445,8)</f>
        <v>5522800</v>
      </c>
      <c r="I131" s="103">
        <f>VLOOKUP($A131,'OI(Volume)'!$A$7:$O$445,9)</f>
        <v>385000</v>
      </c>
      <c r="J131" s="103">
        <f>VLOOKUP($A131,'OI(Volume)'!$A$7:$O$445,11)</f>
        <v>3581000</v>
      </c>
      <c r="K131" s="103">
        <f>VLOOKUP($A131,'OI(Volume)'!$A$7:$O$445,12)</f>
        <v>29800</v>
      </c>
      <c r="L131" s="103">
        <f>VLOOKUP($A131,'OI(Value)'!$A$7:$O$329,8,0)</f>
        <v>1771</v>
      </c>
      <c r="M131" s="103">
        <f>VLOOKUP($A131,'OI(Value)'!$A$7:$O$329,9,0)</f>
        <v>123</v>
      </c>
      <c r="N131" s="103">
        <f>VLOOKUP($A131,'OI(Value)'!$A$7:$O$329,11,0)</f>
        <v>1148</v>
      </c>
      <c r="O131" s="103">
        <f>VLOOKUP($A131,'OI(Value)'!$A$7:$O$329,12,0)</f>
        <v>10</v>
      </c>
      <c r="P131" s="179">
        <f>VLOOKUP(A131,'OI(Value)'!A131:O355,8,0)</f>
        <v>1771</v>
      </c>
      <c r="Q131" s="179">
        <f>VLOOKUP(A131,'OI(Value)'!A131:O355,9,0)</f>
        <v>123</v>
      </c>
      <c r="R131" s="179">
        <f>VLOOKUP(A131,'OI(Value)'!A131:O355,11,0)</f>
        <v>1148</v>
      </c>
      <c r="S131" s="179">
        <f>VLOOKUP(A131,'OI(Value)'!A131:O355,11,0)</f>
        <v>1148</v>
      </c>
    </row>
    <row r="132" spans="1:19" x14ac:dyDescent="0.25">
      <c r="A132" s="105" t="str">
        <f>'Data Vlaue (Cr)'!C127</f>
        <v>MANAPPURAM</v>
      </c>
      <c r="B132" s="143">
        <f>VLOOKUP($A132,'Data shares'!$C:$FA,118)</f>
        <v>0.65</v>
      </c>
      <c r="C132" s="143">
        <f>VLOOKUP($A132,'Data shares'!$C:$FA,119)</f>
        <v>0.62</v>
      </c>
      <c r="D132" s="143">
        <f>VLOOKUP($A132,'Data shares'!$C:$FA,121)*100</f>
        <v>4.84</v>
      </c>
      <c r="E132" s="143">
        <f>VLOOKUP($A132,'Data shares'!$C:$FA,124)</f>
        <v>0.68</v>
      </c>
      <c r="F132" s="143">
        <f>VLOOKUP($A132,'Data shares'!$C:$FA,125)</f>
        <v>0.6</v>
      </c>
      <c r="G132" s="143">
        <f>VLOOKUP($A132,'Data shares'!$C:$FA,127)*100</f>
        <v>13.33</v>
      </c>
      <c r="H132" s="103">
        <f>VLOOKUP($A132,'OI(Volume)'!$A$7:$O$445,8)</f>
        <v>17436000</v>
      </c>
      <c r="I132" s="103">
        <f>VLOOKUP($A132,'OI(Volume)'!$A$7:$O$445,9)</f>
        <v>981000</v>
      </c>
      <c r="J132" s="103">
        <f>VLOOKUP($A132,'OI(Volume)'!$A$7:$O$445,11)</f>
        <v>11277000</v>
      </c>
      <c r="K132" s="103">
        <f>VLOOKUP($A132,'OI(Volume)'!$A$7:$O$445,12)</f>
        <v>1068000</v>
      </c>
      <c r="L132" s="103">
        <f>VLOOKUP($A132,'OI(Value)'!$A$7:$O$329,8,0)</f>
        <v>471</v>
      </c>
      <c r="M132" s="103">
        <f>VLOOKUP($A132,'OI(Value)'!$A$7:$O$329,9,0)</f>
        <v>26</v>
      </c>
      <c r="N132" s="103">
        <f>VLOOKUP($A132,'OI(Value)'!$A$7:$O$329,11,0)</f>
        <v>305</v>
      </c>
      <c r="O132" s="103">
        <f>VLOOKUP($A132,'OI(Value)'!$A$7:$O$329,12,0)</f>
        <v>29</v>
      </c>
      <c r="P132" s="179">
        <f>VLOOKUP(A132,'OI(Value)'!A132:O356,8,0)</f>
        <v>471</v>
      </c>
      <c r="Q132" s="179">
        <f>VLOOKUP(A132,'OI(Value)'!A132:O356,9,0)</f>
        <v>26</v>
      </c>
      <c r="R132" s="179">
        <f>VLOOKUP(A132,'OI(Value)'!A132:O356,11,0)</f>
        <v>305</v>
      </c>
      <c r="S132" s="179">
        <f>VLOOKUP(A132,'OI(Value)'!A132:O356,11,0)</f>
        <v>305</v>
      </c>
    </row>
    <row r="133" spans="1:19" x14ac:dyDescent="0.25">
      <c r="A133" s="105" t="str">
        <f>'Data Vlaue (Cr)'!C128</f>
        <v>MANKIND</v>
      </c>
      <c r="B133" s="143">
        <f>VLOOKUP($A133,'Data shares'!$C:$FA,118)</f>
        <v>0.33</v>
      </c>
      <c r="C133" s="143">
        <f>VLOOKUP($A133,'Data shares'!$C:$FA,119)</f>
        <v>0.35</v>
      </c>
      <c r="D133" s="143">
        <f>VLOOKUP($A133,'Data shares'!$C:$FA,121)*100</f>
        <v>-5.71</v>
      </c>
      <c r="E133" s="143">
        <f>VLOOKUP($A133,'Data shares'!$C:$FA,124)</f>
        <v>0.15</v>
      </c>
      <c r="F133" s="143">
        <f>VLOOKUP($A133,'Data shares'!$C:$FA,125)</f>
        <v>0.34</v>
      </c>
      <c r="G133" s="143">
        <f>VLOOKUP($A133,'Data shares'!$C:$FA,127)*100</f>
        <v>-55.879999999999995</v>
      </c>
      <c r="H133" s="103">
        <f>VLOOKUP($A133,'OI(Volume)'!$A$7:$O$445,8)</f>
        <v>801225</v>
      </c>
      <c r="I133" s="103">
        <f>VLOOKUP($A133,'OI(Volume)'!$A$7:$O$445,9)</f>
        <v>45225</v>
      </c>
      <c r="J133" s="103">
        <f>VLOOKUP($A133,'OI(Volume)'!$A$7:$O$445,11)</f>
        <v>266850</v>
      </c>
      <c r="K133" s="103">
        <f>VLOOKUP($A133,'OI(Volume)'!$A$7:$O$445,12)</f>
        <v>1350</v>
      </c>
      <c r="L133" s="103">
        <f>VLOOKUP($A133,'OI(Value)'!$A$7:$O$329,8,0)</f>
        <v>171</v>
      </c>
      <c r="M133" s="103">
        <f>VLOOKUP($A133,'OI(Value)'!$A$7:$O$329,9,0)</f>
        <v>10</v>
      </c>
      <c r="N133" s="103">
        <f>VLOOKUP($A133,'OI(Value)'!$A$7:$O$329,11,0)</f>
        <v>57</v>
      </c>
      <c r="O133" s="103">
        <f>VLOOKUP($A133,'OI(Value)'!$A$7:$O$329,12,0)</f>
        <v>0</v>
      </c>
      <c r="P133" s="179">
        <f>VLOOKUP(A133,'OI(Value)'!A133:O357,8,0)</f>
        <v>171</v>
      </c>
      <c r="Q133" s="179">
        <f>VLOOKUP(A133,'OI(Value)'!A133:O357,9,0)</f>
        <v>10</v>
      </c>
      <c r="R133" s="179">
        <f>VLOOKUP(A133,'OI(Value)'!A133:O357,11,0)</f>
        <v>57</v>
      </c>
      <c r="S133" s="179">
        <f>VLOOKUP(A133,'OI(Value)'!A133:O357,11,0)</f>
        <v>57</v>
      </c>
    </row>
    <row r="134" spans="1:19" x14ac:dyDescent="0.25">
      <c r="A134" s="105" t="str">
        <f>'Data Vlaue (Cr)'!C129</f>
        <v>MARICO</v>
      </c>
      <c r="B134" s="143">
        <f>VLOOKUP($A134,'Data shares'!$C:$FA,118)</f>
        <v>0.86</v>
      </c>
      <c r="C134" s="143">
        <f>VLOOKUP($A134,'Data shares'!$C:$FA,119)</f>
        <v>0.88</v>
      </c>
      <c r="D134" s="143">
        <f>VLOOKUP($A134,'Data shares'!$C:$FA,121)*100</f>
        <v>-2.27</v>
      </c>
      <c r="E134" s="143">
        <f>VLOOKUP($A134,'Data shares'!$C:$FA,124)</f>
        <v>0.27</v>
      </c>
      <c r="F134" s="143">
        <f>VLOOKUP($A134,'Data shares'!$C:$FA,125)</f>
        <v>0.45</v>
      </c>
      <c r="G134" s="143">
        <f>VLOOKUP($A134,'Data shares'!$C:$FA,127)*100</f>
        <v>-40</v>
      </c>
      <c r="H134" s="103">
        <f>VLOOKUP($A134,'OI(Volume)'!$A$7:$O$445,8)</f>
        <v>4700400</v>
      </c>
      <c r="I134" s="103">
        <f>VLOOKUP($A134,'OI(Volume)'!$A$7:$O$445,9)</f>
        <v>124800</v>
      </c>
      <c r="J134" s="103">
        <f>VLOOKUP($A134,'OI(Volume)'!$A$7:$O$445,11)</f>
        <v>4023600</v>
      </c>
      <c r="K134" s="103">
        <f>VLOOKUP($A134,'OI(Volume)'!$A$7:$O$445,12)</f>
        <v>-16800</v>
      </c>
      <c r="L134" s="103">
        <f>VLOOKUP($A134,'OI(Value)'!$A$7:$O$329,8,0)</f>
        <v>357</v>
      </c>
      <c r="M134" s="103">
        <f>VLOOKUP($A134,'OI(Value)'!$A$7:$O$329,9,0)</f>
        <v>9</v>
      </c>
      <c r="N134" s="103">
        <f>VLOOKUP($A134,'OI(Value)'!$A$7:$O$329,11,0)</f>
        <v>305</v>
      </c>
      <c r="O134" s="103">
        <f>VLOOKUP($A134,'OI(Value)'!$A$7:$O$329,12,0)</f>
        <v>-1</v>
      </c>
      <c r="P134" s="179">
        <f>VLOOKUP(A134,'OI(Value)'!A134:O358,8,0)</f>
        <v>357</v>
      </c>
      <c r="Q134" s="179">
        <f>VLOOKUP(A134,'OI(Value)'!A134:O358,9,0)</f>
        <v>9</v>
      </c>
      <c r="R134" s="179">
        <f>VLOOKUP(A134,'OI(Value)'!A134:O358,11,0)</f>
        <v>305</v>
      </c>
      <c r="S134" s="179">
        <f>VLOOKUP(A134,'OI(Value)'!A134:O358,11,0)</f>
        <v>305</v>
      </c>
    </row>
    <row r="135" spans="1:19" x14ac:dyDescent="0.25">
      <c r="A135" s="105" t="str">
        <f>'Data Vlaue (Cr)'!C130</f>
        <v>MARUTI</v>
      </c>
      <c r="B135" s="143">
        <f>VLOOKUP($A135,'Data shares'!$C:$FA,118)</f>
        <v>0.59</v>
      </c>
      <c r="C135" s="143">
        <f>VLOOKUP($A135,'Data shares'!$C:$FA,119)</f>
        <v>0.56000000000000005</v>
      </c>
      <c r="D135" s="143">
        <f>VLOOKUP($A135,'Data shares'!$C:$FA,121)*100</f>
        <v>5.36</v>
      </c>
      <c r="E135" s="143">
        <f>VLOOKUP($A135,'Data shares'!$C:$FA,124)</f>
        <v>0.42</v>
      </c>
      <c r="F135" s="143">
        <f>VLOOKUP($A135,'Data shares'!$C:$FA,125)</f>
        <v>0.47</v>
      </c>
      <c r="G135" s="143">
        <f>VLOOKUP($A135,'Data shares'!$C:$FA,127)*100</f>
        <v>-10.639999999999999</v>
      </c>
      <c r="H135" s="103">
        <f>VLOOKUP($A135,'OI(Volume)'!$A$7:$O$445,8)</f>
        <v>2103200</v>
      </c>
      <c r="I135" s="103">
        <f>VLOOKUP($A135,'OI(Volume)'!$A$7:$O$445,9)</f>
        <v>18850</v>
      </c>
      <c r="J135" s="103">
        <f>VLOOKUP($A135,'OI(Volume)'!$A$7:$O$445,11)</f>
        <v>1245750</v>
      </c>
      <c r="K135" s="103">
        <f>VLOOKUP($A135,'OI(Volume)'!$A$7:$O$445,12)</f>
        <v>74550</v>
      </c>
      <c r="L135" s="103">
        <f>VLOOKUP($A135,'OI(Value)'!$A$7:$O$329,8,0)</f>
        <v>2837</v>
      </c>
      <c r="M135" s="103">
        <f>VLOOKUP($A135,'OI(Value)'!$A$7:$O$329,9,0)</f>
        <v>25</v>
      </c>
      <c r="N135" s="103">
        <f>VLOOKUP($A135,'OI(Value)'!$A$7:$O$329,11,0)</f>
        <v>1681</v>
      </c>
      <c r="O135" s="103">
        <f>VLOOKUP($A135,'OI(Value)'!$A$7:$O$329,12,0)</f>
        <v>101</v>
      </c>
      <c r="P135" s="179">
        <f>VLOOKUP(A135,'OI(Value)'!A135:O359,8,0)</f>
        <v>2837</v>
      </c>
      <c r="Q135" s="179">
        <f>VLOOKUP(A135,'OI(Value)'!A135:O359,9,0)</f>
        <v>25</v>
      </c>
      <c r="R135" s="179">
        <f>VLOOKUP(A135,'OI(Value)'!A135:O359,11,0)</f>
        <v>1681</v>
      </c>
      <c r="S135" s="179">
        <f>VLOOKUP(A135,'OI(Value)'!A135:O359,11,0)</f>
        <v>1681</v>
      </c>
    </row>
    <row r="136" spans="1:19" x14ac:dyDescent="0.25">
      <c r="A136" s="105" t="str">
        <f>'Data Vlaue (Cr)'!C131</f>
        <v>MAXHEALTH</v>
      </c>
      <c r="B136" s="143">
        <f>VLOOKUP($A136,'Data shares'!$C:$FA,118)</f>
        <v>0.56000000000000005</v>
      </c>
      <c r="C136" s="143">
        <f>VLOOKUP($A136,'Data shares'!$C:$FA,119)</f>
        <v>0.65</v>
      </c>
      <c r="D136" s="143">
        <f>VLOOKUP($A136,'Data shares'!$C:$FA,121)*100</f>
        <v>-13.850000000000001</v>
      </c>
      <c r="E136" s="143">
        <f>VLOOKUP($A136,'Data shares'!$C:$FA,124)</f>
        <v>0.35</v>
      </c>
      <c r="F136" s="143">
        <f>VLOOKUP($A136,'Data shares'!$C:$FA,125)</f>
        <v>0.39</v>
      </c>
      <c r="G136" s="143">
        <f>VLOOKUP($A136,'Data shares'!$C:$FA,127)*100</f>
        <v>-10.26</v>
      </c>
      <c r="H136" s="103">
        <f>VLOOKUP($A136,'OI(Volume)'!$A$7:$O$445,8)</f>
        <v>4379550</v>
      </c>
      <c r="I136" s="103">
        <f>VLOOKUP($A136,'OI(Volume)'!$A$7:$O$445,9)</f>
        <v>816375</v>
      </c>
      <c r="J136" s="103">
        <f>VLOOKUP($A136,'OI(Volume)'!$A$7:$O$445,11)</f>
        <v>2440725</v>
      </c>
      <c r="K136" s="103">
        <f>VLOOKUP($A136,'OI(Volume)'!$A$7:$O$445,12)</f>
        <v>116025</v>
      </c>
      <c r="L136" s="103">
        <f>VLOOKUP($A136,'OI(Value)'!$A$7:$O$329,8,0)</f>
        <v>441</v>
      </c>
      <c r="M136" s="103">
        <f>VLOOKUP($A136,'OI(Value)'!$A$7:$O$329,9,0)</f>
        <v>82</v>
      </c>
      <c r="N136" s="103">
        <f>VLOOKUP($A136,'OI(Value)'!$A$7:$O$329,11,0)</f>
        <v>246</v>
      </c>
      <c r="O136" s="103">
        <f>VLOOKUP($A136,'OI(Value)'!$A$7:$O$329,12,0)</f>
        <v>12</v>
      </c>
      <c r="P136" s="179">
        <f>VLOOKUP(A136,'OI(Value)'!A136:O360,8,0)</f>
        <v>441</v>
      </c>
      <c r="Q136" s="179">
        <f>VLOOKUP(A136,'OI(Value)'!A136:O360,9,0)</f>
        <v>82</v>
      </c>
      <c r="R136" s="179">
        <f>VLOOKUP(A136,'OI(Value)'!A136:O360,11,0)</f>
        <v>246</v>
      </c>
      <c r="S136" s="179">
        <f>VLOOKUP(A136,'OI(Value)'!A136:O360,11,0)</f>
        <v>246</v>
      </c>
    </row>
    <row r="137" spans="1:19" x14ac:dyDescent="0.25">
      <c r="A137" s="105" t="str">
        <f>'Data Vlaue (Cr)'!C132</f>
        <v>MAZDOCK</v>
      </c>
      <c r="B137" s="143">
        <f>VLOOKUP($A137,'Data shares'!$C:$FA,118)</f>
        <v>0.73</v>
      </c>
      <c r="C137" s="143">
        <f>VLOOKUP($A137,'Data shares'!$C:$FA,119)</f>
        <v>0.78</v>
      </c>
      <c r="D137" s="143">
        <f>VLOOKUP($A137,'Data shares'!$C:$FA,121)*100</f>
        <v>-6.41</v>
      </c>
      <c r="E137" s="143">
        <f>VLOOKUP($A137,'Data shares'!$C:$FA,124)</f>
        <v>0.32</v>
      </c>
      <c r="F137" s="143">
        <f>VLOOKUP($A137,'Data shares'!$C:$FA,125)</f>
        <v>0.47</v>
      </c>
      <c r="G137" s="143">
        <f>VLOOKUP($A137,'Data shares'!$C:$FA,127)*100</f>
        <v>-31.91</v>
      </c>
      <c r="H137" s="103">
        <f>VLOOKUP($A137,'OI(Volume)'!$A$7:$O$445,8)</f>
        <v>3566200</v>
      </c>
      <c r="I137" s="103">
        <f>VLOOKUP($A137,'OI(Volume)'!$A$7:$O$445,9)</f>
        <v>553400</v>
      </c>
      <c r="J137" s="103">
        <f>VLOOKUP($A137,'OI(Volume)'!$A$7:$O$445,11)</f>
        <v>2614000</v>
      </c>
      <c r="K137" s="103">
        <f>VLOOKUP($A137,'OI(Volume)'!$A$7:$O$445,12)</f>
        <v>251000</v>
      </c>
      <c r="L137" s="103">
        <f>VLOOKUP($A137,'OI(Value)'!$A$7:$O$329,8,0)</f>
        <v>936</v>
      </c>
      <c r="M137" s="103">
        <f>VLOOKUP($A137,'OI(Value)'!$A$7:$O$329,9,0)</f>
        <v>145</v>
      </c>
      <c r="N137" s="103">
        <f>VLOOKUP($A137,'OI(Value)'!$A$7:$O$329,11,0)</f>
        <v>686</v>
      </c>
      <c r="O137" s="103">
        <f>VLOOKUP($A137,'OI(Value)'!$A$7:$O$329,12,0)</f>
        <v>66</v>
      </c>
      <c r="P137" s="179">
        <f>VLOOKUP(A137,'OI(Value)'!A137:O361,8,0)</f>
        <v>936</v>
      </c>
      <c r="Q137" s="179">
        <f>VLOOKUP(A137,'OI(Value)'!A137:O361,9,0)</f>
        <v>145</v>
      </c>
      <c r="R137" s="179">
        <f>VLOOKUP(A137,'OI(Value)'!A137:O361,11,0)</f>
        <v>686</v>
      </c>
      <c r="S137" s="179">
        <f>VLOOKUP(A137,'OI(Value)'!A137:O361,11,0)</f>
        <v>686</v>
      </c>
    </row>
    <row r="138" spans="1:19" x14ac:dyDescent="0.25">
      <c r="A138" s="105" t="str">
        <f>'Data Vlaue (Cr)'!C133</f>
        <v>MCX</v>
      </c>
      <c r="B138" s="143">
        <f>VLOOKUP($A138,'Data shares'!$C:$FA,118)</f>
        <v>0.91</v>
      </c>
      <c r="C138" s="143">
        <f>VLOOKUP($A138,'Data shares'!$C:$FA,119)</f>
        <v>0.95</v>
      </c>
      <c r="D138" s="143">
        <f>VLOOKUP($A138,'Data shares'!$C:$FA,121)*100</f>
        <v>-4.21</v>
      </c>
      <c r="E138" s="143">
        <f>VLOOKUP($A138,'Data shares'!$C:$FA,124)</f>
        <v>0.73</v>
      </c>
      <c r="F138" s="143">
        <f>VLOOKUP($A138,'Data shares'!$C:$FA,125)</f>
        <v>0.56999999999999995</v>
      </c>
      <c r="G138" s="143">
        <f>VLOOKUP($A138,'Data shares'!$C:$FA,127)*100</f>
        <v>28.07</v>
      </c>
      <c r="H138" s="103">
        <f>VLOOKUP($A138,'OI(Volume)'!$A$7:$O$445,8)</f>
        <v>8761875</v>
      </c>
      <c r="I138" s="103">
        <f>VLOOKUP($A138,'OI(Volume)'!$A$7:$O$445,9)</f>
        <v>443750</v>
      </c>
      <c r="J138" s="103">
        <f>VLOOKUP($A138,'OI(Volume)'!$A$7:$O$445,11)</f>
        <v>7971250</v>
      </c>
      <c r="K138" s="103">
        <f>VLOOKUP($A138,'OI(Volume)'!$A$7:$O$445,12)</f>
        <v>94375</v>
      </c>
      <c r="L138" s="103">
        <f>VLOOKUP($A138,'OI(Value)'!$A$7:$O$329,8,0)</f>
        <v>2508</v>
      </c>
      <c r="M138" s="103">
        <f>VLOOKUP($A138,'OI(Value)'!$A$7:$O$329,9,0)</f>
        <v>127</v>
      </c>
      <c r="N138" s="103">
        <f>VLOOKUP($A138,'OI(Value)'!$A$7:$O$329,11,0)</f>
        <v>2281</v>
      </c>
      <c r="O138" s="103">
        <f>VLOOKUP($A138,'OI(Value)'!$A$7:$O$329,12,0)</f>
        <v>27</v>
      </c>
      <c r="P138" s="179">
        <f>VLOOKUP(A138,'OI(Value)'!A138:O362,8,0)</f>
        <v>2508</v>
      </c>
      <c r="Q138" s="179">
        <f>VLOOKUP(A138,'OI(Value)'!A138:O362,9,0)</f>
        <v>127</v>
      </c>
      <c r="R138" s="179">
        <f>VLOOKUP(A138,'OI(Value)'!A138:O362,11,0)</f>
        <v>2281</v>
      </c>
      <c r="S138" s="179">
        <f>VLOOKUP(A138,'OI(Value)'!A138:O362,11,0)</f>
        <v>2281</v>
      </c>
    </row>
    <row r="139" spans="1:19" x14ac:dyDescent="0.25">
      <c r="A139" s="105" t="str">
        <f>'Data Vlaue (Cr)'!C134</f>
        <v>MFSL</v>
      </c>
      <c r="B139" s="143">
        <f>VLOOKUP($A139,'Data shares'!$C:$FA,118)</f>
        <v>0.61</v>
      </c>
      <c r="C139" s="143">
        <f>VLOOKUP($A139,'Data shares'!$C:$FA,119)</f>
        <v>0.64</v>
      </c>
      <c r="D139" s="143">
        <f>VLOOKUP($A139,'Data shares'!$C:$FA,121)*100</f>
        <v>-4.6899999999999995</v>
      </c>
      <c r="E139" s="143">
        <f>VLOOKUP($A139,'Data shares'!$C:$FA,124)</f>
        <v>0.81</v>
      </c>
      <c r="F139" s="143">
        <f>VLOOKUP($A139,'Data shares'!$C:$FA,125)</f>
        <v>0.56999999999999995</v>
      </c>
      <c r="G139" s="143">
        <f>VLOOKUP($A139,'Data shares'!$C:$FA,127)*100</f>
        <v>42.11</v>
      </c>
      <c r="H139" s="103">
        <f>VLOOKUP($A139,'OI(Volume)'!$A$7:$O$445,8)</f>
        <v>1005600</v>
      </c>
      <c r="I139" s="103">
        <f>VLOOKUP($A139,'OI(Volume)'!$A$7:$O$445,9)</f>
        <v>66800</v>
      </c>
      <c r="J139" s="103">
        <f>VLOOKUP($A139,'OI(Volume)'!$A$7:$O$445,11)</f>
        <v>614000</v>
      </c>
      <c r="K139" s="103">
        <f>VLOOKUP($A139,'OI(Volume)'!$A$7:$O$445,12)</f>
        <v>16800</v>
      </c>
      <c r="L139" s="103">
        <f>VLOOKUP($A139,'OI(Value)'!$A$7:$O$329,8,0)</f>
        <v>169</v>
      </c>
      <c r="M139" s="103">
        <f>VLOOKUP($A139,'OI(Value)'!$A$7:$O$329,9,0)</f>
        <v>11</v>
      </c>
      <c r="N139" s="103">
        <f>VLOOKUP($A139,'OI(Value)'!$A$7:$O$329,11,0)</f>
        <v>103</v>
      </c>
      <c r="O139" s="103">
        <f>VLOOKUP($A139,'OI(Value)'!$A$7:$O$329,12,0)</f>
        <v>3</v>
      </c>
      <c r="P139" s="179">
        <f>VLOOKUP(A139,'OI(Value)'!A139:O363,8,0)</f>
        <v>169</v>
      </c>
      <c r="Q139" s="179">
        <f>VLOOKUP(A139,'OI(Value)'!A139:O363,9,0)</f>
        <v>11</v>
      </c>
      <c r="R139" s="179">
        <f>VLOOKUP(A139,'OI(Value)'!A139:O363,11,0)</f>
        <v>103</v>
      </c>
      <c r="S139" s="179">
        <f>VLOOKUP(A139,'OI(Value)'!A139:O363,11,0)</f>
        <v>103</v>
      </c>
    </row>
    <row r="140" spans="1:19" x14ac:dyDescent="0.25">
      <c r="A140" s="105" t="str">
        <f>'Data Vlaue (Cr)'!C135</f>
        <v>MIDCPNIFTY</v>
      </c>
      <c r="B140" s="143">
        <f>VLOOKUP($A140,'Data shares'!$C:$FA,118)</f>
        <v>1.21</v>
      </c>
      <c r="C140" s="143">
        <f>VLOOKUP($A140,'Data shares'!$C:$FA,119)</f>
        <v>1.27</v>
      </c>
      <c r="D140" s="143">
        <f>VLOOKUP($A140,'Data shares'!$C:$FA,121)*100</f>
        <v>-4.72</v>
      </c>
      <c r="E140" s="143">
        <f>VLOOKUP($A140,'Data shares'!$C:$FA,124)</f>
        <v>1.32</v>
      </c>
      <c r="F140" s="143">
        <f>VLOOKUP($A140,'Data shares'!$C:$FA,125)</f>
        <v>1.05</v>
      </c>
      <c r="G140" s="143">
        <f>VLOOKUP($A140,'Data shares'!$C:$FA,127)*100</f>
        <v>25.71</v>
      </c>
      <c r="H140" s="103">
        <f>VLOOKUP($A140,'OI(Volume)'!$A$7:$O$445,8)</f>
        <v>5954760</v>
      </c>
      <c r="I140" s="103">
        <f>VLOOKUP($A140,'OI(Volume)'!$A$7:$O$445,9)</f>
        <v>1074120</v>
      </c>
      <c r="J140" s="103">
        <f>VLOOKUP($A140,'OI(Volume)'!$A$7:$O$445,11)</f>
        <v>7229040</v>
      </c>
      <c r="K140" s="103">
        <f>VLOOKUP($A140,'OI(Volume)'!$A$7:$O$445,12)</f>
        <v>1035120</v>
      </c>
      <c r="L140" s="103">
        <f>VLOOKUP($A140,'OI(Value)'!$A$7:$O$329,8,0)</f>
        <v>8247</v>
      </c>
      <c r="M140" s="103">
        <f>VLOOKUP($A140,'OI(Value)'!$A$7:$O$329,9,0)</f>
        <v>1488</v>
      </c>
      <c r="N140" s="103">
        <f>VLOOKUP($A140,'OI(Value)'!$A$7:$O$329,11,0)</f>
        <v>10012</v>
      </c>
      <c r="O140" s="103">
        <f>VLOOKUP($A140,'OI(Value)'!$A$7:$O$329,12,0)</f>
        <v>1434</v>
      </c>
      <c r="P140" s="179">
        <f>VLOOKUP(A140,'OI(Value)'!A140:O364,8,0)</f>
        <v>8247</v>
      </c>
      <c r="Q140" s="179">
        <f>VLOOKUP(A140,'OI(Value)'!A140:O364,9,0)</f>
        <v>1488</v>
      </c>
      <c r="R140" s="179">
        <f>VLOOKUP(A140,'OI(Value)'!A140:O364,11,0)</f>
        <v>10012</v>
      </c>
      <c r="S140" s="179">
        <f>VLOOKUP(A140,'OI(Value)'!A140:O364,11,0)</f>
        <v>10012</v>
      </c>
    </row>
    <row r="141" spans="1:19" x14ac:dyDescent="0.25">
      <c r="A141" s="105" t="str">
        <f>'Data Vlaue (Cr)'!C136</f>
        <v>MOTHERSON</v>
      </c>
      <c r="B141" s="143">
        <f>VLOOKUP($A141,'Data shares'!$C:$FA,118)</f>
        <v>0.89</v>
      </c>
      <c r="C141" s="143">
        <f>VLOOKUP($A141,'Data shares'!$C:$FA,119)</f>
        <v>0.99</v>
      </c>
      <c r="D141" s="143">
        <f>VLOOKUP($A141,'Data shares'!$C:$FA,121)*100</f>
        <v>-10.100000000000001</v>
      </c>
      <c r="E141" s="143">
        <f>VLOOKUP($A141,'Data shares'!$C:$FA,124)</f>
        <v>1.01</v>
      </c>
      <c r="F141" s="143">
        <f>VLOOKUP($A141,'Data shares'!$C:$FA,125)</f>
        <v>0.8</v>
      </c>
      <c r="G141" s="143">
        <f>VLOOKUP($A141,'Data shares'!$C:$FA,127)*100</f>
        <v>26.25</v>
      </c>
      <c r="H141" s="103">
        <f>VLOOKUP($A141,'OI(Volume)'!$A$7:$O$445,8)</f>
        <v>38462100</v>
      </c>
      <c r="I141" s="103">
        <f>VLOOKUP($A141,'OI(Volume)'!$A$7:$O$445,9)</f>
        <v>682650</v>
      </c>
      <c r="J141" s="103">
        <f>VLOOKUP($A141,'OI(Volume)'!$A$7:$O$445,11)</f>
        <v>34058700</v>
      </c>
      <c r="K141" s="103">
        <f>VLOOKUP($A141,'OI(Volume)'!$A$7:$O$445,12)</f>
        <v>-3253350</v>
      </c>
      <c r="L141" s="103">
        <f>VLOOKUP($A141,'OI(Value)'!$A$7:$O$329,8,0)</f>
        <v>481</v>
      </c>
      <c r="M141" s="103">
        <f>VLOOKUP($A141,'OI(Value)'!$A$7:$O$329,9,0)</f>
        <v>9</v>
      </c>
      <c r="N141" s="103">
        <f>VLOOKUP($A141,'OI(Value)'!$A$7:$O$329,11,0)</f>
        <v>426</v>
      </c>
      <c r="O141" s="103">
        <f>VLOOKUP($A141,'OI(Value)'!$A$7:$O$329,12,0)</f>
        <v>-41</v>
      </c>
      <c r="P141" s="179">
        <f>VLOOKUP(A141,'OI(Value)'!A141:O365,8,0)</f>
        <v>481</v>
      </c>
      <c r="Q141" s="179">
        <f>VLOOKUP(A141,'OI(Value)'!A141:O365,9,0)</f>
        <v>9</v>
      </c>
      <c r="R141" s="179">
        <f>VLOOKUP(A141,'OI(Value)'!A141:O365,11,0)</f>
        <v>426</v>
      </c>
      <c r="S141" s="179">
        <f>VLOOKUP(A141,'OI(Value)'!A141:O365,11,0)</f>
        <v>426</v>
      </c>
    </row>
    <row r="142" spans="1:19" x14ac:dyDescent="0.25">
      <c r="A142" s="105" t="str">
        <f>'Data Vlaue (Cr)'!C137</f>
        <v>MOTILALOFS</v>
      </c>
      <c r="B142" s="143">
        <f>VLOOKUP($A142,'Data shares'!$C:$FA,118)</f>
        <v>0.78</v>
      </c>
      <c r="C142" s="143">
        <f>VLOOKUP($A142,'Data shares'!$C:$FA,119)</f>
        <v>0.86</v>
      </c>
      <c r="D142" s="143">
        <f>VLOOKUP($A142,'Data shares'!$C:$FA,121)*100</f>
        <v>-9.3000000000000007</v>
      </c>
      <c r="E142" s="143">
        <f>VLOOKUP($A142,'Data shares'!$C:$FA,124)</f>
        <v>0.23</v>
      </c>
      <c r="F142" s="143">
        <f>VLOOKUP($A142,'Data shares'!$C:$FA,125)</f>
        <v>1.91</v>
      </c>
      <c r="G142" s="143">
        <f>VLOOKUP($A142,'Data shares'!$C:$FA,127)*100</f>
        <v>-87.960000000000008</v>
      </c>
      <c r="H142" s="103">
        <f>VLOOKUP($A142,'OI(Volume)'!$A$7:$O$445,8)</f>
        <v>1578675</v>
      </c>
      <c r="I142" s="103">
        <f>VLOOKUP($A142,'OI(Volume)'!$A$7:$O$445,9)</f>
        <v>378975</v>
      </c>
      <c r="J142" s="103">
        <f>VLOOKUP($A142,'OI(Volume)'!$A$7:$O$445,11)</f>
        <v>1234575</v>
      </c>
      <c r="K142" s="103">
        <f>VLOOKUP($A142,'OI(Volume)'!$A$7:$O$445,12)</f>
        <v>208475</v>
      </c>
      <c r="L142" s="103">
        <f>VLOOKUP($A142,'OI(Value)'!$A$7:$O$329,8,0)</f>
        <v>129</v>
      </c>
      <c r="M142" s="103">
        <f>VLOOKUP($A142,'OI(Value)'!$A$7:$O$329,9,0)</f>
        <v>31</v>
      </c>
      <c r="N142" s="103">
        <f>VLOOKUP($A142,'OI(Value)'!$A$7:$O$329,11,0)</f>
        <v>101</v>
      </c>
      <c r="O142" s="103">
        <f>VLOOKUP($A142,'OI(Value)'!$A$7:$O$329,12,0)</f>
        <v>17</v>
      </c>
      <c r="P142" s="179">
        <f>VLOOKUP(A142,'OI(Value)'!A142:O366,8,0)</f>
        <v>129</v>
      </c>
      <c r="Q142" s="179">
        <f>VLOOKUP(A142,'OI(Value)'!A142:O366,9,0)</f>
        <v>31</v>
      </c>
      <c r="R142" s="179">
        <f>VLOOKUP(A142,'OI(Value)'!A142:O366,11,0)</f>
        <v>101</v>
      </c>
      <c r="S142" s="179">
        <f>VLOOKUP(A142,'OI(Value)'!A142:O366,11,0)</f>
        <v>101</v>
      </c>
    </row>
    <row r="143" spans="1:19" x14ac:dyDescent="0.25">
      <c r="A143" s="105" t="str">
        <f>'Data Vlaue (Cr)'!C138</f>
        <v>MPHASIS</v>
      </c>
      <c r="B143" s="143">
        <f>VLOOKUP($A143,'Data shares'!$C:$FA,118)</f>
        <v>0.78</v>
      </c>
      <c r="C143" s="143">
        <f>VLOOKUP($A143,'Data shares'!$C:$FA,119)</f>
        <v>0.78</v>
      </c>
      <c r="D143" s="143">
        <f>VLOOKUP($A143,'Data shares'!$C:$FA,121)*100</f>
        <v>0</v>
      </c>
      <c r="E143" s="143">
        <f>VLOOKUP($A143,'Data shares'!$C:$FA,124)</f>
        <v>0.76</v>
      </c>
      <c r="F143" s="143">
        <f>VLOOKUP($A143,'Data shares'!$C:$FA,125)</f>
        <v>0.33</v>
      </c>
      <c r="G143" s="143">
        <f>VLOOKUP($A143,'Data shares'!$C:$FA,127)*100</f>
        <v>130.29999999999998</v>
      </c>
      <c r="H143" s="103">
        <f>VLOOKUP($A143,'OI(Volume)'!$A$7:$O$445,8)</f>
        <v>1187175</v>
      </c>
      <c r="I143" s="103">
        <f>VLOOKUP($A143,'OI(Volume)'!$A$7:$O$445,9)</f>
        <v>-59400</v>
      </c>
      <c r="J143" s="103">
        <f>VLOOKUP($A143,'OI(Volume)'!$A$7:$O$445,11)</f>
        <v>924000</v>
      </c>
      <c r="K143" s="103">
        <f>VLOOKUP($A143,'OI(Volume)'!$A$7:$O$445,12)</f>
        <v>-52525</v>
      </c>
      <c r="L143" s="103">
        <f>VLOOKUP($A143,'OI(Value)'!$A$7:$O$329,8,0)</f>
        <v>293</v>
      </c>
      <c r="M143" s="103">
        <f>VLOOKUP($A143,'OI(Value)'!$A$7:$O$329,9,0)</f>
        <v>-15</v>
      </c>
      <c r="N143" s="103">
        <f>VLOOKUP($A143,'OI(Value)'!$A$7:$O$329,11,0)</f>
        <v>228</v>
      </c>
      <c r="O143" s="103">
        <f>VLOOKUP($A143,'OI(Value)'!$A$7:$O$329,12,0)</f>
        <v>-13</v>
      </c>
      <c r="P143" s="179">
        <f>VLOOKUP(A143,'OI(Value)'!A143:O367,8,0)</f>
        <v>293</v>
      </c>
      <c r="Q143" s="179">
        <f>VLOOKUP(A143,'OI(Value)'!A143:O367,9,0)</f>
        <v>-15</v>
      </c>
      <c r="R143" s="179">
        <f>VLOOKUP(A143,'OI(Value)'!A143:O367,11,0)</f>
        <v>228</v>
      </c>
      <c r="S143" s="179">
        <f>VLOOKUP(A143,'OI(Value)'!A143:O367,11,0)</f>
        <v>228</v>
      </c>
    </row>
    <row r="144" spans="1:19" x14ac:dyDescent="0.25">
      <c r="A144" s="105" t="str">
        <f>'Data Vlaue (Cr)'!C139</f>
        <v>MUTHOOTFIN</v>
      </c>
      <c r="B144" s="143">
        <f>VLOOKUP($A144,'Data shares'!$C:$FA,118)</f>
        <v>0.61</v>
      </c>
      <c r="C144" s="143">
        <f>VLOOKUP($A144,'Data shares'!$C:$FA,119)</f>
        <v>0.67</v>
      </c>
      <c r="D144" s="143">
        <f>VLOOKUP($A144,'Data shares'!$C:$FA,121)*100</f>
        <v>-8.9599999999999991</v>
      </c>
      <c r="E144" s="143">
        <f>VLOOKUP($A144,'Data shares'!$C:$FA,124)</f>
        <v>0.51</v>
      </c>
      <c r="F144" s="143">
        <f>VLOOKUP($A144,'Data shares'!$C:$FA,125)</f>
        <v>0.49</v>
      </c>
      <c r="G144" s="143">
        <f>VLOOKUP($A144,'Data shares'!$C:$FA,127)*100</f>
        <v>4.08</v>
      </c>
      <c r="H144" s="103">
        <f>VLOOKUP($A144,'OI(Volume)'!$A$7:$O$445,8)</f>
        <v>2358950</v>
      </c>
      <c r="I144" s="103">
        <f>VLOOKUP($A144,'OI(Volume)'!$A$7:$O$445,9)</f>
        <v>169950</v>
      </c>
      <c r="J144" s="103">
        <f>VLOOKUP($A144,'OI(Volume)'!$A$7:$O$445,11)</f>
        <v>1438525</v>
      </c>
      <c r="K144" s="103">
        <f>VLOOKUP($A144,'OI(Volume)'!$A$7:$O$445,12)</f>
        <v>-33825</v>
      </c>
      <c r="L144" s="103">
        <f>VLOOKUP($A144,'OI(Value)'!$A$7:$O$329,8,0)</f>
        <v>843</v>
      </c>
      <c r="M144" s="103">
        <f>VLOOKUP($A144,'OI(Value)'!$A$7:$O$329,9,0)</f>
        <v>61</v>
      </c>
      <c r="N144" s="103">
        <f>VLOOKUP($A144,'OI(Value)'!$A$7:$O$329,11,0)</f>
        <v>514</v>
      </c>
      <c r="O144" s="103">
        <f>VLOOKUP($A144,'OI(Value)'!$A$7:$O$329,12,0)</f>
        <v>-12</v>
      </c>
      <c r="P144" s="179">
        <f>VLOOKUP(A144,'OI(Value)'!A144:O368,8,0)</f>
        <v>843</v>
      </c>
      <c r="Q144" s="179">
        <f>VLOOKUP(A144,'OI(Value)'!A144:O368,9,0)</f>
        <v>61</v>
      </c>
      <c r="R144" s="179">
        <f>VLOOKUP(A144,'OI(Value)'!A144:O368,11,0)</f>
        <v>514</v>
      </c>
      <c r="S144" s="179">
        <f>VLOOKUP(A144,'OI(Value)'!A144:O368,11,0)</f>
        <v>514</v>
      </c>
    </row>
    <row r="145" spans="1:19" x14ac:dyDescent="0.25">
      <c r="A145" s="105" t="str">
        <f>'Data Vlaue (Cr)'!C140</f>
        <v>NAM-INDIA</v>
      </c>
      <c r="B145" s="143">
        <f>VLOOKUP($A145,'Data shares'!$C:$FA,118)</f>
        <v>0.73</v>
      </c>
      <c r="C145" s="143">
        <f>VLOOKUP($A145,'Data shares'!$C:$FA,119)</f>
        <v>0.57999999999999996</v>
      </c>
      <c r="D145" s="143">
        <f>VLOOKUP($A145,'Data shares'!$C:$FA,121)*100</f>
        <v>25.86</v>
      </c>
      <c r="E145" s="143">
        <f>VLOOKUP($A145,'Data shares'!$C:$FA,124)</f>
        <v>0.26</v>
      </c>
      <c r="F145" s="143">
        <f>VLOOKUP($A145,'Data shares'!$C:$FA,125)</f>
        <v>1.26</v>
      </c>
      <c r="G145" s="143">
        <f>VLOOKUP($A145,'Data shares'!$C:$FA,127)*100</f>
        <v>-79.36999999999999</v>
      </c>
      <c r="H145" s="103">
        <f>VLOOKUP($A145,'OI(Volume)'!$A$7:$O$445,8)</f>
        <v>730000</v>
      </c>
      <c r="I145" s="103">
        <f>VLOOKUP($A145,'OI(Volume)'!$A$7:$O$445,9)</f>
        <v>-36250</v>
      </c>
      <c r="J145" s="103">
        <f>VLOOKUP($A145,'OI(Volume)'!$A$7:$O$445,11)</f>
        <v>529375</v>
      </c>
      <c r="K145" s="103">
        <f>VLOOKUP($A145,'OI(Volume)'!$A$7:$O$445,12)</f>
        <v>85000</v>
      </c>
      <c r="L145" s="103">
        <f>VLOOKUP($A145,'OI(Value)'!$A$7:$O$329,8,0)</f>
        <v>73</v>
      </c>
      <c r="M145" s="103">
        <f>VLOOKUP($A145,'OI(Value)'!$A$7:$O$329,9,0)</f>
        <v>-4</v>
      </c>
      <c r="N145" s="103">
        <f>VLOOKUP($A145,'OI(Value)'!$A$7:$O$329,11,0)</f>
        <v>53</v>
      </c>
      <c r="O145" s="103">
        <f>VLOOKUP($A145,'OI(Value)'!$A$7:$O$329,12,0)</f>
        <v>9</v>
      </c>
      <c r="P145" s="179">
        <f>VLOOKUP(A145,'OI(Value)'!A145:O369,8,0)</f>
        <v>73</v>
      </c>
      <c r="Q145" s="179">
        <f>VLOOKUP(A145,'OI(Value)'!A145:O369,9,0)</f>
        <v>-4</v>
      </c>
      <c r="R145" s="179">
        <f>VLOOKUP(A145,'OI(Value)'!A145:O369,11,0)</f>
        <v>53</v>
      </c>
      <c r="S145" s="179">
        <f>VLOOKUP(A145,'OI(Value)'!A145:O369,11,0)</f>
        <v>53</v>
      </c>
    </row>
    <row r="146" spans="1:19" x14ac:dyDescent="0.25">
      <c r="A146" s="105" t="str">
        <f>'Data Vlaue (Cr)'!C141</f>
        <v>NATIONALUM</v>
      </c>
      <c r="B146" s="143">
        <f>VLOOKUP($A146,'Data shares'!$C:$FA,118)</f>
        <v>1</v>
      </c>
      <c r="C146" s="143">
        <f>VLOOKUP($A146,'Data shares'!$C:$FA,119)</f>
        <v>0.93</v>
      </c>
      <c r="D146" s="143">
        <f>VLOOKUP($A146,'Data shares'!$C:$FA,121)*100</f>
        <v>7.53</v>
      </c>
      <c r="E146" s="143">
        <f>VLOOKUP($A146,'Data shares'!$C:$FA,124)</f>
        <v>0.55000000000000004</v>
      </c>
      <c r="F146" s="143">
        <f>VLOOKUP($A146,'Data shares'!$C:$FA,125)</f>
        <v>0.4</v>
      </c>
      <c r="G146" s="143">
        <f>VLOOKUP($A146,'Data shares'!$C:$FA,127)*100</f>
        <v>37.5</v>
      </c>
      <c r="H146" s="103">
        <f>VLOOKUP($A146,'OI(Volume)'!$A$7:$O$445,8)</f>
        <v>34098750</v>
      </c>
      <c r="I146" s="103">
        <f>VLOOKUP($A146,'OI(Volume)'!$A$7:$O$445,9)</f>
        <v>-1661250</v>
      </c>
      <c r="J146" s="103">
        <f>VLOOKUP($A146,'OI(Volume)'!$A$7:$O$445,11)</f>
        <v>34046250</v>
      </c>
      <c r="K146" s="103">
        <f>VLOOKUP($A146,'OI(Volume)'!$A$7:$O$445,12)</f>
        <v>877500</v>
      </c>
      <c r="L146" s="103">
        <f>VLOOKUP($A146,'OI(Value)'!$A$7:$O$329,8,0)</f>
        <v>1496</v>
      </c>
      <c r="M146" s="103">
        <f>VLOOKUP($A146,'OI(Value)'!$A$7:$O$329,9,0)</f>
        <v>-73</v>
      </c>
      <c r="N146" s="103">
        <f>VLOOKUP($A146,'OI(Value)'!$A$7:$O$329,11,0)</f>
        <v>1493</v>
      </c>
      <c r="O146" s="103">
        <f>VLOOKUP($A146,'OI(Value)'!$A$7:$O$329,12,0)</f>
        <v>38</v>
      </c>
      <c r="P146" s="179">
        <f>VLOOKUP(A146,'OI(Value)'!A146:O370,8,0)</f>
        <v>1496</v>
      </c>
      <c r="Q146" s="179">
        <f>VLOOKUP(A146,'OI(Value)'!A146:O370,9,0)</f>
        <v>-73</v>
      </c>
      <c r="R146" s="179">
        <f>VLOOKUP(A146,'OI(Value)'!A146:O370,11,0)</f>
        <v>1493</v>
      </c>
      <c r="S146" s="179">
        <f>VLOOKUP(A146,'OI(Value)'!A146:O370,11,0)</f>
        <v>1493</v>
      </c>
    </row>
    <row r="147" spans="1:19" x14ac:dyDescent="0.25">
      <c r="A147" s="105" t="str">
        <f>'Data Vlaue (Cr)'!C142</f>
        <v>NAUKRI</v>
      </c>
      <c r="B147" s="143">
        <f>VLOOKUP($A147,'Data shares'!$C:$FA,118)</f>
        <v>0.43</v>
      </c>
      <c r="C147" s="143">
        <f>VLOOKUP($A147,'Data shares'!$C:$FA,119)</f>
        <v>0.45</v>
      </c>
      <c r="D147" s="143">
        <f>VLOOKUP($A147,'Data shares'!$C:$FA,121)*100</f>
        <v>-4.4400000000000004</v>
      </c>
      <c r="E147" s="143">
        <f>VLOOKUP($A147,'Data shares'!$C:$FA,124)</f>
        <v>0.43</v>
      </c>
      <c r="F147" s="143">
        <f>VLOOKUP($A147,'Data shares'!$C:$FA,125)</f>
        <v>0.32</v>
      </c>
      <c r="G147" s="143">
        <f>VLOOKUP($A147,'Data shares'!$C:$FA,127)*100</f>
        <v>34.369999999999997</v>
      </c>
      <c r="H147" s="103">
        <f>VLOOKUP($A147,'OI(Volume)'!$A$7:$O$445,8)</f>
        <v>3109500</v>
      </c>
      <c r="I147" s="103">
        <f>VLOOKUP($A147,'OI(Volume)'!$A$7:$O$445,9)</f>
        <v>249375</v>
      </c>
      <c r="J147" s="103">
        <f>VLOOKUP($A147,'OI(Volume)'!$A$7:$O$445,11)</f>
        <v>1347000</v>
      </c>
      <c r="K147" s="103">
        <f>VLOOKUP($A147,'OI(Volume)'!$A$7:$O$445,12)</f>
        <v>47625</v>
      </c>
      <c r="L147" s="103">
        <f>VLOOKUP($A147,'OI(Value)'!$A$7:$O$329,8,0)</f>
        <v>328</v>
      </c>
      <c r="M147" s="103">
        <f>VLOOKUP($A147,'OI(Value)'!$A$7:$O$329,9,0)</f>
        <v>26</v>
      </c>
      <c r="N147" s="103">
        <f>VLOOKUP($A147,'OI(Value)'!$A$7:$O$329,11,0)</f>
        <v>142</v>
      </c>
      <c r="O147" s="103">
        <f>VLOOKUP($A147,'OI(Value)'!$A$7:$O$329,12,0)</f>
        <v>5</v>
      </c>
      <c r="P147" s="179">
        <f>VLOOKUP(A147,'OI(Value)'!A147:O371,8,0)</f>
        <v>328</v>
      </c>
      <c r="Q147" s="179">
        <f>VLOOKUP(A147,'OI(Value)'!A147:O371,9,0)</f>
        <v>26</v>
      </c>
      <c r="R147" s="179">
        <f>VLOOKUP(A147,'OI(Value)'!A147:O371,11,0)</f>
        <v>142</v>
      </c>
      <c r="S147" s="179">
        <f>VLOOKUP(A147,'OI(Value)'!A147:O371,11,0)</f>
        <v>142</v>
      </c>
    </row>
    <row r="148" spans="1:19" x14ac:dyDescent="0.25">
      <c r="A148" s="105" t="str">
        <f>'Data Vlaue (Cr)'!C143</f>
        <v>NBCC</v>
      </c>
      <c r="B148" s="143">
        <f>VLOOKUP($A148,'Data shares'!$C:$FA,118)</f>
        <v>0.67</v>
      </c>
      <c r="C148" s="143">
        <f>VLOOKUP($A148,'Data shares'!$C:$FA,119)</f>
        <v>0.76</v>
      </c>
      <c r="D148" s="143">
        <f>VLOOKUP($A148,'Data shares'!$C:$FA,121)*100</f>
        <v>-11.84</v>
      </c>
      <c r="E148" s="143">
        <f>VLOOKUP($A148,'Data shares'!$C:$FA,124)</f>
        <v>0.42</v>
      </c>
      <c r="F148" s="143">
        <f>VLOOKUP($A148,'Data shares'!$C:$FA,125)</f>
        <v>0.46</v>
      </c>
      <c r="G148" s="143">
        <f>VLOOKUP($A148,'Data shares'!$C:$FA,127)*100</f>
        <v>-8.6999999999999993</v>
      </c>
      <c r="H148" s="103">
        <f>VLOOKUP($A148,'OI(Volume)'!$A$7:$O$445,8)</f>
        <v>20007000</v>
      </c>
      <c r="I148" s="103">
        <f>VLOOKUP($A148,'OI(Volume)'!$A$7:$O$445,9)</f>
        <v>2203500</v>
      </c>
      <c r="J148" s="103">
        <f>VLOOKUP($A148,'OI(Volume)'!$A$7:$O$445,11)</f>
        <v>13500500</v>
      </c>
      <c r="K148" s="103">
        <f>VLOOKUP($A148,'OI(Volume)'!$A$7:$O$445,12)</f>
        <v>6500</v>
      </c>
      <c r="L148" s="103">
        <f>VLOOKUP($A148,'OI(Value)'!$A$7:$O$329,8,0)</f>
        <v>189</v>
      </c>
      <c r="M148" s="103">
        <f>VLOOKUP($A148,'OI(Value)'!$A$7:$O$329,9,0)</f>
        <v>21</v>
      </c>
      <c r="N148" s="103">
        <f>VLOOKUP($A148,'OI(Value)'!$A$7:$O$329,11,0)</f>
        <v>128</v>
      </c>
      <c r="O148" s="103">
        <f>VLOOKUP($A148,'OI(Value)'!$A$7:$O$329,12,0)</f>
        <v>0</v>
      </c>
      <c r="P148" s="179">
        <f>VLOOKUP(A148,'OI(Value)'!A148:O372,8,0)</f>
        <v>189</v>
      </c>
      <c r="Q148" s="179">
        <f>VLOOKUP(A148,'OI(Value)'!A148:O372,9,0)</f>
        <v>21</v>
      </c>
      <c r="R148" s="179">
        <f>VLOOKUP(A148,'OI(Value)'!A148:O372,11,0)</f>
        <v>128</v>
      </c>
      <c r="S148" s="179">
        <f>VLOOKUP(A148,'OI(Value)'!A148:O372,11,0)</f>
        <v>128</v>
      </c>
    </row>
    <row r="149" spans="1:19" x14ac:dyDescent="0.25">
      <c r="A149" s="105" t="str">
        <f>'Data Vlaue (Cr)'!C144</f>
        <v>NESTLEIND</v>
      </c>
      <c r="B149" s="143">
        <f>VLOOKUP($A149,'Data shares'!$C:$FA,118)</f>
        <v>0.56000000000000005</v>
      </c>
      <c r="C149" s="143">
        <f>VLOOKUP($A149,'Data shares'!$C:$FA,119)</f>
        <v>0.7</v>
      </c>
      <c r="D149" s="143">
        <f>VLOOKUP($A149,'Data shares'!$C:$FA,121)*100</f>
        <v>-20</v>
      </c>
      <c r="E149" s="143">
        <f>VLOOKUP($A149,'Data shares'!$C:$FA,124)</f>
        <v>0.26</v>
      </c>
      <c r="F149" s="143">
        <f>VLOOKUP($A149,'Data shares'!$C:$FA,125)</f>
        <v>0.4</v>
      </c>
      <c r="G149" s="143">
        <f>VLOOKUP($A149,'Data shares'!$C:$FA,127)*100</f>
        <v>-35</v>
      </c>
      <c r="H149" s="103">
        <f>VLOOKUP($A149,'OI(Volume)'!$A$7:$O$445,8)</f>
        <v>4183500</v>
      </c>
      <c r="I149" s="103">
        <f>VLOOKUP($A149,'OI(Volume)'!$A$7:$O$445,9)</f>
        <v>1298000</v>
      </c>
      <c r="J149" s="103">
        <f>VLOOKUP($A149,'OI(Volume)'!$A$7:$O$445,11)</f>
        <v>2351000</v>
      </c>
      <c r="K149" s="103">
        <f>VLOOKUP($A149,'OI(Volume)'!$A$7:$O$445,12)</f>
        <v>326000</v>
      </c>
      <c r="L149" s="103">
        <f>VLOOKUP($A149,'OI(Value)'!$A$7:$O$329,8,0)</f>
        <v>538</v>
      </c>
      <c r="M149" s="103">
        <f>VLOOKUP($A149,'OI(Value)'!$A$7:$O$329,9,0)</f>
        <v>167</v>
      </c>
      <c r="N149" s="103">
        <f>VLOOKUP($A149,'OI(Value)'!$A$7:$O$329,11,0)</f>
        <v>302</v>
      </c>
      <c r="O149" s="103">
        <f>VLOOKUP($A149,'OI(Value)'!$A$7:$O$329,12,0)</f>
        <v>42</v>
      </c>
      <c r="P149" s="179">
        <f>VLOOKUP(A149,'OI(Value)'!A149:O373,8,0)</f>
        <v>538</v>
      </c>
      <c r="Q149" s="179">
        <f>VLOOKUP(A149,'OI(Value)'!A149:O373,9,0)</f>
        <v>167</v>
      </c>
      <c r="R149" s="179">
        <f>VLOOKUP(A149,'OI(Value)'!A149:O373,11,0)</f>
        <v>302</v>
      </c>
      <c r="S149" s="179">
        <f>VLOOKUP(A149,'OI(Value)'!A149:O373,11,0)</f>
        <v>302</v>
      </c>
    </row>
    <row r="150" spans="1:19" x14ac:dyDescent="0.25">
      <c r="A150" s="105" t="str">
        <f>'Data Vlaue (Cr)'!C145</f>
        <v>NHPC</v>
      </c>
      <c r="B150" s="143">
        <f>VLOOKUP($A150,'Data shares'!$C:$FA,118)</f>
        <v>0.8</v>
      </c>
      <c r="C150" s="143">
        <f>VLOOKUP($A150,'Data shares'!$C:$FA,119)</f>
        <v>0.73</v>
      </c>
      <c r="D150" s="143">
        <f>VLOOKUP($A150,'Data shares'!$C:$FA,121)*100</f>
        <v>9.59</v>
      </c>
      <c r="E150" s="143">
        <f>VLOOKUP($A150,'Data shares'!$C:$FA,124)</f>
        <v>0.43</v>
      </c>
      <c r="F150" s="143">
        <f>VLOOKUP($A150,'Data shares'!$C:$FA,125)</f>
        <v>0.46</v>
      </c>
      <c r="G150" s="143">
        <f>VLOOKUP($A150,'Data shares'!$C:$FA,127)*100</f>
        <v>-6.52</v>
      </c>
      <c r="H150" s="103">
        <f>VLOOKUP($A150,'OI(Volume)'!$A$7:$O$445,8)</f>
        <v>37728000</v>
      </c>
      <c r="I150" s="103">
        <f>VLOOKUP($A150,'OI(Volume)'!$A$7:$O$445,9)</f>
        <v>-2752000</v>
      </c>
      <c r="J150" s="103">
        <f>VLOOKUP($A150,'OI(Volume)'!$A$7:$O$445,11)</f>
        <v>30323200</v>
      </c>
      <c r="K150" s="103">
        <f>VLOOKUP($A150,'OI(Volume)'!$A$7:$O$445,12)</f>
        <v>678400</v>
      </c>
      <c r="L150" s="103">
        <f>VLOOKUP($A150,'OI(Value)'!$A$7:$O$329,8,0)</f>
        <v>311</v>
      </c>
      <c r="M150" s="103">
        <f>VLOOKUP($A150,'OI(Value)'!$A$7:$O$329,9,0)</f>
        <v>-23</v>
      </c>
      <c r="N150" s="103">
        <f>VLOOKUP($A150,'OI(Value)'!$A$7:$O$329,11,0)</f>
        <v>250</v>
      </c>
      <c r="O150" s="103">
        <f>VLOOKUP($A150,'OI(Value)'!$A$7:$O$329,12,0)</f>
        <v>6</v>
      </c>
      <c r="P150" s="179">
        <f>VLOOKUP(A150,'OI(Value)'!A150:O374,8,0)</f>
        <v>311</v>
      </c>
      <c r="Q150" s="179">
        <f>VLOOKUP(A150,'OI(Value)'!A150:O374,9,0)</f>
        <v>-23</v>
      </c>
      <c r="R150" s="179">
        <f>VLOOKUP(A150,'OI(Value)'!A150:O374,11,0)</f>
        <v>250</v>
      </c>
      <c r="S150" s="179">
        <f>VLOOKUP(A150,'OI(Value)'!A150:O374,11,0)</f>
        <v>250</v>
      </c>
    </row>
    <row r="151" spans="1:19" x14ac:dyDescent="0.25">
      <c r="A151" s="105" t="str">
        <f>'Data Vlaue (Cr)'!C146</f>
        <v>NIFTY</v>
      </c>
      <c r="B151" s="143">
        <f>VLOOKUP($A151,'Data shares'!$C:$FA,118)</f>
        <v>1.0900000000000001</v>
      </c>
      <c r="C151" s="143">
        <f>VLOOKUP($A151,'Data shares'!$C:$FA,119)</f>
        <v>0.98</v>
      </c>
      <c r="D151" s="143">
        <f>VLOOKUP($A151,'Data shares'!$C:$FA,121)*100</f>
        <v>11.219999999999999</v>
      </c>
      <c r="E151" s="143">
        <f>VLOOKUP($A151,'Data shares'!$C:$FA,124)</f>
        <v>0.84</v>
      </c>
      <c r="F151" s="143">
        <f>VLOOKUP($A151,'Data shares'!$C:$FA,125)</f>
        <v>0.99</v>
      </c>
      <c r="G151" s="143">
        <f>VLOOKUP($A151,'Data shares'!$C:$FA,127)*100</f>
        <v>-15.15</v>
      </c>
      <c r="H151" s="103">
        <f>VLOOKUP($A151,'OI(Volume)'!$A$7:$O$445,8)</f>
        <v>237893495</v>
      </c>
      <c r="I151" s="103">
        <f>VLOOKUP($A151,'OI(Volume)'!$A$7:$O$445,9)</f>
        <v>19766570</v>
      </c>
      <c r="J151" s="103">
        <f>VLOOKUP($A151,'OI(Volume)'!$A$7:$O$445,11)</f>
        <v>260436530</v>
      </c>
      <c r="K151" s="103">
        <f>VLOOKUP($A151,'OI(Volume)'!$A$7:$O$445,12)</f>
        <v>46243545</v>
      </c>
      <c r="L151" s="103">
        <f>VLOOKUP($A151,'OI(Value)'!$A$7:$O$329,8,0)</f>
        <v>579699</v>
      </c>
      <c r="M151" s="103">
        <f>VLOOKUP($A151,'OI(Value)'!$A$7:$O$329,9,0)</f>
        <v>48167</v>
      </c>
      <c r="N151" s="103">
        <f>VLOOKUP($A151,'OI(Value)'!$A$7:$O$329,11,0)</f>
        <v>634632</v>
      </c>
      <c r="O151" s="103">
        <f>VLOOKUP($A151,'OI(Value)'!$A$7:$O$329,12,0)</f>
        <v>112686</v>
      </c>
      <c r="P151" s="179">
        <f>VLOOKUP(A151,'OI(Value)'!A151:O375,8,0)</f>
        <v>579699</v>
      </c>
      <c r="Q151" s="179">
        <f>VLOOKUP(A151,'OI(Value)'!A151:O375,9,0)</f>
        <v>48167</v>
      </c>
      <c r="R151" s="179">
        <f>VLOOKUP(A151,'OI(Value)'!A151:O375,11,0)</f>
        <v>634632</v>
      </c>
      <c r="S151" s="179">
        <f>VLOOKUP(A151,'OI(Value)'!A151:O375,11,0)</f>
        <v>634632</v>
      </c>
    </row>
    <row r="152" spans="1:19" x14ac:dyDescent="0.25">
      <c r="A152" s="105" t="str">
        <f>'Data Vlaue (Cr)'!C147</f>
        <v>NIFTYNXT50</v>
      </c>
      <c r="B152" s="143">
        <f>VLOOKUP($A152,'Data shares'!$C:$FA,118)</f>
        <v>0.36</v>
      </c>
      <c r="C152" s="143">
        <f>VLOOKUP($A152,'Data shares'!$C:$FA,119)</f>
        <v>1.04</v>
      </c>
      <c r="D152" s="143">
        <f>VLOOKUP($A152,'Data shares'!$C:$FA,121)*100</f>
        <v>-65.38000000000001</v>
      </c>
      <c r="E152" s="143">
        <f>VLOOKUP($A152,'Data shares'!$C:$FA,124)</f>
        <v>0.21</v>
      </c>
      <c r="F152" s="143">
        <f>VLOOKUP($A152,'Data shares'!$C:$FA,125)</f>
        <v>1.08</v>
      </c>
      <c r="G152" s="143">
        <f>VLOOKUP($A152,'Data shares'!$C:$FA,127)*100</f>
        <v>-80.56</v>
      </c>
      <c r="H152" s="103">
        <f>VLOOKUP($A152,'OI(Volume)'!$A$7:$O$445,8)</f>
        <v>13650</v>
      </c>
      <c r="I152" s="103">
        <f>VLOOKUP($A152,'OI(Volume)'!$A$7:$O$445,9)</f>
        <v>9400</v>
      </c>
      <c r="J152" s="103">
        <f>VLOOKUP($A152,'OI(Volume)'!$A$7:$O$445,11)</f>
        <v>4900</v>
      </c>
      <c r="K152" s="103">
        <f>VLOOKUP($A152,'OI(Volume)'!$A$7:$O$445,12)</f>
        <v>500</v>
      </c>
      <c r="L152" s="103">
        <f>VLOOKUP($A152,'OI(Value)'!$A$7:$O$329,8,0)</f>
        <v>96</v>
      </c>
      <c r="M152" s="103">
        <f>VLOOKUP($A152,'OI(Value)'!$A$7:$O$329,9,0)</f>
        <v>66</v>
      </c>
      <c r="N152" s="103">
        <f>VLOOKUP($A152,'OI(Value)'!$A$7:$O$329,11,0)</f>
        <v>34</v>
      </c>
      <c r="O152" s="103">
        <f>VLOOKUP($A152,'OI(Value)'!$A$7:$O$329,12,0)</f>
        <v>4</v>
      </c>
      <c r="P152" s="179">
        <f>VLOOKUP(A152,'OI(Value)'!A152:O376,8,0)</f>
        <v>96</v>
      </c>
      <c r="Q152" s="179">
        <f>VLOOKUP(A152,'OI(Value)'!A152:O376,9,0)</f>
        <v>66</v>
      </c>
      <c r="R152" s="179">
        <f>VLOOKUP(A152,'OI(Value)'!A152:O376,11,0)</f>
        <v>34</v>
      </c>
      <c r="S152" s="179">
        <f>VLOOKUP(A152,'OI(Value)'!A152:O376,11,0)</f>
        <v>34</v>
      </c>
    </row>
    <row r="153" spans="1:19" x14ac:dyDescent="0.25">
      <c r="A153" s="105" t="str">
        <f>'Data Vlaue (Cr)'!C148</f>
        <v>NMDC</v>
      </c>
      <c r="B153" s="143">
        <f>VLOOKUP($A153,'Data shares'!$C:$FA,118)</f>
        <v>0.69</v>
      </c>
      <c r="C153" s="143">
        <f>VLOOKUP($A153,'Data shares'!$C:$FA,119)</f>
        <v>0.65</v>
      </c>
      <c r="D153" s="143">
        <f>VLOOKUP($A153,'Data shares'!$C:$FA,121)*100</f>
        <v>6.15</v>
      </c>
      <c r="E153" s="143">
        <f>VLOOKUP($A153,'Data shares'!$C:$FA,124)</f>
        <v>0.34</v>
      </c>
      <c r="F153" s="143">
        <f>VLOOKUP($A153,'Data shares'!$C:$FA,125)</f>
        <v>0.37</v>
      </c>
      <c r="G153" s="143">
        <f>VLOOKUP($A153,'Data shares'!$C:$FA,127)*100</f>
        <v>-8.1100000000000012</v>
      </c>
      <c r="H153" s="103">
        <f>VLOOKUP($A153,'OI(Volume)'!$A$7:$O$445,8)</f>
        <v>80115750</v>
      </c>
      <c r="I153" s="103">
        <f>VLOOKUP($A153,'OI(Volume)'!$A$7:$O$445,9)</f>
        <v>6675750</v>
      </c>
      <c r="J153" s="103">
        <f>VLOOKUP($A153,'OI(Volume)'!$A$7:$O$445,11)</f>
        <v>54999000</v>
      </c>
      <c r="K153" s="103">
        <f>VLOOKUP($A153,'OI(Volume)'!$A$7:$O$445,12)</f>
        <v>7506000</v>
      </c>
      <c r="L153" s="103">
        <f>VLOOKUP($A153,'OI(Value)'!$A$7:$O$329,8,0)</f>
        <v>721</v>
      </c>
      <c r="M153" s="103">
        <f>VLOOKUP($A153,'OI(Value)'!$A$7:$O$329,9,0)</f>
        <v>60</v>
      </c>
      <c r="N153" s="103">
        <f>VLOOKUP($A153,'OI(Value)'!$A$7:$O$329,11,0)</f>
        <v>495</v>
      </c>
      <c r="O153" s="103">
        <f>VLOOKUP($A153,'OI(Value)'!$A$7:$O$329,12,0)</f>
        <v>68</v>
      </c>
      <c r="P153" s="179">
        <f>VLOOKUP(A153,'OI(Value)'!A153:O377,8,0)</f>
        <v>721</v>
      </c>
      <c r="Q153" s="179">
        <f>VLOOKUP(A153,'OI(Value)'!A153:O377,9,0)</f>
        <v>60</v>
      </c>
      <c r="R153" s="179">
        <f>VLOOKUP(A153,'OI(Value)'!A153:O377,11,0)</f>
        <v>495</v>
      </c>
      <c r="S153" s="179">
        <f>VLOOKUP(A153,'OI(Value)'!A153:O377,11,0)</f>
        <v>495</v>
      </c>
    </row>
    <row r="154" spans="1:19" x14ac:dyDescent="0.25">
      <c r="A154" s="105" t="str">
        <f>'Data Vlaue (Cr)'!C149</f>
        <v>NTPC</v>
      </c>
      <c r="B154" s="143">
        <f>VLOOKUP($A154,'Data shares'!$C:$FA,118)</f>
        <v>0.53</v>
      </c>
      <c r="C154" s="143">
        <f>VLOOKUP($A154,'Data shares'!$C:$FA,119)</f>
        <v>0.56000000000000005</v>
      </c>
      <c r="D154" s="143">
        <f>VLOOKUP($A154,'Data shares'!$C:$FA,121)*100</f>
        <v>-5.36</v>
      </c>
      <c r="E154" s="143">
        <f>VLOOKUP($A154,'Data shares'!$C:$FA,124)</f>
        <v>0.47</v>
      </c>
      <c r="F154" s="143">
        <f>VLOOKUP($A154,'Data shares'!$C:$FA,125)</f>
        <v>0.44</v>
      </c>
      <c r="G154" s="143">
        <f>VLOOKUP($A154,'Data shares'!$C:$FA,127)*100</f>
        <v>6.8199999999999994</v>
      </c>
      <c r="H154" s="103">
        <f>VLOOKUP($A154,'OI(Volume)'!$A$7:$O$445,8)</f>
        <v>59341500</v>
      </c>
      <c r="I154" s="103">
        <f>VLOOKUP($A154,'OI(Volume)'!$A$7:$O$445,9)</f>
        <v>7933500</v>
      </c>
      <c r="J154" s="103">
        <f>VLOOKUP($A154,'OI(Volume)'!$A$7:$O$445,11)</f>
        <v>31327500</v>
      </c>
      <c r="K154" s="103">
        <f>VLOOKUP($A154,'OI(Volume)'!$A$7:$O$445,12)</f>
        <v>2328000</v>
      </c>
      <c r="L154" s="103">
        <f>VLOOKUP($A154,'OI(Value)'!$A$7:$O$329,8,0)</f>
        <v>2345</v>
      </c>
      <c r="M154" s="103">
        <f>VLOOKUP($A154,'OI(Value)'!$A$7:$O$329,9,0)</f>
        <v>314</v>
      </c>
      <c r="N154" s="103">
        <f>VLOOKUP($A154,'OI(Value)'!$A$7:$O$329,11,0)</f>
        <v>1238</v>
      </c>
      <c r="O154" s="103">
        <f>VLOOKUP($A154,'OI(Value)'!$A$7:$O$329,12,0)</f>
        <v>92</v>
      </c>
      <c r="P154" s="179">
        <f>VLOOKUP(A154,'OI(Value)'!A154:O378,8,0)</f>
        <v>2345</v>
      </c>
      <c r="Q154" s="179">
        <f>VLOOKUP(A154,'OI(Value)'!A154:O378,9,0)</f>
        <v>314</v>
      </c>
      <c r="R154" s="179">
        <f>VLOOKUP(A154,'OI(Value)'!A154:O378,11,0)</f>
        <v>1238</v>
      </c>
      <c r="S154" s="179">
        <f>VLOOKUP(A154,'OI(Value)'!A154:O378,11,0)</f>
        <v>1238</v>
      </c>
    </row>
    <row r="155" spans="1:19" x14ac:dyDescent="0.25">
      <c r="A155" s="105" t="str">
        <f>'Data Vlaue (Cr)'!C150</f>
        <v>NUVAMA</v>
      </c>
      <c r="B155" s="143">
        <f>VLOOKUP($A155,'Data shares'!$C:$FA,118)</f>
        <v>0.85</v>
      </c>
      <c r="C155" s="143">
        <f>VLOOKUP($A155,'Data shares'!$C:$FA,119)</f>
        <v>0.89</v>
      </c>
      <c r="D155" s="143">
        <f>VLOOKUP($A155,'Data shares'!$C:$FA,121)*100</f>
        <v>-4.49</v>
      </c>
      <c r="E155" s="143">
        <f>VLOOKUP($A155,'Data shares'!$C:$FA,124)</f>
        <v>0.28999999999999998</v>
      </c>
      <c r="F155" s="143">
        <f>VLOOKUP($A155,'Data shares'!$C:$FA,125)</f>
        <v>1.44</v>
      </c>
      <c r="G155" s="143">
        <f>VLOOKUP($A155,'Data shares'!$C:$FA,127)*100</f>
        <v>-79.86</v>
      </c>
      <c r="H155" s="103">
        <f>VLOOKUP($A155,'OI(Volume)'!$A$7:$O$445,8)</f>
        <v>964000</v>
      </c>
      <c r="I155" s="103">
        <f>VLOOKUP($A155,'OI(Volume)'!$A$7:$O$445,9)</f>
        <v>85000</v>
      </c>
      <c r="J155" s="103">
        <f>VLOOKUP($A155,'OI(Volume)'!$A$7:$O$445,11)</f>
        <v>815500</v>
      </c>
      <c r="K155" s="103">
        <f>VLOOKUP($A155,'OI(Volume)'!$A$7:$O$445,12)</f>
        <v>31000</v>
      </c>
      <c r="L155" s="103">
        <f>VLOOKUP($A155,'OI(Value)'!$A$7:$O$329,8,0)</f>
        <v>134</v>
      </c>
      <c r="M155" s="103">
        <f>VLOOKUP($A155,'OI(Value)'!$A$7:$O$329,9,0)</f>
        <v>12</v>
      </c>
      <c r="N155" s="103">
        <f>VLOOKUP($A155,'OI(Value)'!$A$7:$O$329,11,0)</f>
        <v>114</v>
      </c>
      <c r="O155" s="103">
        <f>VLOOKUP($A155,'OI(Value)'!$A$7:$O$329,12,0)</f>
        <v>4</v>
      </c>
      <c r="P155" s="179">
        <f>VLOOKUP(A155,'OI(Value)'!A155:O379,8,0)</f>
        <v>134</v>
      </c>
      <c r="Q155" s="179">
        <f>VLOOKUP(A155,'OI(Value)'!A155:O379,9,0)</f>
        <v>12</v>
      </c>
      <c r="R155" s="179">
        <f>VLOOKUP(A155,'OI(Value)'!A155:O379,11,0)</f>
        <v>114</v>
      </c>
      <c r="S155" s="179">
        <f>VLOOKUP(A155,'OI(Value)'!A155:O379,11,0)</f>
        <v>114</v>
      </c>
    </row>
    <row r="156" spans="1:19" x14ac:dyDescent="0.25">
      <c r="A156" s="105" t="str">
        <f>'Data Vlaue (Cr)'!C151</f>
        <v>NYKAA</v>
      </c>
      <c r="B156" s="143">
        <f>VLOOKUP($A156,'Data shares'!$C:$FA,118)</f>
        <v>0.71</v>
      </c>
      <c r="C156" s="143">
        <f>VLOOKUP($A156,'Data shares'!$C:$FA,119)</f>
        <v>0.56000000000000005</v>
      </c>
      <c r="D156" s="143">
        <f>VLOOKUP($A156,'Data shares'!$C:$FA,121)*100</f>
        <v>26.790000000000003</v>
      </c>
      <c r="E156" s="143">
        <f>VLOOKUP($A156,'Data shares'!$C:$FA,124)</f>
        <v>0.37</v>
      </c>
      <c r="F156" s="143">
        <f>VLOOKUP($A156,'Data shares'!$C:$FA,125)</f>
        <v>0.32</v>
      </c>
      <c r="G156" s="143">
        <f>VLOOKUP($A156,'Data shares'!$C:$FA,127)*100</f>
        <v>15.620000000000001</v>
      </c>
      <c r="H156" s="103">
        <f>VLOOKUP($A156,'OI(Volume)'!$A$7:$O$445,8)</f>
        <v>7662500</v>
      </c>
      <c r="I156" s="103">
        <f>VLOOKUP($A156,'OI(Volume)'!$A$7:$O$445,9)</f>
        <v>-528125</v>
      </c>
      <c r="J156" s="103">
        <f>VLOOKUP($A156,'OI(Volume)'!$A$7:$O$445,11)</f>
        <v>5409375</v>
      </c>
      <c r="K156" s="103">
        <f>VLOOKUP($A156,'OI(Volume)'!$A$7:$O$445,12)</f>
        <v>784375</v>
      </c>
      <c r="L156" s="103">
        <f>VLOOKUP($A156,'OI(Value)'!$A$7:$O$329,8,0)</f>
        <v>207</v>
      </c>
      <c r="M156" s="103">
        <f>VLOOKUP($A156,'OI(Value)'!$A$7:$O$329,9,0)</f>
        <v>-14</v>
      </c>
      <c r="N156" s="103">
        <f>VLOOKUP($A156,'OI(Value)'!$A$7:$O$329,11,0)</f>
        <v>146</v>
      </c>
      <c r="O156" s="103">
        <f>VLOOKUP($A156,'OI(Value)'!$A$7:$O$329,12,0)</f>
        <v>21</v>
      </c>
      <c r="P156" s="179">
        <f>VLOOKUP(A156,'OI(Value)'!A156:O380,8,0)</f>
        <v>207</v>
      </c>
      <c r="Q156" s="179">
        <f>VLOOKUP(A156,'OI(Value)'!A156:O380,9,0)</f>
        <v>-14</v>
      </c>
      <c r="R156" s="179">
        <f>VLOOKUP(A156,'OI(Value)'!A156:O380,11,0)</f>
        <v>146</v>
      </c>
      <c r="S156" s="179">
        <f>VLOOKUP(A156,'OI(Value)'!A156:O380,11,0)</f>
        <v>146</v>
      </c>
    </row>
    <row r="157" spans="1:19" x14ac:dyDescent="0.25">
      <c r="A157" s="105" t="str">
        <f>'Data Vlaue (Cr)'!C152</f>
        <v>OBEROIRLTY</v>
      </c>
      <c r="B157" s="143">
        <f>VLOOKUP($A157,'Data shares'!$C:$FA,118)</f>
        <v>0.93</v>
      </c>
      <c r="C157" s="143">
        <f>VLOOKUP($A157,'Data shares'!$C:$FA,119)</f>
        <v>0.95</v>
      </c>
      <c r="D157" s="143">
        <f>VLOOKUP($A157,'Data shares'!$C:$FA,121)*100</f>
        <v>-2.11</v>
      </c>
      <c r="E157" s="143">
        <f>VLOOKUP($A157,'Data shares'!$C:$FA,124)</f>
        <v>0.83</v>
      </c>
      <c r="F157" s="143">
        <f>VLOOKUP($A157,'Data shares'!$C:$FA,125)</f>
        <v>0.82</v>
      </c>
      <c r="G157" s="143">
        <f>VLOOKUP($A157,'Data shares'!$C:$FA,127)*100</f>
        <v>1.22</v>
      </c>
      <c r="H157" s="103">
        <f>VLOOKUP($A157,'OI(Volume)'!$A$7:$O$445,8)</f>
        <v>1188950</v>
      </c>
      <c r="I157" s="103">
        <f>VLOOKUP($A157,'OI(Volume)'!$A$7:$O$445,9)</f>
        <v>-4200</v>
      </c>
      <c r="J157" s="103">
        <f>VLOOKUP($A157,'OI(Volume)'!$A$7:$O$445,11)</f>
        <v>1105300</v>
      </c>
      <c r="K157" s="103">
        <f>VLOOKUP($A157,'OI(Volume)'!$A$7:$O$445,12)</f>
        <v>-28000</v>
      </c>
      <c r="L157" s="103">
        <f>VLOOKUP($A157,'OI(Value)'!$A$7:$O$329,8,0)</f>
        <v>204</v>
      </c>
      <c r="M157" s="103">
        <f>VLOOKUP($A157,'OI(Value)'!$A$7:$O$329,9,0)</f>
        <v>-1</v>
      </c>
      <c r="N157" s="103">
        <f>VLOOKUP($A157,'OI(Value)'!$A$7:$O$329,11,0)</f>
        <v>189</v>
      </c>
      <c r="O157" s="103">
        <f>VLOOKUP($A157,'OI(Value)'!$A$7:$O$329,12,0)</f>
        <v>-5</v>
      </c>
      <c r="P157" s="179">
        <f>VLOOKUP(A157,'OI(Value)'!A157:O381,8,0)</f>
        <v>204</v>
      </c>
      <c r="Q157" s="179">
        <f>VLOOKUP(A157,'OI(Value)'!A157:O381,9,0)</f>
        <v>-1</v>
      </c>
      <c r="R157" s="179">
        <f>VLOOKUP(A157,'OI(Value)'!A157:O381,11,0)</f>
        <v>189</v>
      </c>
      <c r="S157" s="179">
        <f>VLOOKUP(A157,'OI(Value)'!A157:O381,11,0)</f>
        <v>189</v>
      </c>
    </row>
    <row r="158" spans="1:19" x14ac:dyDescent="0.25">
      <c r="A158" s="105" t="str">
        <f>'Data Vlaue (Cr)'!C153</f>
        <v>OFSS</v>
      </c>
      <c r="B158" s="143">
        <f>VLOOKUP($A158,'Data shares'!$C:$FA,118)</f>
        <v>1.1299999999999999</v>
      </c>
      <c r="C158" s="143">
        <f>VLOOKUP($A158,'Data shares'!$C:$FA,119)</f>
        <v>1.05</v>
      </c>
      <c r="D158" s="143">
        <f>VLOOKUP($A158,'Data shares'!$C:$FA,121)*100</f>
        <v>7.62</v>
      </c>
      <c r="E158" s="143">
        <f>VLOOKUP($A158,'Data shares'!$C:$FA,124)</f>
        <v>0.84</v>
      </c>
      <c r="F158" s="143">
        <f>VLOOKUP($A158,'Data shares'!$C:$FA,125)</f>
        <v>0.72</v>
      </c>
      <c r="G158" s="143">
        <f>VLOOKUP($A158,'Data shares'!$C:$FA,127)*100</f>
        <v>16.669999999999998</v>
      </c>
      <c r="H158" s="103">
        <f>VLOOKUP($A158,'OI(Volume)'!$A$7:$O$445,8)</f>
        <v>531075</v>
      </c>
      <c r="I158" s="103">
        <f>VLOOKUP($A158,'OI(Volume)'!$A$7:$O$445,9)</f>
        <v>3675</v>
      </c>
      <c r="J158" s="103">
        <f>VLOOKUP($A158,'OI(Volume)'!$A$7:$O$445,11)</f>
        <v>599925</v>
      </c>
      <c r="K158" s="103">
        <f>VLOOKUP($A158,'OI(Volume)'!$A$7:$O$445,12)</f>
        <v>45225</v>
      </c>
      <c r="L158" s="103">
        <f>VLOOKUP($A158,'OI(Value)'!$A$7:$O$329,8,0)</f>
        <v>425</v>
      </c>
      <c r="M158" s="103">
        <f>VLOOKUP($A158,'OI(Value)'!$A$7:$O$329,9,0)</f>
        <v>3</v>
      </c>
      <c r="N158" s="103">
        <f>VLOOKUP($A158,'OI(Value)'!$A$7:$O$329,11,0)</f>
        <v>481</v>
      </c>
      <c r="O158" s="103">
        <f>VLOOKUP($A158,'OI(Value)'!$A$7:$O$329,12,0)</f>
        <v>36</v>
      </c>
      <c r="P158" s="179">
        <f>VLOOKUP(A158,'OI(Value)'!A158:O382,8,0)</f>
        <v>425</v>
      </c>
      <c r="Q158" s="179">
        <f>VLOOKUP(A158,'OI(Value)'!A158:O382,9,0)</f>
        <v>3</v>
      </c>
      <c r="R158" s="179">
        <f>VLOOKUP(A158,'OI(Value)'!A158:O382,11,0)</f>
        <v>481</v>
      </c>
      <c r="S158" s="179">
        <f>VLOOKUP(A158,'OI(Value)'!A158:O382,11,0)</f>
        <v>481</v>
      </c>
    </row>
    <row r="159" spans="1:19" x14ac:dyDescent="0.25">
      <c r="A159" s="105" t="str">
        <f>'Data Vlaue (Cr)'!C154</f>
        <v>OIL</v>
      </c>
      <c r="B159" s="143">
        <f>VLOOKUP($A159,'Data shares'!$C:$FA,118)</f>
        <v>0.44</v>
      </c>
      <c r="C159" s="143">
        <f>VLOOKUP($A159,'Data shares'!$C:$FA,119)</f>
        <v>0.44</v>
      </c>
      <c r="D159" s="143">
        <f>VLOOKUP($A159,'Data shares'!$C:$FA,121)*100</f>
        <v>0</v>
      </c>
      <c r="E159" s="143">
        <f>VLOOKUP($A159,'Data shares'!$C:$FA,124)</f>
        <v>0.32</v>
      </c>
      <c r="F159" s="143">
        <f>VLOOKUP($A159,'Data shares'!$C:$FA,125)</f>
        <v>0.45</v>
      </c>
      <c r="G159" s="143">
        <f>VLOOKUP($A159,'Data shares'!$C:$FA,127)*100</f>
        <v>-28.89</v>
      </c>
      <c r="H159" s="103">
        <f>VLOOKUP($A159,'OI(Volume)'!$A$7:$O$445,8)</f>
        <v>11179000</v>
      </c>
      <c r="I159" s="103">
        <f>VLOOKUP($A159,'OI(Volume)'!$A$7:$O$445,9)</f>
        <v>-322000</v>
      </c>
      <c r="J159" s="103">
        <f>VLOOKUP($A159,'OI(Volume)'!$A$7:$O$445,11)</f>
        <v>4888800</v>
      </c>
      <c r="K159" s="103">
        <f>VLOOKUP($A159,'OI(Volume)'!$A$7:$O$445,12)</f>
        <v>-119000</v>
      </c>
      <c r="L159" s="103">
        <f>VLOOKUP($A159,'OI(Value)'!$A$7:$O$329,8,0)</f>
        <v>526</v>
      </c>
      <c r="M159" s="103">
        <f>VLOOKUP($A159,'OI(Value)'!$A$7:$O$329,9,0)</f>
        <v>-15</v>
      </c>
      <c r="N159" s="103">
        <f>VLOOKUP($A159,'OI(Value)'!$A$7:$O$329,11,0)</f>
        <v>230</v>
      </c>
      <c r="O159" s="103">
        <f>VLOOKUP($A159,'OI(Value)'!$A$7:$O$329,12,0)</f>
        <v>-6</v>
      </c>
      <c r="P159" s="179">
        <f>VLOOKUP(A159,'OI(Value)'!A159:O383,8,0)</f>
        <v>526</v>
      </c>
      <c r="Q159" s="179">
        <f>VLOOKUP(A159,'OI(Value)'!A159:O383,9,0)</f>
        <v>-15</v>
      </c>
      <c r="R159" s="179">
        <f>VLOOKUP(A159,'OI(Value)'!A159:O383,11,0)</f>
        <v>230</v>
      </c>
      <c r="S159" s="179">
        <f>VLOOKUP(A159,'OI(Value)'!A159:O383,11,0)</f>
        <v>230</v>
      </c>
    </row>
    <row r="160" spans="1:19" x14ac:dyDescent="0.25">
      <c r="A160" s="105" t="str">
        <f>'Data Vlaue (Cr)'!C155</f>
        <v>ONGC</v>
      </c>
      <c r="B160" s="143">
        <f>VLOOKUP($A160,'Data shares'!$C:$FA,118)</f>
        <v>0.37</v>
      </c>
      <c r="C160" s="143">
        <f>VLOOKUP($A160,'Data shares'!$C:$FA,119)</f>
        <v>0.37</v>
      </c>
      <c r="D160" s="143">
        <f>VLOOKUP($A160,'Data shares'!$C:$FA,121)*100</f>
        <v>0</v>
      </c>
      <c r="E160" s="143">
        <f>VLOOKUP($A160,'Data shares'!$C:$FA,124)</f>
        <v>0.44</v>
      </c>
      <c r="F160" s="143">
        <f>VLOOKUP($A160,'Data shares'!$C:$FA,125)</f>
        <v>0.47</v>
      </c>
      <c r="G160" s="143">
        <f>VLOOKUP($A160,'Data shares'!$C:$FA,127)*100</f>
        <v>-6.38</v>
      </c>
      <c r="H160" s="103">
        <f>VLOOKUP($A160,'OI(Volume)'!$A$7:$O$445,8)</f>
        <v>97166250</v>
      </c>
      <c r="I160" s="103">
        <f>VLOOKUP($A160,'OI(Volume)'!$A$7:$O$445,9)</f>
        <v>364500</v>
      </c>
      <c r="J160" s="103">
        <f>VLOOKUP($A160,'OI(Volume)'!$A$7:$O$445,11)</f>
        <v>36182250</v>
      </c>
      <c r="K160" s="103">
        <f>VLOOKUP($A160,'OI(Volume)'!$A$7:$O$445,12)</f>
        <v>468000</v>
      </c>
      <c r="L160" s="103">
        <f>VLOOKUP($A160,'OI(Value)'!$A$7:$O$329,8,0)</f>
        <v>2768</v>
      </c>
      <c r="M160" s="103">
        <f>VLOOKUP($A160,'OI(Value)'!$A$7:$O$329,9,0)</f>
        <v>10</v>
      </c>
      <c r="N160" s="103">
        <f>VLOOKUP($A160,'OI(Value)'!$A$7:$O$329,11,0)</f>
        <v>1031</v>
      </c>
      <c r="O160" s="103">
        <f>VLOOKUP($A160,'OI(Value)'!$A$7:$O$329,12,0)</f>
        <v>13</v>
      </c>
      <c r="P160" s="179">
        <f>VLOOKUP(A160,'OI(Value)'!A160:O384,8,0)</f>
        <v>2768</v>
      </c>
      <c r="Q160" s="179">
        <f>VLOOKUP(A160,'OI(Value)'!A160:O384,9,0)</f>
        <v>10</v>
      </c>
      <c r="R160" s="179">
        <f>VLOOKUP(A160,'OI(Value)'!A160:O384,11,0)</f>
        <v>1031</v>
      </c>
      <c r="S160" s="179">
        <f>VLOOKUP(A160,'OI(Value)'!A160:O384,11,0)</f>
        <v>1031</v>
      </c>
    </row>
    <row r="161" spans="1:19" x14ac:dyDescent="0.25">
      <c r="A161" s="105" t="str">
        <f>'Data Vlaue (Cr)'!C156</f>
        <v>PAGEIND</v>
      </c>
      <c r="B161" s="143">
        <f>VLOOKUP($A161,'Data shares'!$C:$FA,118)</f>
        <v>1.0900000000000001</v>
      </c>
      <c r="C161" s="143">
        <f>VLOOKUP($A161,'Data shares'!$C:$FA,119)</f>
        <v>0.96</v>
      </c>
      <c r="D161" s="143">
        <f>VLOOKUP($A161,'Data shares'!$C:$FA,121)*100</f>
        <v>13.54</v>
      </c>
      <c r="E161" s="143">
        <f>VLOOKUP($A161,'Data shares'!$C:$FA,124)</f>
        <v>0.61</v>
      </c>
      <c r="F161" s="143">
        <f>VLOOKUP($A161,'Data shares'!$C:$FA,125)</f>
        <v>1.34</v>
      </c>
      <c r="G161" s="143">
        <f>VLOOKUP($A161,'Data shares'!$C:$FA,127)*100</f>
        <v>-54.48</v>
      </c>
      <c r="H161" s="103">
        <f>VLOOKUP($A161,'OI(Volume)'!$A$7:$O$445,8)</f>
        <v>67620</v>
      </c>
      <c r="I161" s="103">
        <f>VLOOKUP($A161,'OI(Volume)'!$A$7:$O$445,9)</f>
        <v>3405</v>
      </c>
      <c r="J161" s="103">
        <f>VLOOKUP($A161,'OI(Volume)'!$A$7:$O$445,11)</f>
        <v>73815</v>
      </c>
      <c r="K161" s="103">
        <f>VLOOKUP($A161,'OI(Volume)'!$A$7:$O$445,12)</f>
        <v>12165</v>
      </c>
      <c r="L161" s="103">
        <f>VLOOKUP($A161,'OI(Value)'!$A$7:$O$329,8,0)</f>
        <v>256</v>
      </c>
      <c r="M161" s="103">
        <f>VLOOKUP($A161,'OI(Value)'!$A$7:$O$329,9,0)</f>
        <v>13</v>
      </c>
      <c r="N161" s="103">
        <f>VLOOKUP($A161,'OI(Value)'!$A$7:$O$329,11,0)</f>
        <v>280</v>
      </c>
      <c r="O161" s="103">
        <f>VLOOKUP($A161,'OI(Value)'!$A$7:$O$329,12,0)</f>
        <v>46</v>
      </c>
      <c r="P161" s="179">
        <f>VLOOKUP(A161,'OI(Value)'!A161:O385,8,0)</f>
        <v>256</v>
      </c>
      <c r="Q161" s="179">
        <f>VLOOKUP(A161,'OI(Value)'!A161:O385,9,0)</f>
        <v>13</v>
      </c>
      <c r="R161" s="179">
        <f>VLOOKUP(A161,'OI(Value)'!A161:O385,11,0)</f>
        <v>280</v>
      </c>
      <c r="S161" s="179">
        <f>VLOOKUP(A161,'OI(Value)'!A161:O385,11,0)</f>
        <v>280</v>
      </c>
    </row>
    <row r="162" spans="1:19" x14ac:dyDescent="0.25">
      <c r="A162" s="105" t="str">
        <f>'Data Vlaue (Cr)'!C157</f>
        <v>PATANJALI</v>
      </c>
      <c r="B162" s="143">
        <f>VLOOKUP($A162,'Data shares'!$C:$FA,118)</f>
        <v>0.59</v>
      </c>
      <c r="C162" s="143">
        <f>VLOOKUP($A162,'Data shares'!$C:$FA,119)</f>
        <v>0.62</v>
      </c>
      <c r="D162" s="143">
        <f>VLOOKUP($A162,'Data shares'!$C:$FA,121)*100</f>
        <v>-4.84</v>
      </c>
      <c r="E162" s="143">
        <f>VLOOKUP($A162,'Data shares'!$C:$FA,124)</f>
        <v>0.21</v>
      </c>
      <c r="F162" s="143">
        <f>VLOOKUP($A162,'Data shares'!$C:$FA,125)</f>
        <v>0.33</v>
      </c>
      <c r="G162" s="143">
        <f>VLOOKUP($A162,'Data shares'!$C:$FA,127)*100</f>
        <v>-36.36</v>
      </c>
      <c r="H162" s="103">
        <f>VLOOKUP($A162,'OI(Volume)'!$A$7:$O$445,8)</f>
        <v>5181300</v>
      </c>
      <c r="I162" s="103">
        <f>VLOOKUP($A162,'OI(Volume)'!$A$7:$O$445,9)</f>
        <v>1230300</v>
      </c>
      <c r="J162" s="103">
        <f>VLOOKUP($A162,'OI(Volume)'!$A$7:$O$445,11)</f>
        <v>3031200</v>
      </c>
      <c r="K162" s="103">
        <f>VLOOKUP($A162,'OI(Volume)'!$A$7:$O$445,12)</f>
        <v>571500</v>
      </c>
      <c r="L162" s="103">
        <f>VLOOKUP($A162,'OI(Value)'!$A$7:$O$329,8,0)</f>
        <v>243</v>
      </c>
      <c r="M162" s="103">
        <f>VLOOKUP($A162,'OI(Value)'!$A$7:$O$329,9,0)</f>
        <v>58</v>
      </c>
      <c r="N162" s="103">
        <f>VLOOKUP($A162,'OI(Value)'!$A$7:$O$329,11,0)</f>
        <v>142</v>
      </c>
      <c r="O162" s="103">
        <f>VLOOKUP($A162,'OI(Value)'!$A$7:$O$329,12,0)</f>
        <v>27</v>
      </c>
      <c r="P162" s="179">
        <f>VLOOKUP(A162,'OI(Value)'!A162:O386,8,0)</f>
        <v>243</v>
      </c>
      <c r="Q162" s="179">
        <f>VLOOKUP(A162,'OI(Value)'!A162:O386,9,0)</f>
        <v>58</v>
      </c>
      <c r="R162" s="179">
        <f>VLOOKUP(A162,'OI(Value)'!A162:O386,11,0)</f>
        <v>142</v>
      </c>
      <c r="S162" s="179">
        <f>VLOOKUP(A162,'OI(Value)'!A162:O386,11,0)</f>
        <v>142</v>
      </c>
    </row>
    <row r="163" spans="1:19" x14ac:dyDescent="0.25">
      <c r="A163" s="105" t="str">
        <f>'Data Vlaue (Cr)'!C158</f>
        <v>PAYTM</v>
      </c>
      <c r="B163" s="143">
        <f>VLOOKUP($A163,'Data shares'!$C:$FA,118)</f>
        <v>0.96</v>
      </c>
      <c r="C163" s="143">
        <f>VLOOKUP($A163,'Data shares'!$C:$FA,119)</f>
        <v>0.85</v>
      </c>
      <c r="D163" s="143">
        <f>VLOOKUP($A163,'Data shares'!$C:$FA,121)*100</f>
        <v>12.94</v>
      </c>
      <c r="E163" s="143">
        <f>VLOOKUP($A163,'Data shares'!$C:$FA,124)</f>
        <v>0.72</v>
      </c>
      <c r="F163" s="143">
        <f>VLOOKUP($A163,'Data shares'!$C:$FA,125)</f>
        <v>0.54</v>
      </c>
      <c r="G163" s="143">
        <f>VLOOKUP($A163,'Data shares'!$C:$FA,127)*100</f>
        <v>33.33</v>
      </c>
      <c r="H163" s="103">
        <f>VLOOKUP($A163,'OI(Volume)'!$A$7:$O$445,8)</f>
        <v>6360425</v>
      </c>
      <c r="I163" s="103">
        <f>VLOOKUP($A163,'OI(Volume)'!$A$7:$O$445,9)</f>
        <v>279125</v>
      </c>
      <c r="J163" s="103">
        <f>VLOOKUP($A163,'OI(Volume)'!$A$7:$O$445,11)</f>
        <v>6106675</v>
      </c>
      <c r="K163" s="103">
        <f>VLOOKUP($A163,'OI(Volume)'!$A$7:$O$445,12)</f>
        <v>922925</v>
      </c>
      <c r="L163" s="103">
        <f>VLOOKUP($A163,'OI(Value)'!$A$7:$O$329,8,0)</f>
        <v>739</v>
      </c>
      <c r="M163" s="103">
        <f>VLOOKUP($A163,'OI(Value)'!$A$7:$O$329,9,0)</f>
        <v>32</v>
      </c>
      <c r="N163" s="103">
        <f>VLOOKUP($A163,'OI(Value)'!$A$7:$O$329,11,0)</f>
        <v>709</v>
      </c>
      <c r="O163" s="103">
        <f>VLOOKUP($A163,'OI(Value)'!$A$7:$O$329,12,0)</f>
        <v>107</v>
      </c>
      <c r="P163" s="179">
        <f>VLOOKUP(A163,'OI(Value)'!A163:O387,8,0)</f>
        <v>739</v>
      </c>
      <c r="Q163" s="179">
        <f>VLOOKUP(A163,'OI(Value)'!A163:O387,9,0)</f>
        <v>32</v>
      </c>
      <c r="R163" s="179">
        <f>VLOOKUP(A163,'OI(Value)'!A163:O387,11,0)</f>
        <v>709</v>
      </c>
      <c r="S163" s="179">
        <f>VLOOKUP(A163,'OI(Value)'!A163:O387,11,0)</f>
        <v>709</v>
      </c>
    </row>
    <row r="164" spans="1:19" x14ac:dyDescent="0.25">
      <c r="A164" s="105" t="str">
        <f>'Data Vlaue (Cr)'!C159</f>
        <v>PERSISTENT</v>
      </c>
      <c r="B164" s="143">
        <f>VLOOKUP($A164,'Data shares'!$C:$FA,118)</f>
        <v>0.96</v>
      </c>
      <c r="C164" s="143">
        <f>VLOOKUP($A164,'Data shares'!$C:$FA,119)</f>
        <v>1.04</v>
      </c>
      <c r="D164" s="143">
        <f>VLOOKUP($A164,'Data shares'!$C:$FA,121)*100</f>
        <v>-7.6899999999999995</v>
      </c>
      <c r="E164" s="143">
        <f>VLOOKUP($A164,'Data shares'!$C:$FA,124)</f>
        <v>0.81</v>
      </c>
      <c r="F164" s="143">
        <f>VLOOKUP($A164,'Data shares'!$C:$FA,125)</f>
        <v>0.72</v>
      </c>
      <c r="G164" s="143">
        <f>VLOOKUP($A164,'Data shares'!$C:$FA,127)*100</f>
        <v>12.5</v>
      </c>
      <c r="H164" s="103">
        <f>VLOOKUP($A164,'OI(Volume)'!$A$7:$O$445,8)</f>
        <v>1207600</v>
      </c>
      <c r="I164" s="103">
        <f>VLOOKUP($A164,'OI(Volume)'!$A$7:$O$445,9)</f>
        <v>89900</v>
      </c>
      <c r="J164" s="103">
        <f>VLOOKUP($A164,'OI(Volume)'!$A$7:$O$445,11)</f>
        <v>1154200</v>
      </c>
      <c r="K164" s="103">
        <f>VLOOKUP($A164,'OI(Volume)'!$A$7:$O$445,12)</f>
        <v>-4600</v>
      </c>
      <c r="L164" s="103">
        <f>VLOOKUP($A164,'OI(Value)'!$A$7:$O$329,8,0)</f>
        <v>658</v>
      </c>
      <c r="M164" s="103">
        <f>VLOOKUP($A164,'OI(Value)'!$A$7:$O$329,9,0)</f>
        <v>49</v>
      </c>
      <c r="N164" s="103">
        <f>VLOOKUP($A164,'OI(Value)'!$A$7:$O$329,11,0)</f>
        <v>629</v>
      </c>
      <c r="O164" s="103">
        <f>VLOOKUP($A164,'OI(Value)'!$A$7:$O$329,12,0)</f>
        <v>-3</v>
      </c>
      <c r="P164" s="179">
        <f>VLOOKUP(A164,'OI(Value)'!A164:O388,8,0)</f>
        <v>658</v>
      </c>
      <c r="Q164" s="179">
        <f>VLOOKUP(A164,'OI(Value)'!A164:O388,9,0)</f>
        <v>49</v>
      </c>
      <c r="R164" s="179">
        <f>VLOOKUP(A164,'OI(Value)'!A164:O388,11,0)</f>
        <v>629</v>
      </c>
      <c r="S164" s="179">
        <f>VLOOKUP(A164,'OI(Value)'!A164:O388,11,0)</f>
        <v>629</v>
      </c>
    </row>
    <row r="165" spans="1:19" x14ac:dyDescent="0.25">
      <c r="A165" s="105" t="str">
        <f>'Data Vlaue (Cr)'!C160</f>
        <v>PETRONET</v>
      </c>
      <c r="B165" s="143">
        <f>VLOOKUP($A165,'Data shares'!$C:$FA,118)</f>
        <v>0.64</v>
      </c>
      <c r="C165" s="143">
        <f>VLOOKUP($A165,'Data shares'!$C:$FA,119)</f>
        <v>0.65</v>
      </c>
      <c r="D165" s="143">
        <f>VLOOKUP($A165,'Data shares'!$C:$FA,121)*100</f>
        <v>-1.54</v>
      </c>
      <c r="E165" s="143">
        <f>VLOOKUP($A165,'Data shares'!$C:$FA,124)</f>
        <v>0.44</v>
      </c>
      <c r="F165" s="143">
        <f>VLOOKUP($A165,'Data shares'!$C:$FA,125)</f>
        <v>0.52</v>
      </c>
      <c r="G165" s="143">
        <f>VLOOKUP($A165,'Data shares'!$C:$FA,127)*100</f>
        <v>-15.379999999999999</v>
      </c>
      <c r="H165" s="103">
        <f>VLOOKUP($A165,'OI(Volume)'!$A$7:$O$445,8)</f>
        <v>15821300</v>
      </c>
      <c r="I165" s="103">
        <f>VLOOKUP($A165,'OI(Volume)'!$A$7:$O$445,9)</f>
        <v>813200</v>
      </c>
      <c r="J165" s="103">
        <f>VLOOKUP($A165,'OI(Volume)'!$A$7:$O$445,11)</f>
        <v>10180200</v>
      </c>
      <c r="K165" s="103">
        <f>VLOOKUP($A165,'OI(Volume)'!$A$7:$O$445,12)</f>
        <v>368600</v>
      </c>
      <c r="L165" s="103">
        <f>VLOOKUP($A165,'OI(Value)'!$A$7:$O$329,8,0)</f>
        <v>432</v>
      </c>
      <c r="M165" s="103">
        <f>VLOOKUP($A165,'OI(Value)'!$A$7:$O$329,9,0)</f>
        <v>22</v>
      </c>
      <c r="N165" s="103">
        <f>VLOOKUP($A165,'OI(Value)'!$A$7:$O$329,11,0)</f>
        <v>278</v>
      </c>
      <c r="O165" s="103">
        <f>VLOOKUP($A165,'OI(Value)'!$A$7:$O$329,12,0)</f>
        <v>10</v>
      </c>
      <c r="P165" s="179">
        <f>VLOOKUP(A165,'OI(Value)'!A165:O389,8,0)</f>
        <v>432</v>
      </c>
      <c r="Q165" s="179">
        <f>VLOOKUP(A165,'OI(Value)'!A165:O389,9,0)</f>
        <v>22</v>
      </c>
      <c r="R165" s="179">
        <f>VLOOKUP(A165,'OI(Value)'!A165:O389,11,0)</f>
        <v>278</v>
      </c>
      <c r="S165" s="179">
        <f>VLOOKUP(A165,'OI(Value)'!A165:O389,11,0)</f>
        <v>278</v>
      </c>
    </row>
    <row r="166" spans="1:19" x14ac:dyDescent="0.25">
      <c r="A166" s="105" t="str">
        <f>'Data Vlaue (Cr)'!C161</f>
        <v>PFC</v>
      </c>
      <c r="B166" s="143">
        <f>VLOOKUP($A166,'Data shares'!$C:$FA,118)</f>
        <v>0.73</v>
      </c>
      <c r="C166" s="143">
        <f>VLOOKUP($A166,'Data shares'!$C:$FA,119)</f>
        <v>0.7</v>
      </c>
      <c r="D166" s="143">
        <f>VLOOKUP($A166,'Data shares'!$C:$FA,121)*100</f>
        <v>4.29</v>
      </c>
      <c r="E166" s="143">
        <f>VLOOKUP($A166,'Data shares'!$C:$FA,124)</f>
        <v>0.52</v>
      </c>
      <c r="F166" s="143">
        <f>VLOOKUP($A166,'Data shares'!$C:$FA,125)</f>
        <v>0.52</v>
      </c>
      <c r="G166" s="143">
        <f>VLOOKUP($A166,'Data shares'!$C:$FA,127)*100</f>
        <v>0</v>
      </c>
      <c r="H166" s="103">
        <f>VLOOKUP($A166,'OI(Volume)'!$A$7:$O$445,8)</f>
        <v>27141400</v>
      </c>
      <c r="I166" s="103">
        <f>VLOOKUP($A166,'OI(Volume)'!$A$7:$O$445,9)</f>
        <v>1037400</v>
      </c>
      <c r="J166" s="103">
        <f>VLOOKUP($A166,'OI(Volume)'!$A$7:$O$445,11)</f>
        <v>19854900</v>
      </c>
      <c r="K166" s="103">
        <f>VLOOKUP($A166,'OI(Volume)'!$A$7:$O$445,12)</f>
        <v>1565200</v>
      </c>
      <c r="L166" s="103">
        <f>VLOOKUP($A166,'OI(Value)'!$A$7:$O$329,8,0)</f>
        <v>1265</v>
      </c>
      <c r="M166" s="103">
        <f>VLOOKUP($A166,'OI(Value)'!$A$7:$O$329,9,0)</f>
        <v>48</v>
      </c>
      <c r="N166" s="103">
        <f>VLOOKUP($A166,'OI(Value)'!$A$7:$O$329,11,0)</f>
        <v>925</v>
      </c>
      <c r="O166" s="103">
        <f>VLOOKUP($A166,'OI(Value)'!$A$7:$O$329,12,0)</f>
        <v>73</v>
      </c>
      <c r="P166" s="179">
        <f>VLOOKUP(A166,'OI(Value)'!A166:O390,8,0)</f>
        <v>1265</v>
      </c>
      <c r="Q166" s="179">
        <f>VLOOKUP(A166,'OI(Value)'!A166:O390,9,0)</f>
        <v>48</v>
      </c>
      <c r="R166" s="179">
        <f>VLOOKUP(A166,'OI(Value)'!A166:O390,11,0)</f>
        <v>925</v>
      </c>
      <c r="S166" s="179">
        <f>VLOOKUP(A166,'OI(Value)'!A166:O390,11,0)</f>
        <v>925</v>
      </c>
    </row>
    <row r="167" spans="1:19" x14ac:dyDescent="0.25">
      <c r="A167" s="105" t="str">
        <f>'Data Vlaue (Cr)'!C162</f>
        <v>PGEL</v>
      </c>
      <c r="B167" s="143">
        <f>VLOOKUP($A167,'Data shares'!$C:$FA,118)</f>
        <v>1.18</v>
      </c>
      <c r="C167" s="143">
        <f>VLOOKUP($A167,'Data shares'!$C:$FA,119)</f>
        <v>1.19</v>
      </c>
      <c r="D167" s="143">
        <f>VLOOKUP($A167,'Data shares'!$C:$FA,121)*100</f>
        <v>-0.84</v>
      </c>
      <c r="E167" s="143">
        <f>VLOOKUP($A167,'Data shares'!$C:$FA,124)</f>
        <v>1.01</v>
      </c>
      <c r="F167" s="143">
        <f>VLOOKUP($A167,'Data shares'!$C:$FA,125)</f>
        <v>0.61</v>
      </c>
      <c r="G167" s="143">
        <f>VLOOKUP($A167,'Data shares'!$C:$FA,127)*100</f>
        <v>65.569999999999993</v>
      </c>
      <c r="H167" s="103">
        <f>VLOOKUP($A167,'OI(Volume)'!$A$7:$O$445,8)</f>
        <v>8536700</v>
      </c>
      <c r="I167" s="103">
        <f>VLOOKUP($A167,'OI(Volume)'!$A$7:$O$445,9)</f>
        <v>-30400</v>
      </c>
      <c r="J167" s="103">
        <f>VLOOKUP($A167,'OI(Volume)'!$A$7:$O$445,11)</f>
        <v>10089950</v>
      </c>
      <c r="K167" s="103">
        <f>VLOOKUP($A167,'OI(Volume)'!$A$7:$O$445,12)</f>
        <v>-62700</v>
      </c>
      <c r="L167" s="103">
        <f>VLOOKUP($A167,'OI(Value)'!$A$7:$O$329,8,0)</f>
        <v>480</v>
      </c>
      <c r="M167" s="103">
        <f>VLOOKUP($A167,'OI(Value)'!$A$7:$O$329,9,0)</f>
        <v>-2</v>
      </c>
      <c r="N167" s="103">
        <f>VLOOKUP($A167,'OI(Value)'!$A$7:$O$329,11,0)</f>
        <v>568</v>
      </c>
      <c r="O167" s="103">
        <f>VLOOKUP($A167,'OI(Value)'!$A$7:$O$329,12,0)</f>
        <v>-4</v>
      </c>
      <c r="P167" s="179">
        <f>VLOOKUP(A167,'OI(Value)'!A167:O391,8,0)</f>
        <v>480</v>
      </c>
      <c r="Q167" s="179">
        <f>VLOOKUP(A167,'OI(Value)'!A167:O391,9,0)</f>
        <v>-2</v>
      </c>
      <c r="R167" s="179">
        <f>VLOOKUP(A167,'OI(Value)'!A167:O391,11,0)</f>
        <v>568</v>
      </c>
      <c r="S167" s="179">
        <f>VLOOKUP(A167,'OI(Value)'!A167:O391,11,0)</f>
        <v>568</v>
      </c>
    </row>
    <row r="168" spans="1:19" x14ac:dyDescent="0.25">
      <c r="A168" s="105" t="str">
        <f>'Data Vlaue (Cr)'!C163</f>
        <v>PHOENIXLTD</v>
      </c>
      <c r="B168" s="143">
        <f>VLOOKUP($A168,'Data shares'!$C:$FA,118)</f>
        <v>0.86</v>
      </c>
      <c r="C168" s="143">
        <f>VLOOKUP($A168,'Data shares'!$C:$FA,119)</f>
        <v>0.95</v>
      </c>
      <c r="D168" s="143">
        <f>VLOOKUP($A168,'Data shares'!$C:$FA,121)*100</f>
        <v>-9.4700000000000006</v>
      </c>
      <c r="E168" s="143">
        <f>VLOOKUP($A168,'Data shares'!$C:$FA,124)</f>
        <v>0.72</v>
      </c>
      <c r="F168" s="143">
        <f>VLOOKUP($A168,'Data shares'!$C:$FA,125)</f>
        <v>1.32</v>
      </c>
      <c r="G168" s="143">
        <f>VLOOKUP($A168,'Data shares'!$C:$FA,127)*100</f>
        <v>-45.45</v>
      </c>
      <c r="H168" s="103">
        <f>VLOOKUP($A168,'OI(Volume)'!$A$7:$O$445,8)</f>
        <v>737450</v>
      </c>
      <c r="I168" s="103">
        <f>VLOOKUP($A168,'OI(Volume)'!$A$7:$O$445,9)</f>
        <v>25200</v>
      </c>
      <c r="J168" s="103">
        <f>VLOOKUP($A168,'OI(Volume)'!$A$7:$O$445,11)</f>
        <v>630700</v>
      </c>
      <c r="K168" s="103">
        <f>VLOOKUP($A168,'OI(Volume)'!$A$7:$O$445,12)</f>
        <v>-46200</v>
      </c>
      <c r="L168" s="103">
        <f>VLOOKUP($A168,'OI(Value)'!$A$7:$O$329,8,0)</f>
        <v>133</v>
      </c>
      <c r="M168" s="103">
        <f>VLOOKUP($A168,'OI(Value)'!$A$7:$O$329,9,0)</f>
        <v>5</v>
      </c>
      <c r="N168" s="103">
        <f>VLOOKUP($A168,'OI(Value)'!$A$7:$O$329,11,0)</f>
        <v>113</v>
      </c>
      <c r="O168" s="103">
        <f>VLOOKUP($A168,'OI(Value)'!$A$7:$O$329,12,0)</f>
        <v>-8</v>
      </c>
      <c r="P168" s="179">
        <f>VLOOKUP(A168,'OI(Value)'!A168:O392,8,0)</f>
        <v>133</v>
      </c>
      <c r="Q168" s="179">
        <f>VLOOKUP(A168,'OI(Value)'!A168:O392,9,0)</f>
        <v>5</v>
      </c>
      <c r="R168" s="179">
        <f>VLOOKUP(A168,'OI(Value)'!A168:O392,11,0)</f>
        <v>113</v>
      </c>
      <c r="S168" s="179">
        <f>VLOOKUP(A168,'OI(Value)'!A168:O392,11,0)</f>
        <v>113</v>
      </c>
    </row>
    <row r="169" spans="1:19" x14ac:dyDescent="0.25">
      <c r="A169" s="105" t="str">
        <f>'Data Vlaue (Cr)'!C164</f>
        <v>PIDILITIND</v>
      </c>
      <c r="B169" s="143">
        <f>VLOOKUP($A169,'Data shares'!$C:$FA,118)</f>
        <v>0.66</v>
      </c>
      <c r="C169" s="143">
        <f>VLOOKUP($A169,'Data shares'!$C:$FA,119)</f>
        <v>0.67</v>
      </c>
      <c r="D169" s="143">
        <f>VLOOKUP($A169,'Data shares'!$C:$FA,121)*100</f>
        <v>-1.49</v>
      </c>
      <c r="E169" s="143">
        <f>VLOOKUP($A169,'Data shares'!$C:$FA,124)</f>
        <v>0.33</v>
      </c>
      <c r="F169" s="143">
        <f>VLOOKUP($A169,'Data shares'!$C:$FA,125)</f>
        <v>0.59</v>
      </c>
      <c r="G169" s="143">
        <f>VLOOKUP($A169,'Data shares'!$C:$FA,127)*100</f>
        <v>-44.07</v>
      </c>
      <c r="H169" s="103">
        <f>VLOOKUP($A169,'OI(Volume)'!$A$7:$O$445,8)</f>
        <v>1761000</v>
      </c>
      <c r="I169" s="103">
        <f>VLOOKUP($A169,'OI(Volume)'!$A$7:$O$445,9)</f>
        <v>250000</v>
      </c>
      <c r="J169" s="103">
        <f>VLOOKUP($A169,'OI(Volume)'!$A$7:$O$445,11)</f>
        <v>1154000</v>
      </c>
      <c r="K169" s="103">
        <f>VLOOKUP($A169,'OI(Volume)'!$A$7:$O$445,12)</f>
        <v>147500</v>
      </c>
      <c r="L169" s="103">
        <f>VLOOKUP($A169,'OI(Value)'!$A$7:$O$329,8,0)</f>
        <v>246</v>
      </c>
      <c r="M169" s="103">
        <f>VLOOKUP($A169,'OI(Value)'!$A$7:$O$329,9,0)</f>
        <v>35</v>
      </c>
      <c r="N169" s="103">
        <f>VLOOKUP($A169,'OI(Value)'!$A$7:$O$329,11,0)</f>
        <v>161</v>
      </c>
      <c r="O169" s="103">
        <f>VLOOKUP($A169,'OI(Value)'!$A$7:$O$329,12,0)</f>
        <v>21</v>
      </c>
      <c r="P169" s="179">
        <f>VLOOKUP(A169,'OI(Value)'!A169:O393,8,0)</f>
        <v>246</v>
      </c>
      <c r="Q169" s="179">
        <f>VLOOKUP(A169,'OI(Value)'!A169:O393,9,0)</f>
        <v>35</v>
      </c>
      <c r="R169" s="179">
        <f>VLOOKUP(A169,'OI(Value)'!A169:O393,11,0)</f>
        <v>161</v>
      </c>
      <c r="S169" s="179">
        <f>VLOOKUP(A169,'OI(Value)'!A169:O393,11,0)</f>
        <v>161</v>
      </c>
    </row>
    <row r="170" spans="1:19" x14ac:dyDescent="0.25">
      <c r="A170" s="105" t="str">
        <f>'Data Vlaue (Cr)'!C165</f>
        <v>PIIND</v>
      </c>
      <c r="B170" s="143">
        <f>VLOOKUP($A170,'Data shares'!$C:$FA,118)</f>
        <v>1.01</v>
      </c>
      <c r="C170" s="143">
        <f>VLOOKUP($A170,'Data shares'!$C:$FA,119)</f>
        <v>1.03</v>
      </c>
      <c r="D170" s="143">
        <f>VLOOKUP($A170,'Data shares'!$C:$FA,121)*100</f>
        <v>-1.94</v>
      </c>
      <c r="E170" s="143">
        <f>VLOOKUP($A170,'Data shares'!$C:$FA,124)</f>
        <v>0.56999999999999995</v>
      </c>
      <c r="F170" s="143">
        <f>VLOOKUP($A170,'Data shares'!$C:$FA,125)</f>
        <v>0.45</v>
      </c>
      <c r="G170" s="143">
        <f>VLOOKUP($A170,'Data shares'!$C:$FA,127)*100</f>
        <v>26.669999999999998</v>
      </c>
      <c r="H170" s="103">
        <f>VLOOKUP($A170,'OI(Volume)'!$A$7:$O$445,8)</f>
        <v>668500</v>
      </c>
      <c r="I170" s="103">
        <f>VLOOKUP($A170,'OI(Volume)'!$A$7:$O$445,9)</f>
        <v>43225</v>
      </c>
      <c r="J170" s="103">
        <f>VLOOKUP($A170,'OI(Volume)'!$A$7:$O$445,11)</f>
        <v>673575</v>
      </c>
      <c r="K170" s="103">
        <f>VLOOKUP($A170,'OI(Volume)'!$A$7:$O$445,12)</f>
        <v>29750</v>
      </c>
      <c r="L170" s="103">
        <f>VLOOKUP($A170,'OI(Value)'!$A$7:$O$329,8,0)</f>
        <v>208</v>
      </c>
      <c r="M170" s="103">
        <f>VLOOKUP($A170,'OI(Value)'!$A$7:$O$329,9,0)</f>
        <v>13</v>
      </c>
      <c r="N170" s="103">
        <f>VLOOKUP($A170,'OI(Value)'!$A$7:$O$329,11,0)</f>
        <v>210</v>
      </c>
      <c r="O170" s="103">
        <f>VLOOKUP($A170,'OI(Value)'!$A$7:$O$329,12,0)</f>
        <v>9</v>
      </c>
      <c r="P170" s="179">
        <f>VLOOKUP(A170,'OI(Value)'!A170:O394,8,0)</f>
        <v>208</v>
      </c>
      <c r="Q170" s="179">
        <f>VLOOKUP(A170,'OI(Value)'!A170:O394,9,0)</f>
        <v>13</v>
      </c>
      <c r="R170" s="179">
        <f>VLOOKUP(A170,'OI(Value)'!A170:O394,11,0)</f>
        <v>210</v>
      </c>
      <c r="S170" s="179">
        <f>VLOOKUP(A170,'OI(Value)'!A170:O394,11,0)</f>
        <v>210</v>
      </c>
    </row>
    <row r="171" spans="1:19" x14ac:dyDescent="0.25">
      <c r="A171" s="105" t="str">
        <f>'Data Vlaue (Cr)'!C166</f>
        <v>PNB</v>
      </c>
      <c r="B171" s="143">
        <f>VLOOKUP($A171,'Data shares'!$C:$FA,118)</f>
        <v>0.88</v>
      </c>
      <c r="C171" s="143">
        <f>VLOOKUP($A171,'Data shares'!$C:$FA,119)</f>
        <v>0.89</v>
      </c>
      <c r="D171" s="143">
        <f>VLOOKUP($A171,'Data shares'!$C:$FA,121)*100</f>
        <v>-1.1199999999999999</v>
      </c>
      <c r="E171" s="143">
        <f>VLOOKUP($A171,'Data shares'!$C:$FA,124)</f>
        <v>0.59</v>
      </c>
      <c r="F171" s="143">
        <f>VLOOKUP($A171,'Data shares'!$C:$FA,125)</f>
        <v>0.57999999999999996</v>
      </c>
      <c r="G171" s="143">
        <f>VLOOKUP($A171,'Data shares'!$C:$FA,127)*100</f>
        <v>1.72</v>
      </c>
      <c r="H171" s="103">
        <f>VLOOKUP($A171,'OI(Volume)'!$A$7:$O$445,8)</f>
        <v>82656000</v>
      </c>
      <c r="I171" s="103">
        <f>VLOOKUP($A171,'OI(Volume)'!$A$7:$O$445,9)</f>
        <v>2720000</v>
      </c>
      <c r="J171" s="103">
        <f>VLOOKUP($A171,'OI(Volume)'!$A$7:$O$445,11)</f>
        <v>72608000</v>
      </c>
      <c r="K171" s="103">
        <f>VLOOKUP($A171,'OI(Volume)'!$A$7:$O$445,12)</f>
        <v>1400000</v>
      </c>
      <c r="L171" s="103">
        <f>VLOOKUP($A171,'OI(Value)'!$A$7:$O$329,8,0)</f>
        <v>948</v>
      </c>
      <c r="M171" s="103">
        <f>VLOOKUP($A171,'OI(Value)'!$A$7:$O$329,9,0)</f>
        <v>31</v>
      </c>
      <c r="N171" s="103">
        <f>VLOOKUP($A171,'OI(Value)'!$A$7:$O$329,11,0)</f>
        <v>833</v>
      </c>
      <c r="O171" s="103">
        <f>VLOOKUP($A171,'OI(Value)'!$A$7:$O$329,12,0)</f>
        <v>16</v>
      </c>
      <c r="P171" s="179">
        <f>VLOOKUP(A171,'OI(Value)'!A171:O395,8,0)</f>
        <v>948</v>
      </c>
      <c r="Q171" s="179">
        <f>VLOOKUP(A171,'OI(Value)'!A171:O395,9,0)</f>
        <v>31</v>
      </c>
      <c r="R171" s="179">
        <f>VLOOKUP(A171,'OI(Value)'!A171:O395,11,0)</f>
        <v>833</v>
      </c>
      <c r="S171" s="179">
        <f>VLOOKUP(A171,'OI(Value)'!A171:O395,11,0)</f>
        <v>833</v>
      </c>
    </row>
    <row r="172" spans="1:19" x14ac:dyDescent="0.25">
      <c r="A172" s="105" t="str">
        <f>'Data Vlaue (Cr)'!C167</f>
        <v>PNBHOUSING</v>
      </c>
      <c r="B172" s="143">
        <f>VLOOKUP($A172,'Data shares'!$C:$FA,118)</f>
        <v>1</v>
      </c>
      <c r="C172" s="143">
        <f>VLOOKUP($A172,'Data shares'!$C:$FA,119)</f>
        <v>0.92</v>
      </c>
      <c r="D172" s="143">
        <f>VLOOKUP($A172,'Data shares'!$C:$FA,121)*100</f>
        <v>8.6999999999999993</v>
      </c>
      <c r="E172" s="143">
        <f>VLOOKUP($A172,'Data shares'!$C:$FA,124)</f>
        <v>0.34</v>
      </c>
      <c r="F172" s="143">
        <f>VLOOKUP($A172,'Data shares'!$C:$FA,125)</f>
        <v>0.28999999999999998</v>
      </c>
      <c r="G172" s="143">
        <f>VLOOKUP($A172,'Data shares'!$C:$FA,127)*100</f>
        <v>17.239999999999998</v>
      </c>
      <c r="H172" s="103">
        <f>VLOOKUP($A172,'OI(Volume)'!$A$7:$O$445,8)</f>
        <v>2565550</v>
      </c>
      <c r="I172" s="103">
        <f>VLOOKUP($A172,'OI(Volume)'!$A$7:$O$445,9)</f>
        <v>469950</v>
      </c>
      <c r="J172" s="103">
        <f>VLOOKUP($A172,'OI(Volume)'!$A$7:$O$445,11)</f>
        <v>2561000</v>
      </c>
      <c r="K172" s="103">
        <f>VLOOKUP($A172,'OI(Volume)'!$A$7:$O$445,12)</f>
        <v>629200</v>
      </c>
      <c r="L172" s="103">
        <f>VLOOKUP($A172,'OI(Value)'!$A$7:$O$329,8,0)</f>
        <v>237</v>
      </c>
      <c r="M172" s="103">
        <f>VLOOKUP($A172,'OI(Value)'!$A$7:$O$329,9,0)</f>
        <v>43</v>
      </c>
      <c r="N172" s="103">
        <f>VLOOKUP($A172,'OI(Value)'!$A$7:$O$329,11,0)</f>
        <v>237</v>
      </c>
      <c r="O172" s="103">
        <f>VLOOKUP($A172,'OI(Value)'!$A$7:$O$329,12,0)</f>
        <v>58</v>
      </c>
      <c r="P172" s="179">
        <f>VLOOKUP(A172,'OI(Value)'!A172:O396,8,0)</f>
        <v>237</v>
      </c>
      <c r="Q172" s="179">
        <f>VLOOKUP(A172,'OI(Value)'!A172:O396,9,0)</f>
        <v>43</v>
      </c>
      <c r="R172" s="179">
        <f>VLOOKUP(A172,'OI(Value)'!A172:O396,11,0)</f>
        <v>237</v>
      </c>
      <c r="S172" s="179">
        <f>VLOOKUP(A172,'OI(Value)'!A172:O396,11,0)</f>
        <v>237</v>
      </c>
    </row>
    <row r="173" spans="1:19" x14ac:dyDescent="0.25">
      <c r="A173" s="105" t="str">
        <f>'Data Vlaue (Cr)'!C168</f>
        <v>POLICYBZR</v>
      </c>
      <c r="B173" s="143">
        <f>VLOOKUP($A173,'Data shares'!$C:$FA,118)</f>
        <v>0.66</v>
      </c>
      <c r="C173" s="143">
        <f>VLOOKUP($A173,'Data shares'!$C:$FA,119)</f>
        <v>0.6</v>
      </c>
      <c r="D173" s="143">
        <f>VLOOKUP($A173,'Data shares'!$C:$FA,121)*100</f>
        <v>10</v>
      </c>
      <c r="E173" s="143">
        <f>VLOOKUP($A173,'Data shares'!$C:$FA,124)</f>
        <v>0.35</v>
      </c>
      <c r="F173" s="143">
        <f>VLOOKUP($A173,'Data shares'!$C:$FA,125)</f>
        <v>0.3</v>
      </c>
      <c r="G173" s="143">
        <f>VLOOKUP($A173,'Data shares'!$C:$FA,127)*100</f>
        <v>16.669999999999998</v>
      </c>
      <c r="H173" s="103">
        <f>VLOOKUP($A173,'OI(Volume)'!$A$7:$O$445,8)</f>
        <v>2404150</v>
      </c>
      <c r="I173" s="103">
        <f>VLOOKUP($A173,'OI(Volume)'!$A$7:$O$445,9)</f>
        <v>337050</v>
      </c>
      <c r="J173" s="103">
        <f>VLOOKUP($A173,'OI(Volume)'!$A$7:$O$445,11)</f>
        <v>1592150</v>
      </c>
      <c r="K173" s="103">
        <f>VLOOKUP($A173,'OI(Volume)'!$A$7:$O$445,12)</f>
        <v>350700</v>
      </c>
      <c r="L173" s="103">
        <f>VLOOKUP($A173,'OI(Value)'!$A$7:$O$329,8,0)</f>
        <v>385</v>
      </c>
      <c r="M173" s="103">
        <f>VLOOKUP($A173,'OI(Value)'!$A$7:$O$329,9,0)</f>
        <v>54</v>
      </c>
      <c r="N173" s="103">
        <f>VLOOKUP($A173,'OI(Value)'!$A$7:$O$329,11,0)</f>
        <v>255</v>
      </c>
      <c r="O173" s="103">
        <f>VLOOKUP($A173,'OI(Value)'!$A$7:$O$329,12,0)</f>
        <v>56</v>
      </c>
    </row>
    <row r="174" spans="1:19" x14ac:dyDescent="0.25">
      <c r="A174" s="105" t="str">
        <f>'Data Vlaue (Cr)'!C169</f>
        <v>POLYCAB</v>
      </c>
      <c r="B174" s="143">
        <f>VLOOKUP($A174,'Data shares'!$C:$FA,118)</f>
        <v>1.24</v>
      </c>
      <c r="C174" s="143">
        <f>VLOOKUP($A174,'Data shares'!$C:$FA,119)</f>
        <v>1.39</v>
      </c>
      <c r="D174" s="143">
        <f>VLOOKUP($A174,'Data shares'!$C:$FA,121)*100</f>
        <v>-10.79</v>
      </c>
      <c r="E174" s="143">
        <f>VLOOKUP($A174,'Data shares'!$C:$FA,124)</f>
        <v>0.68</v>
      </c>
      <c r="F174" s="143">
        <f>VLOOKUP($A174,'Data shares'!$C:$FA,125)</f>
        <v>0.8</v>
      </c>
      <c r="G174" s="143">
        <f>VLOOKUP($A174,'Data shares'!$C:$FA,127)*100</f>
        <v>-15</v>
      </c>
      <c r="H174" s="103">
        <f>VLOOKUP($A174,'OI(Volume)'!$A$7:$O$445,8)</f>
        <v>1155125</v>
      </c>
      <c r="I174" s="103">
        <f>VLOOKUP($A174,'OI(Volume)'!$A$7:$O$445,9)</f>
        <v>241250</v>
      </c>
      <c r="J174" s="103">
        <f>VLOOKUP($A174,'OI(Volume)'!$A$7:$O$445,11)</f>
        <v>1435250</v>
      </c>
      <c r="K174" s="103">
        <f>VLOOKUP($A174,'OI(Volume)'!$A$7:$O$445,12)</f>
        <v>164875</v>
      </c>
      <c r="L174" s="103">
        <f>VLOOKUP($A174,'OI(Value)'!$A$7:$O$329,8,0)</f>
        <v>943</v>
      </c>
      <c r="M174" s="103">
        <f>VLOOKUP($A174,'OI(Value)'!$A$7:$O$329,9,0)</f>
        <v>197</v>
      </c>
      <c r="N174" s="103">
        <f>VLOOKUP($A174,'OI(Value)'!$A$7:$O$329,11,0)</f>
        <v>1171</v>
      </c>
      <c r="O174" s="103">
        <f>VLOOKUP($A174,'OI(Value)'!$A$7:$O$329,12,0)</f>
        <v>135</v>
      </c>
    </row>
    <row r="175" spans="1:19" x14ac:dyDescent="0.25">
      <c r="A175" s="105" t="str">
        <f>'Data Vlaue (Cr)'!C170</f>
        <v>POWERGRID</v>
      </c>
      <c r="B175" s="143">
        <f>VLOOKUP($A175,'Data shares'!$C:$FA,118)</f>
        <v>0.63</v>
      </c>
      <c r="C175" s="143">
        <f>VLOOKUP($A175,'Data shares'!$C:$FA,119)</f>
        <v>0.5</v>
      </c>
      <c r="D175" s="143">
        <f>VLOOKUP($A175,'Data shares'!$C:$FA,121)*100</f>
        <v>26</v>
      </c>
      <c r="E175" s="143">
        <f>VLOOKUP($A175,'Data shares'!$C:$FA,124)</f>
        <v>0.38</v>
      </c>
      <c r="F175" s="143">
        <f>VLOOKUP($A175,'Data shares'!$C:$FA,125)</f>
        <v>0.28999999999999998</v>
      </c>
      <c r="G175" s="143">
        <f>VLOOKUP($A175,'Data shares'!$C:$FA,127)*100</f>
        <v>31.03</v>
      </c>
      <c r="H175" s="103">
        <f>VLOOKUP($A175,'OI(Volume)'!$A$7:$O$445,8)</f>
        <v>37433800</v>
      </c>
      <c r="I175" s="103">
        <f>VLOOKUP($A175,'OI(Volume)'!$A$7:$O$445,9)</f>
        <v>-2240100</v>
      </c>
      <c r="J175" s="103">
        <f>VLOOKUP($A175,'OI(Volume)'!$A$7:$O$445,11)</f>
        <v>23620800</v>
      </c>
      <c r="K175" s="103">
        <f>VLOOKUP($A175,'OI(Volume)'!$A$7:$O$445,12)</f>
        <v>3794300</v>
      </c>
      <c r="L175" s="103">
        <f>VLOOKUP($A175,'OI(Value)'!$A$7:$O$329,8,0)</f>
        <v>1189</v>
      </c>
      <c r="M175" s="103">
        <f>VLOOKUP($A175,'OI(Value)'!$A$7:$O$329,9,0)</f>
        <v>-71</v>
      </c>
      <c r="N175" s="103">
        <f>VLOOKUP($A175,'OI(Value)'!$A$7:$O$329,11,0)</f>
        <v>750</v>
      </c>
      <c r="O175" s="103">
        <f>VLOOKUP($A175,'OI(Value)'!$A$7:$O$329,12,0)</f>
        <v>121</v>
      </c>
    </row>
    <row r="176" spans="1:19" x14ac:dyDescent="0.25">
      <c r="A176" s="105" t="str">
        <f>'Data Vlaue (Cr)'!C171</f>
        <v>POWERINDIA</v>
      </c>
      <c r="B176" s="143">
        <f>VLOOKUP($A176,'Data shares'!$C:$FA,118)</f>
        <v>1.05</v>
      </c>
      <c r="C176" s="143">
        <f>VLOOKUP($A176,'Data shares'!$C:$FA,119)</f>
        <v>0.85</v>
      </c>
      <c r="D176" s="143">
        <f>VLOOKUP($A176,'Data shares'!$C:$FA,121)*100</f>
        <v>23.53</v>
      </c>
      <c r="E176" s="143">
        <f>VLOOKUP($A176,'Data shares'!$C:$FA,124)</f>
        <v>0.67</v>
      </c>
      <c r="F176" s="143">
        <f>VLOOKUP($A176,'Data shares'!$C:$FA,125)</f>
        <v>0.6</v>
      </c>
      <c r="G176" s="143">
        <f>VLOOKUP($A176,'Data shares'!$C:$FA,127)*100</f>
        <v>11.67</v>
      </c>
      <c r="H176" s="103">
        <f>VLOOKUP($A176,'OI(Volume)'!$A$7:$O$445,8)</f>
        <v>250250</v>
      </c>
      <c r="I176" s="103">
        <f>VLOOKUP($A176,'OI(Volume)'!$A$7:$O$445,9)</f>
        <v>-19150</v>
      </c>
      <c r="J176" s="103">
        <f>VLOOKUP($A176,'OI(Volume)'!$A$7:$O$445,11)</f>
        <v>263400</v>
      </c>
      <c r="K176" s="103">
        <f>VLOOKUP($A176,'OI(Volume)'!$A$7:$O$445,12)</f>
        <v>34200</v>
      </c>
      <c r="L176" s="103">
        <f>VLOOKUP($A176,'OI(Value)'!$A$7:$O$329,8,0)</f>
        <v>725</v>
      </c>
      <c r="M176" s="103">
        <f>VLOOKUP($A176,'OI(Value)'!$A$7:$O$329,9,0)</f>
        <v>-55</v>
      </c>
      <c r="N176" s="103">
        <f>VLOOKUP($A176,'OI(Value)'!$A$7:$O$329,11,0)</f>
        <v>763</v>
      </c>
      <c r="O176" s="103">
        <f>VLOOKUP($A176,'OI(Value)'!$A$7:$O$329,12,0)</f>
        <v>99</v>
      </c>
    </row>
    <row r="177" spans="1:15" x14ac:dyDescent="0.25">
      <c r="A177" s="105" t="str">
        <f>'Data Vlaue (Cr)'!C172</f>
        <v>PPLPHARMA</v>
      </c>
      <c r="B177" s="143">
        <f>VLOOKUP($A177,'Data shares'!$C:$FA,118)</f>
        <v>0.6</v>
      </c>
      <c r="C177" s="143">
        <f>VLOOKUP($A177,'Data shares'!$C:$FA,119)</f>
        <v>0.57999999999999996</v>
      </c>
      <c r="D177" s="143">
        <f>VLOOKUP($A177,'Data shares'!$C:$FA,121)*100</f>
        <v>3.45</v>
      </c>
      <c r="E177" s="143">
        <f>VLOOKUP($A177,'Data shares'!$C:$FA,124)</f>
        <v>0.25</v>
      </c>
      <c r="F177" s="143">
        <f>VLOOKUP($A177,'Data shares'!$C:$FA,125)</f>
        <v>0.34</v>
      </c>
      <c r="G177" s="143">
        <f>VLOOKUP($A177,'Data shares'!$C:$FA,127)*100</f>
        <v>-26.47</v>
      </c>
      <c r="H177" s="103">
        <f>VLOOKUP($A177,'OI(Volume)'!$A$7:$O$445,8)</f>
        <v>5525625</v>
      </c>
      <c r="I177" s="103">
        <f>VLOOKUP($A177,'OI(Volume)'!$A$7:$O$445,9)</f>
        <v>-186375</v>
      </c>
      <c r="J177" s="103">
        <f>VLOOKUP($A177,'OI(Volume)'!$A$7:$O$445,11)</f>
        <v>3320625</v>
      </c>
      <c r="K177" s="103">
        <f>VLOOKUP($A177,'OI(Volume)'!$A$7:$O$445,12)</f>
        <v>-2625</v>
      </c>
      <c r="L177" s="103">
        <f>VLOOKUP($A177,'OI(Value)'!$A$7:$O$329,8,0)</f>
        <v>82</v>
      </c>
      <c r="M177" s="103">
        <f>VLOOKUP($A177,'OI(Value)'!$A$7:$O$329,9,0)</f>
        <v>-3</v>
      </c>
      <c r="N177" s="103">
        <f>VLOOKUP($A177,'OI(Value)'!$A$7:$O$329,11,0)</f>
        <v>49</v>
      </c>
      <c r="O177" s="103">
        <f>VLOOKUP($A177,'OI(Value)'!$A$7:$O$329,12,0)</f>
        <v>0</v>
      </c>
    </row>
    <row r="178" spans="1:15" x14ac:dyDescent="0.25">
      <c r="A178" s="105" t="str">
        <f>'Data Vlaue (Cr)'!C173</f>
        <v>PREMIERENE</v>
      </c>
      <c r="B178" s="143">
        <f>VLOOKUP($A178,'Data shares'!$C:$FA,118)</f>
        <v>0.81</v>
      </c>
      <c r="C178" s="143">
        <f>VLOOKUP($A178,'Data shares'!$C:$FA,119)</f>
        <v>0.82</v>
      </c>
      <c r="D178" s="143">
        <f>VLOOKUP($A178,'Data shares'!$C:$FA,121)*100</f>
        <v>-1.22</v>
      </c>
      <c r="E178" s="143">
        <f>VLOOKUP($A178,'Data shares'!$C:$FA,124)</f>
        <v>0.69</v>
      </c>
      <c r="F178" s="143">
        <f>VLOOKUP($A178,'Data shares'!$C:$FA,125)</f>
        <v>0.44</v>
      </c>
      <c r="G178" s="143">
        <f>VLOOKUP($A178,'Data shares'!$C:$FA,127)*100</f>
        <v>56.820000000000007</v>
      </c>
      <c r="H178" s="103">
        <f>VLOOKUP($A178,'OI(Volume)'!$A$7:$O$445,8)</f>
        <v>2212025</v>
      </c>
      <c r="I178" s="103">
        <f>VLOOKUP($A178,'OI(Volume)'!$A$7:$O$445,9)</f>
        <v>112700</v>
      </c>
      <c r="J178" s="103">
        <f>VLOOKUP($A178,'OI(Volume)'!$A$7:$O$445,11)</f>
        <v>1799175</v>
      </c>
      <c r="K178" s="103">
        <f>VLOOKUP($A178,'OI(Volume)'!$A$7:$O$445,12)</f>
        <v>73600</v>
      </c>
      <c r="L178" s="103">
        <f>VLOOKUP($A178,'OI(Value)'!$A$7:$O$329,8,0)</f>
        <v>223</v>
      </c>
      <c r="M178" s="103">
        <f>VLOOKUP($A178,'OI(Value)'!$A$7:$O$329,9,0)</f>
        <v>11</v>
      </c>
      <c r="N178" s="103">
        <f>VLOOKUP($A178,'OI(Value)'!$A$7:$O$329,11,0)</f>
        <v>181</v>
      </c>
      <c r="O178" s="103">
        <f>VLOOKUP($A178,'OI(Value)'!$A$7:$O$329,12,0)</f>
        <v>7</v>
      </c>
    </row>
    <row r="179" spans="1:15" x14ac:dyDescent="0.25">
      <c r="A179" s="105" t="str">
        <f>'Data Vlaue (Cr)'!C174</f>
        <v>PRESTIGE</v>
      </c>
      <c r="B179" s="143">
        <f>VLOOKUP($A179,'Data shares'!$C:$FA,118)</f>
        <v>0.74</v>
      </c>
      <c r="C179" s="143">
        <f>VLOOKUP($A179,'Data shares'!$C:$FA,119)</f>
        <v>0.68</v>
      </c>
      <c r="D179" s="143">
        <f>VLOOKUP($A179,'Data shares'!$C:$FA,121)*100</f>
        <v>8.82</v>
      </c>
      <c r="E179" s="143">
        <f>VLOOKUP($A179,'Data shares'!$C:$FA,124)</f>
        <v>0.43</v>
      </c>
      <c r="F179" s="143">
        <f>VLOOKUP($A179,'Data shares'!$C:$FA,125)</f>
        <v>0.66</v>
      </c>
      <c r="G179" s="143">
        <f>VLOOKUP($A179,'Data shares'!$C:$FA,127)*100</f>
        <v>-34.849999999999994</v>
      </c>
      <c r="H179" s="103">
        <f>VLOOKUP($A179,'OI(Volume)'!$A$7:$O$445,8)</f>
        <v>2209050</v>
      </c>
      <c r="I179" s="103">
        <f>VLOOKUP($A179,'OI(Volume)'!$A$7:$O$445,9)</f>
        <v>-117900</v>
      </c>
      <c r="J179" s="103">
        <f>VLOOKUP($A179,'OI(Volume)'!$A$7:$O$445,11)</f>
        <v>1644300</v>
      </c>
      <c r="K179" s="103">
        <f>VLOOKUP($A179,'OI(Volume)'!$A$7:$O$445,12)</f>
        <v>64800</v>
      </c>
      <c r="L179" s="103">
        <f>VLOOKUP($A179,'OI(Value)'!$A$7:$O$329,8,0)</f>
        <v>300</v>
      </c>
      <c r="M179" s="103">
        <f>VLOOKUP($A179,'OI(Value)'!$A$7:$O$329,9,0)</f>
        <v>-16</v>
      </c>
      <c r="N179" s="103">
        <f>VLOOKUP($A179,'OI(Value)'!$A$7:$O$329,11,0)</f>
        <v>223</v>
      </c>
      <c r="O179" s="103">
        <f>VLOOKUP($A179,'OI(Value)'!$A$7:$O$329,12,0)</f>
        <v>9</v>
      </c>
    </row>
    <row r="180" spans="1:15" x14ac:dyDescent="0.25">
      <c r="A180" s="105" t="str">
        <f>'Data Vlaue (Cr)'!C175</f>
        <v>RBLBANK</v>
      </c>
      <c r="B180" s="143">
        <f>VLOOKUP($A180,'Data shares'!$C:$FA,118)</f>
        <v>0.9</v>
      </c>
      <c r="C180" s="143">
        <f>VLOOKUP($A180,'Data shares'!$C:$FA,119)</f>
        <v>0.88</v>
      </c>
      <c r="D180" s="143">
        <f>VLOOKUP($A180,'Data shares'!$C:$FA,121)*100</f>
        <v>2.27</v>
      </c>
      <c r="E180" s="143">
        <f>VLOOKUP($A180,'Data shares'!$C:$FA,124)</f>
        <v>0.39</v>
      </c>
      <c r="F180" s="143">
        <f>VLOOKUP($A180,'Data shares'!$C:$FA,125)</f>
        <v>0.56999999999999995</v>
      </c>
      <c r="G180" s="143">
        <f>VLOOKUP($A180,'Data shares'!$C:$FA,127)*100</f>
        <v>-31.580000000000002</v>
      </c>
      <c r="H180" s="103">
        <f>VLOOKUP($A180,'OI(Volume)'!$A$7:$O$445,8)</f>
        <v>30740350</v>
      </c>
      <c r="I180" s="103">
        <f>VLOOKUP($A180,'OI(Volume)'!$A$7:$O$445,9)</f>
        <v>-365125</v>
      </c>
      <c r="J180" s="103">
        <f>VLOOKUP($A180,'OI(Volume)'!$A$7:$O$445,11)</f>
        <v>27689175</v>
      </c>
      <c r="K180" s="103">
        <f>VLOOKUP($A180,'OI(Volume)'!$A$7:$O$445,12)</f>
        <v>434975</v>
      </c>
      <c r="L180" s="103">
        <f>VLOOKUP($A180,'OI(Value)'!$A$7:$O$329,8,0)</f>
        <v>973</v>
      </c>
      <c r="M180" s="103">
        <f>VLOOKUP($A180,'OI(Value)'!$A$7:$O$329,9,0)</f>
        <v>-12</v>
      </c>
      <c r="N180" s="103">
        <f>VLOOKUP($A180,'OI(Value)'!$A$7:$O$329,11,0)</f>
        <v>877</v>
      </c>
      <c r="O180" s="103">
        <f>VLOOKUP($A180,'OI(Value)'!$A$7:$O$329,12,0)</f>
        <v>14</v>
      </c>
    </row>
    <row r="181" spans="1:15" x14ac:dyDescent="0.25">
      <c r="A181" s="105" t="str">
        <f>'Data Vlaue (Cr)'!C176</f>
        <v>RECLTD</v>
      </c>
      <c r="B181" s="143">
        <f>VLOOKUP($A181,'Data shares'!$C:$FA,118)</f>
        <v>0.92</v>
      </c>
      <c r="C181" s="143">
        <f>VLOOKUP($A181,'Data shares'!$C:$FA,119)</f>
        <v>0.83</v>
      </c>
      <c r="D181" s="143">
        <f>VLOOKUP($A181,'Data shares'!$C:$FA,121)*100</f>
        <v>10.84</v>
      </c>
      <c r="E181" s="143">
        <f>VLOOKUP($A181,'Data shares'!$C:$FA,124)</f>
        <v>0.59</v>
      </c>
      <c r="F181" s="143">
        <f>VLOOKUP($A181,'Data shares'!$C:$FA,125)</f>
        <v>0.41</v>
      </c>
      <c r="G181" s="143">
        <f>VLOOKUP($A181,'Data shares'!$C:$FA,127)*100</f>
        <v>43.9</v>
      </c>
      <c r="H181" s="103">
        <f>VLOOKUP($A181,'OI(Volume)'!$A$7:$O$445,8)</f>
        <v>27228600</v>
      </c>
      <c r="I181" s="103">
        <f>VLOOKUP($A181,'OI(Volume)'!$A$7:$O$445,9)</f>
        <v>-1485400</v>
      </c>
      <c r="J181" s="103">
        <f>VLOOKUP($A181,'OI(Volume)'!$A$7:$O$445,11)</f>
        <v>25022200</v>
      </c>
      <c r="K181" s="103">
        <f>VLOOKUP($A181,'OI(Volume)'!$A$7:$O$445,12)</f>
        <v>1202600</v>
      </c>
      <c r="L181" s="103">
        <f>VLOOKUP($A181,'OI(Value)'!$A$7:$O$329,8,0)</f>
        <v>1020</v>
      </c>
      <c r="M181" s="103">
        <f>VLOOKUP($A181,'OI(Value)'!$A$7:$O$329,9,0)</f>
        <v>-56</v>
      </c>
      <c r="N181" s="103">
        <f>VLOOKUP($A181,'OI(Value)'!$A$7:$O$329,11,0)</f>
        <v>937</v>
      </c>
      <c r="O181" s="103">
        <f>VLOOKUP($A181,'OI(Value)'!$A$7:$O$329,12,0)</f>
        <v>45</v>
      </c>
    </row>
    <row r="182" spans="1:15" x14ac:dyDescent="0.25">
      <c r="A182" s="105" t="str">
        <f>'Data Vlaue (Cr)'!C177</f>
        <v>RELIANCE</v>
      </c>
      <c r="B182" s="143">
        <f>VLOOKUP($A182,'Data shares'!$C:$FA,118)</f>
        <v>0.48</v>
      </c>
      <c r="C182" s="143">
        <f>VLOOKUP($A182,'Data shares'!$C:$FA,119)</f>
        <v>0.45</v>
      </c>
      <c r="D182" s="143">
        <f>VLOOKUP($A182,'Data shares'!$C:$FA,121)*100</f>
        <v>6.67</v>
      </c>
      <c r="E182" s="143">
        <f>VLOOKUP($A182,'Data shares'!$C:$FA,124)</f>
        <v>0.48</v>
      </c>
      <c r="F182" s="143">
        <f>VLOOKUP($A182,'Data shares'!$C:$FA,125)</f>
        <v>0.51</v>
      </c>
      <c r="G182" s="143">
        <f>VLOOKUP($A182,'Data shares'!$C:$FA,127)*100</f>
        <v>-5.88</v>
      </c>
      <c r="H182" s="103">
        <f>VLOOKUP($A182,'OI(Volume)'!$A$7:$O$445,8)</f>
        <v>79750000</v>
      </c>
      <c r="I182" s="103">
        <f>VLOOKUP($A182,'OI(Volume)'!$A$7:$O$445,9)</f>
        <v>-4104500</v>
      </c>
      <c r="J182" s="103">
        <f>VLOOKUP($A182,'OI(Volume)'!$A$7:$O$445,11)</f>
        <v>38565000</v>
      </c>
      <c r="K182" s="103">
        <f>VLOOKUP($A182,'OI(Volume)'!$A$7:$O$445,12)</f>
        <v>608500</v>
      </c>
      <c r="L182" s="103">
        <f>VLOOKUP($A182,'OI(Value)'!$A$7:$O$329,8,0)</f>
        <v>10896</v>
      </c>
      <c r="M182" s="103">
        <f>VLOOKUP($A182,'OI(Value)'!$A$7:$O$329,9,0)</f>
        <v>-561</v>
      </c>
      <c r="N182" s="103">
        <f>VLOOKUP($A182,'OI(Value)'!$A$7:$O$329,11,0)</f>
        <v>5269</v>
      </c>
      <c r="O182" s="103">
        <f>VLOOKUP($A182,'OI(Value)'!$A$7:$O$329,12,0)</f>
        <v>83</v>
      </c>
    </row>
    <row r="183" spans="1:15" x14ac:dyDescent="0.25">
      <c r="A183" s="105" t="str">
        <f>'Data Vlaue (Cr)'!C178</f>
        <v>RVNL</v>
      </c>
      <c r="B183" s="143">
        <f>VLOOKUP($A183,'Data shares'!$C:$FA,118)</f>
        <v>0.66</v>
      </c>
      <c r="C183" s="143">
        <f>VLOOKUP($A183,'Data shares'!$C:$FA,119)</f>
        <v>0.72</v>
      </c>
      <c r="D183" s="143">
        <f>VLOOKUP($A183,'Data shares'!$C:$FA,121)*100</f>
        <v>-8.33</v>
      </c>
      <c r="E183" s="143">
        <f>VLOOKUP($A183,'Data shares'!$C:$FA,124)</f>
        <v>0.3</v>
      </c>
      <c r="F183" s="143">
        <f>VLOOKUP($A183,'Data shares'!$C:$FA,125)</f>
        <v>0.28000000000000003</v>
      </c>
      <c r="G183" s="143">
        <f>VLOOKUP($A183,'Data shares'!$C:$FA,127)*100</f>
        <v>7.1400000000000006</v>
      </c>
      <c r="H183" s="103">
        <f>VLOOKUP($A183,'OI(Volume)'!$A$7:$O$445,8)</f>
        <v>24621125</v>
      </c>
      <c r="I183" s="103">
        <f>VLOOKUP($A183,'OI(Volume)'!$A$7:$O$445,9)</f>
        <v>5752300</v>
      </c>
      <c r="J183" s="103">
        <f>VLOOKUP($A183,'OI(Volume)'!$A$7:$O$445,11)</f>
        <v>16265650</v>
      </c>
      <c r="K183" s="103">
        <f>VLOOKUP($A183,'OI(Volume)'!$A$7:$O$445,12)</f>
        <v>2712975</v>
      </c>
      <c r="L183" s="103">
        <f>VLOOKUP($A183,'OI(Value)'!$A$7:$O$329,8,0)</f>
        <v>738</v>
      </c>
      <c r="M183" s="103">
        <f>VLOOKUP($A183,'OI(Value)'!$A$7:$O$329,9,0)</f>
        <v>172</v>
      </c>
      <c r="N183" s="103">
        <f>VLOOKUP($A183,'OI(Value)'!$A$7:$O$329,11,0)</f>
        <v>487</v>
      </c>
      <c r="O183" s="103">
        <f>VLOOKUP($A183,'OI(Value)'!$A$7:$O$329,12,0)</f>
        <v>81</v>
      </c>
    </row>
    <row r="184" spans="1:15" x14ac:dyDescent="0.25">
      <c r="A184" s="105" t="str">
        <f>'Data Vlaue (Cr)'!C179</f>
        <v>SAIL</v>
      </c>
      <c r="B184" s="143">
        <f>VLOOKUP($A184,'Data shares'!$C:$FA,118)</f>
        <v>0.74</v>
      </c>
      <c r="C184" s="143">
        <f>VLOOKUP($A184,'Data shares'!$C:$FA,119)</f>
        <v>0.74</v>
      </c>
      <c r="D184" s="143">
        <f>VLOOKUP($A184,'Data shares'!$C:$FA,121)*100</f>
        <v>0</v>
      </c>
      <c r="E184" s="143">
        <f>VLOOKUP($A184,'Data shares'!$C:$FA,124)</f>
        <v>0.53</v>
      </c>
      <c r="F184" s="143">
        <f>VLOOKUP($A184,'Data shares'!$C:$FA,125)</f>
        <v>0.28999999999999998</v>
      </c>
      <c r="G184" s="143">
        <f>VLOOKUP($A184,'Data shares'!$C:$FA,127)*100</f>
        <v>82.76</v>
      </c>
      <c r="H184" s="103">
        <f>VLOOKUP($A184,'OI(Volume)'!$A$7:$O$445,8)</f>
        <v>10631400</v>
      </c>
      <c r="I184" s="103">
        <f>VLOOKUP($A184,'OI(Volume)'!$A$7:$O$445,9)</f>
        <v>-211500</v>
      </c>
      <c r="J184" s="103">
        <f>VLOOKUP($A184,'OI(Volume)'!$A$7:$O$445,11)</f>
        <v>7910100</v>
      </c>
      <c r="K184" s="103">
        <f>VLOOKUP($A184,'OI(Volume)'!$A$7:$O$445,12)</f>
        <v>-145700</v>
      </c>
      <c r="L184" s="103">
        <f>VLOOKUP($A184,'OI(Value)'!$A$7:$O$329,8,0)</f>
        <v>184</v>
      </c>
      <c r="M184" s="103">
        <f>VLOOKUP($A184,'OI(Value)'!$A$7:$O$329,9,0)</f>
        <v>-4</v>
      </c>
      <c r="N184" s="103">
        <f>VLOOKUP($A184,'OI(Value)'!$A$7:$O$329,11,0)</f>
        <v>137</v>
      </c>
      <c r="O184" s="103">
        <f>VLOOKUP($A184,'OI(Value)'!$A$7:$O$329,12,0)</f>
        <v>-3</v>
      </c>
    </row>
    <row r="185" spans="1:15" x14ac:dyDescent="0.25">
      <c r="A185" s="105" t="str">
        <f>'Data Vlaue (Cr)'!C180</f>
        <v>SAMMAANCAP</v>
      </c>
      <c r="B185" s="143">
        <f>VLOOKUP($A185,'Data shares'!$C:$FA,118)</f>
        <v>1.08</v>
      </c>
      <c r="C185" s="143">
        <f>VLOOKUP($A185,'Data shares'!$C:$FA,119)</f>
        <v>1.0900000000000001</v>
      </c>
      <c r="D185" s="143">
        <f>VLOOKUP($A185,'Data shares'!$C:$FA,121)*100</f>
        <v>-0.91999999999999993</v>
      </c>
      <c r="E185" s="143">
        <f>VLOOKUP($A185,'Data shares'!$C:$FA,124)</f>
        <v>0.97</v>
      </c>
      <c r="F185" s="143">
        <f>VLOOKUP($A185,'Data shares'!$C:$FA,125)</f>
        <v>0.91</v>
      </c>
      <c r="G185" s="143">
        <f>VLOOKUP($A185,'Data shares'!$C:$FA,127)*100</f>
        <v>6.59</v>
      </c>
      <c r="H185" s="103">
        <f>VLOOKUP($A185,'OI(Volume)'!$A$7:$O$445,8)</f>
        <v>17505300</v>
      </c>
      <c r="I185" s="103">
        <f>VLOOKUP($A185,'OI(Volume)'!$A$7:$O$445,9)</f>
        <v>-47300</v>
      </c>
      <c r="J185" s="103">
        <f>VLOOKUP($A185,'OI(Volume)'!$A$7:$O$445,11)</f>
        <v>18907100</v>
      </c>
      <c r="K185" s="103">
        <f>VLOOKUP($A185,'OI(Volume)'!$A$7:$O$445,12)</f>
        <v>-137600</v>
      </c>
      <c r="L185" s="103">
        <f>VLOOKUP($A185,'OI(Value)'!$A$7:$O$329,8,0)</f>
        <v>270</v>
      </c>
      <c r="M185" s="103">
        <f>VLOOKUP($A185,'OI(Value)'!$A$7:$O$329,9,0)</f>
        <v>-1</v>
      </c>
      <c r="N185" s="103">
        <f>VLOOKUP($A185,'OI(Value)'!$A$7:$O$329,11,0)</f>
        <v>292</v>
      </c>
      <c r="O185" s="103">
        <f>VLOOKUP($A185,'OI(Value)'!$A$7:$O$329,12,0)</f>
        <v>-2</v>
      </c>
    </row>
    <row r="186" spans="1:15" x14ac:dyDescent="0.25">
      <c r="A186" s="105" t="str">
        <f>'Data Vlaue (Cr)'!C181</f>
        <v>SBICARD</v>
      </c>
      <c r="B186" s="143">
        <f>VLOOKUP($A186,'Data shares'!$C:$FA,118)</f>
        <v>0.74</v>
      </c>
      <c r="C186" s="143">
        <f>VLOOKUP($A186,'Data shares'!$C:$FA,119)</f>
        <v>0.79</v>
      </c>
      <c r="D186" s="143">
        <f>VLOOKUP($A186,'Data shares'!$C:$FA,121)*100</f>
        <v>-6.3299999999999992</v>
      </c>
      <c r="E186" s="143">
        <f>VLOOKUP($A186,'Data shares'!$C:$FA,124)</f>
        <v>0.56999999999999995</v>
      </c>
      <c r="F186" s="143">
        <f>VLOOKUP($A186,'Data shares'!$C:$FA,125)</f>
        <v>0.71</v>
      </c>
      <c r="G186" s="143">
        <f>VLOOKUP($A186,'Data shares'!$C:$FA,127)*100</f>
        <v>-19.72</v>
      </c>
      <c r="H186" s="103">
        <f>VLOOKUP($A186,'OI(Volume)'!$A$7:$O$445,8)</f>
        <v>7652800</v>
      </c>
      <c r="I186" s="103">
        <f>VLOOKUP($A186,'OI(Volume)'!$A$7:$O$445,9)</f>
        <v>521600</v>
      </c>
      <c r="J186" s="103">
        <f>VLOOKUP($A186,'OI(Volume)'!$A$7:$O$445,11)</f>
        <v>5695200</v>
      </c>
      <c r="K186" s="103">
        <f>VLOOKUP($A186,'OI(Volume)'!$A$7:$O$445,12)</f>
        <v>30400</v>
      </c>
      <c r="L186" s="103">
        <f>VLOOKUP($A186,'OI(Value)'!$A$7:$O$329,8,0)</f>
        <v>533</v>
      </c>
      <c r="M186" s="103">
        <f>VLOOKUP($A186,'OI(Value)'!$A$7:$O$329,9,0)</f>
        <v>36</v>
      </c>
      <c r="N186" s="103">
        <f>VLOOKUP($A186,'OI(Value)'!$A$7:$O$329,11,0)</f>
        <v>396</v>
      </c>
      <c r="O186" s="103">
        <f>VLOOKUP($A186,'OI(Value)'!$A$7:$O$329,12,0)</f>
        <v>2</v>
      </c>
    </row>
    <row r="187" spans="1:15" x14ac:dyDescent="0.25">
      <c r="A187" s="105" t="str">
        <f>'Data Vlaue (Cr)'!C182</f>
        <v>SBILIFE</v>
      </c>
      <c r="B187" s="143">
        <f>VLOOKUP($A187,'Data shares'!$C:$FA,118)</f>
        <v>0.61</v>
      </c>
      <c r="C187" s="143">
        <f>VLOOKUP($A187,'Data shares'!$C:$FA,119)</f>
        <v>0.69</v>
      </c>
      <c r="D187" s="143">
        <f>VLOOKUP($A187,'Data shares'!$C:$FA,121)*100</f>
        <v>-11.59</v>
      </c>
      <c r="E187" s="143">
        <f>VLOOKUP($A187,'Data shares'!$C:$FA,124)</f>
        <v>0.44</v>
      </c>
      <c r="F187" s="143">
        <f>VLOOKUP($A187,'Data shares'!$C:$FA,125)</f>
        <v>0.59</v>
      </c>
      <c r="G187" s="143">
        <f>VLOOKUP($A187,'Data shares'!$C:$FA,127)*100</f>
        <v>-25.419999999999998</v>
      </c>
      <c r="H187" s="103">
        <f>VLOOKUP($A187,'OI(Volume)'!$A$7:$O$445,8)</f>
        <v>3708375</v>
      </c>
      <c r="I187" s="103">
        <f>VLOOKUP($A187,'OI(Volume)'!$A$7:$O$445,9)</f>
        <v>760125</v>
      </c>
      <c r="J187" s="103">
        <f>VLOOKUP($A187,'OI(Volume)'!$A$7:$O$445,11)</f>
        <v>2247000</v>
      </c>
      <c r="K187" s="103">
        <f>VLOOKUP($A187,'OI(Volume)'!$A$7:$O$445,12)</f>
        <v>221625</v>
      </c>
      <c r="L187" s="103">
        <f>VLOOKUP($A187,'OI(Value)'!$A$7:$O$329,8,0)</f>
        <v>731</v>
      </c>
      <c r="M187" s="103">
        <f>VLOOKUP($A187,'OI(Value)'!$A$7:$O$329,9,0)</f>
        <v>150</v>
      </c>
      <c r="N187" s="103">
        <f>VLOOKUP($A187,'OI(Value)'!$A$7:$O$329,11,0)</f>
        <v>443</v>
      </c>
      <c r="O187" s="103">
        <f>VLOOKUP($A187,'OI(Value)'!$A$7:$O$329,12,0)</f>
        <v>44</v>
      </c>
    </row>
    <row r="188" spans="1:15" x14ac:dyDescent="0.25">
      <c r="A188" s="105" t="str">
        <f>'Data Vlaue (Cr)'!C183</f>
        <v>SBIN</v>
      </c>
      <c r="B188" s="143">
        <f>VLOOKUP($A188,'Data shares'!$C:$FA,118)</f>
        <v>0.81</v>
      </c>
      <c r="C188" s="143">
        <f>VLOOKUP($A188,'Data shares'!$C:$FA,119)</f>
        <v>0.73</v>
      </c>
      <c r="D188" s="143">
        <f>VLOOKUP($A188,'Data shares'!$C:$FA,121)*100</f>
        <v>10.96</v>
      </c>
      <c r="E188" s="143">
        <f>VLOOKUP($A188,'Data shares'!$C:$FA,124)</f>
        <v>0.62</v>
      </c>
      <c r="F188" s="143">
        <f>VLOOKUP($A188,'Data shares'!$C:$FA,125)</f>
        <v>0.65</v>
      </c>
      <c r="G188" s="143">
        <f>VLOOKUP($A188,'Data shares'!$C:$FA,127)*100</f>
        <v>-4.62</v>
      </c>
      <c r="H188" s="103">
        <f>VLOOKUP($A188,'OI(Volume)'!$A$7:$O$445,8)</f>
        <v>44845500</v>
      </c>
      <c r="I188" s="103">
        <f>VLOOKUP($A188,'OI(Volume)'!$A$7:$O$445,9)</f>
        <v>-756750</v>
      </c>
      <c r="J188" s="103">
        <f>VLOOKUP($A188,'OI(Volume)'!$A$7:$O$445,11)</f>
        <v>36129000</v>
      </c>
      <c r="K188" s="103">
        <f>VLOOKUP($A188,'OI(Volume)'!$A$7:$O$445,12)</f>
        <v>2682750</v>
      </c>
      <c r="L188" s="103">
        <f>VLOOKUP($A188,'OI(Value)'!$A$7:$O$329,8,0)</f>
        <v>4856</v>
      </c>
      <c r="M188" s="103">
        <f>VLOOKUP($A188,'OI(Value)'!$A$7:$O$329,9,0)</f>
        <v>-82</v>
      </c>
      <c r="N188" s="103">
        <f>VLOOKUP($A188,'OI(Value)'!$A$7:$O$329,11,0)</f>
        <v>3912</v>
      </c>
      <c r="O188" s="103">
        <f>VLOOKUP($A188,'OI(Value)'!$A$7:$O$329,12,0)</f>
        <v>290</v>
      </c>
    </row>
    <row r="189" spans="1:15" x14ac:dyDescent="0.25">
      <c r="A189" s="105" t="str">
        <f>'Data Vlaue (Cr)'!C184</f>
        <v>SHREECEM</v>
      </c>
      <c r="B189" s="143">
        <f>VLOOKUP($A189,'Data shares'!$C:$FA,118)</f>
        <v>0.85</v>
      </c>
      <c r="C189" s="143">
        <f>VLOOKUP($A189,'Data shares'!$C:$FA,119)</f>
        <v>0.85</v>
      </c>
      <c r="D189" s="143">
        <f>VLOOKUP($A189,'Data shares'!$C:$FA,121)*100</f>
        <v>0</v>
      </c>
      <c r="E189" s="143">
        <f>VLOOKUP($A189,'Data shares'!$C:$FA,124)</f>
        <v>0.2</v>
      </c>
      <c r="F189" s="143">
        <f>VLOOKUP($A189,'Data shares'!$C:$FA,125)</f>
        <v>0.36</v>
      </c>
      <c r="G189" s="143">
        <f>VLOOKUP($A189,'Data shares'!$C:$FA,127)*100</f>
        <v>-44.440000000000005</v>
      </c>
      <c r="H189" s="103">
        <f>VLOOKUP($A189,'OI(Volume)'!$A$7:$O$445,8)</f>
        <v>56275</v>
      </c>
      <c r="I189" s="103">
        <f>VLOOKUP($A189,'OI(Volume)'!$A$7:$O$445,9)</f>
        <v>2125</v>
      </c>
      <c r="J189" s="103">
        <f>VLOOKUP($A189,'OI(Volume)'!$A$7:$O$445,11)</f>
        <v>47825</v>
      </c>
      <c r="K189" s="103">
        <f>VLOOKUP($A189,'OI(Volume)'!$A$7:$O$445,12)</f>
        <v>1550</v>
      </c>
      <c r="L189" s="103">
        <f>VLOOKUP($A189,'OI(Value)'!$A$7:$O$329,8,0)</f>
        <v>142</v>
      </c>
      <c r="M189" s="103">
        <f>VLOOKUP($A189,'OI(Value)'!$A$7:$O$329,9,0)</f>
        <v>5</v>
      </c>
      <c r="N189" s="103">
        <f>VLOOKUP($A189,'OI(Value)'!$A$7:$O$329,11,0)</f>
        <v>121</v>
      </c>
      <c r="O189" s="103">
        <f>VLOOKUP($A189,'OI(Value)'!$A$7:$O$329,12,0)</f>
        <v>4</v>
      </c>
    </row>
    <row r="190" spans="1:15" x14ac:dyDescent="0.25">
      <c r="A190" s="105" t="str">
        <f>'Data Vlaue (Cr)'!C185</f>
        <v>SHRIRAMFIN</v>
      </c>
      <c r="B190" s="143">
        <f>VLOOKUP($A190,'Data shares'!$C:$FA,118)</f>
        <v>0.73</v>
      </c>
      <c r="C190" s="143">
        <f>VLOOKUP($A190,'Data shares'!$C:$FA,119)</f>
        <v>0.71</v>
      </c>
      <c r="D190" s="143">
        <f>VLOOKUP($A190,'Data shares'!$C:$FA,121)*100</f>
        <v>2.82</v>
      </c>
      <c r="E190" s="143">
        <f>VLOOKUP($A190,'Data shares'!$C:$FA,124)</f>
        <v>0.45</v>
      </c>
      <c r="F190" s="143">
        <f>VLOOKUP($A190,'Data shares'!$C:$FA,125)</f>
        <v>0.56000000000000005</v>
      </c>
      <c r="G190" s="143">
        <f>VLOOKUP($A190,'Data shares'!$C:$FA,127)*100</f>
        <v>-19.64</v>
      </c>
      <c r="H190" s="103">
        <f>VLOOKUP($A190,'OI(Volume)'!$A$7:$O$445,8)</f>
        <v>14006850</v>
      </c>
      <c r="I190" s="103">
        <f>VLOOKUP($A190,'OI(Volume)'!$A$7:$O$445,9)</f>
        <v>-363000</v>
      </c>
      <c r="J190" s="103">
        <f>VLOOKUP($A190,'OI(Volume)'!$A$7:$O$445,11)</f>
        <v>10157400</v>
      </c>
      <c r="K190" s="103">
        <f>VLOOKUP($A190,'OI(Volume)'!$A$7:$O$445,12)</f>
        <v>-71775</v>
      </c>
      <c r="L190" s="103">
        <f>VLOOKUP($A190,'OI(Value)'!$A$7:$O$329,8,0)</f>
        <v>1452</v>
      </c>
      <c r="M190" s="103">
        <f>VLOOKUP($A190,'OI(Value)'!$A$7:$O$329,9,0)</f>
        <v>-38</v>
      </c>
      <c r="N190" s="103">
        <f>VLOOKUP($A190,'OI(Value)'!$A$7:$O$329,11,0)</f>
        <v>1053</v>
      </c>
      <c r="O190" s="103">
        <f>VLOOKUP($A190,'OI(Value)'!$A$7:$O$329,12,0)</f>
        <v>-7</v>
      </c>
    </row>
    <row r="191" spans="1:15" x14ac:dyDescent="0.25">
      <c r="A191" s="105" t="str">
        <f>'Data Vlaue (Cr)'!C186</f>
        <v>SIEMENS</v>
      </c>
      <c r="B191" s="143">
        <f>VLOOKUP($A191,'Data shares'!$C:$FA,118)</f>
        <v>0.95</v>
      </c>
      <c r="C191" s="143">
        <f>VLOOKUP($A191,'Data shares'!$C:$FA,119)</f>
        <v>0.77</v>
      </c>
      <c r="D191" s="143">
        <f>VLOOKUP($A191,'Data shares'!$C:$FA,121)*100</f>
        <v>23.380000000000003</v>
      </c>
      <c r="E191" s="143">
        <f>VLOOKUP($A191,'Data shares'!$C:$FA,124)</f>
        <v>0.46</v>
      </c>
      <c r="F191" s="143">
        <f>VLOOKUP($A191,'Data shares'!$C:$FA,125)</f>
        <v>0.49</v>
      </c>
      <c r="G191" s="143">
        <f>VLOOKUP($A191,'Data shares'!$C:$FA,127)*100</f>
        <v>-6.12</v>
      </c>
      <c r="H191" s="103">
        <f>VLOOKUP($A191,'OI(Volume)'!$A$7:$O$445,8)</f>
        <v>1396500</v>
      </c>
      <c r="I191" s="103">
        <f>VLOOKUP($A191,'OI(Volume)'!$A$7:$O$445,9)</f>
        <v>-61950</v>
      </c>
      <c r="J191" s="103">
        <f>VLOOKUP($A191,'OI(Volume)'!$A$7:$O$445,11)</f>
        <v>1331225</v>
      </c>
      <c r="K191" s="103">
        <f>VLOOKUP($A191,'OI(Volume)'!$A$7:$O$445,12)</f>
        <v>215250</v>
      </c>
      <c r="L191" s="103">
        <f>VLOOKUP($A191,'OI(Value)'!$A$7:$O$329,8,0)</f>
        <v>518</v>
      </c>
      <c r="M191" s="103">
        <f>VLOOKUP($A191,'OI(Value)'!$A$7:$O$329,9,0)</f>
        <v>-23</v>
      </c>
      <c r="N191" s="103">
        <f>VLOOKUP($A191,'OI(Value)'!$A$7:$O$329,11,0)</f>
        <v>494</v>
      </c>
      <c r="O191" s="103">
        <f>VLOOKUP($A191,'OI(Value)'!$A$7:$O$329,12,0)</f>
        <v>80</v>
      </c>
    </row>
    <row r="192" spans="1:15" x14ac:dyDescent="0.25">
      <c r="A192" s="105" t="str">
        <f>'Data Vlaue (Cr)'!C187</f>
        <v>SOLARINDS</v>
      </c>
      <c r="B192" s="143">
        <f>VLOOKUP($A192,'Data shares'!$C:$FA,118)</f>
        <v>0.76</v>
      </c>
      <c r="C192" s="143">
        <f>VLOOKUP($A192,'Data shares'!$C:$FA,119)</f>
        <v>0.74</v>
      </c>
      <c r="D192" s="143">
        <f>VLOOKUP($A192,'Data shares'!$C:$FA,121)*100</f>
        <v>2.7</v>
      </c>
      <c r="E192" s="143">
        <f>VLOOKUP($A192,'Data shares'!$C:$FA,124)</f>
        <v>2.71</v>
      </c>
      <c r="F192" s="143">
        <f>VLOOKUP($A192,'Data shares'!$C:$FA,125)</f>
        <v>0.56000000000000005</v>
      </c>
      <c r="G192" s="143">
        <f>VLOOKUP($A192,'Data shares'!$C:$FA,127)*100</f>
        <v>383.93</v>
      </c>
      <c r="H192" s="103">
        <f>VLOOKUP($A192,'OI(Volume)'!$A$7:$O$445,8)</f>
        <v>302000</v>
      </c>
      <c r="I192" s="103">
        <f>VLOOKUP($A192,'OI(Volume)'!$A$7:$O$445,9)</f>
        <v>9200</v>
      </c>
      <c r="J192" s="103">
        <f>VLOOKUP($A192,'OI(Volume)'!$A$7:$O$445,11)</f>
        <v>230850</v>
      </c>
      <c r="K192" s="103">
        <f>VLOOKUP($A192,'OI(Volume)'!$A$7:$O$445,12)</f>
        <v>13000</v>
      </c>
      <c r="L192" s="103">
        <f>VLOOKUP($A192,'OI(Value)'!$A$7:$O$329,8,0)</f>
        <v>457</v>
      </c>
      <c r="M192" s="103">
        <f>VLOOKUP($A192,'OI(Value)'!$A$7:$O$329,9,0)</f>
        <v>14</v>
      </c>
      <c r="N192" s="103">
        <f>VLOOKUP($A192,'OI(Value)'!$A$7:$O$329,11,0)</f>
        <v>350</v>
      </c>
      <c r="O192" s="103">
        <f>VLOOKUP($A192,'OI(Value)'!$A$7:$O$329,12,0)</f>
        <v>20</v>
      </c>
    </row>
    <row r="193" spans="1:15" x14ac:dyDescent="0.25">
      <c r="A193" s="105" t="str">
        <f>'Data Vlaue (Cr)'!C188</f>
        <v>SONACOMS</v>
      </c>
      <c r="B193" s="143">
        <f>VLOOKUP($A193,'Data shares'!$C:$FA,118)</f>
        <v>0.79</v>
      </c>
      <c r="C193" s="143">
        <f>VLOOKUP($A193,'Data shares'!$C:$FA,119)</f>
        <v>0.8</v>
      </c>
      <c r="D193" s="143">
        <f>VLOOKUP($A193,'Data shares'!$C:$FA,121)*100</f>
        <v>-1.25</v>
      </c>
      <c r="E193" s="143">
        <f>VLOOKUP($A193,'Data shares'!$C:$FA,124)</f>
        <v>0.35</v>
      </c>
      <c r="F193" s="143">
        <f>VLOOKUP($A193,'Data shares'!$C:$FA,125)</f>
        <v>0.54</v>
      </c>
      <c r="G193" s="143">
        <f>VLOOKUP($A193,'Data shares'!$C:$FA,127)*100</f>
        <v>-35.19</v>
      </c>
      <c r="H193" s="103">
        <f>VLOOKUP($A193,'OI(Volume)'!$A$7:$O$445,8)</f>
        <v>4523925</v>
      </c>
      <c r="I193" s="103">
        <f>VLOOKUP($A193,'OI(Volume)'!$A$7:$O$445,9)</f>
        <v>122500</v>
      </c>
      <c r="J193" s="103">
        <f>VLOOKUP($A193,'OI(Volume)'!$A$7:$O$445,11)</f>
        <v>3552500</v>
      </c>
      <c r="K193" s="103">
        <f>VLOOKUP($A193,'OI(Volume)'!$A$7:$O$445,12)</f>
        <v>14700</v>
      </c>
      <c r="L193" s="103">
        <f>VLOOKUP($A193,'OI(Value)'!$A$7:$O$329,8,0)</f>
        <v>269</v>
      </c>
      <c r="M193" s="103">
        <f>VLOOKUP($A193,'OI(Value)'!$A$7:$O$329,9,0)</f>
        <v>7</v>
      </c>
      <c r="N193" s="103">
        <f>VLOOKUP($A193,'OI(Value)'!$A$7:$O$329,11,0)</f>
        <v>211</v>
      </c>
      <c r="O193" s="103">
        <f>VLOOKUP($A193,'OI(Value)'!$A$7:$O$329,12,0)</f>
        <v>1</v>
      </c>
    </row>
    <row r="194" spans="1:15" x14ac:dyDescent="0.25">
      <c r="A194" s="105" t="str">
        <f>'Data Vlaue (Cr)'!C189</f>
        <v>SRF</v>
      </c>
      <c r="B194" s="143">
        <f>VLOOKUP($A194,'Data shares'!$C:$FA,118)</f>
        <v>0.59</v>
      </c>
      <c r="C194" s="143">
        <f>VLOOKUP($A194,'Data shares'!$C:$FA,119)</f>
        <v>0.68</v>
      </c>
      <c r="D194" s="143">
        <f>VLOOKUP($A194,'Data shares'!$C:$FA,121)*100</f>
        <v>-13.239999999999998</v>
      </c>
      <c r="E194" s="143">
        <f>VLOOKUP($A194,'Data shares'!$C:$FA,124)</f>
        <v>0.35</v>
      </c>
      <c r="F194" s="143">
        <f>VLOOKUP($A194,'Data shares'!$C:$FA,125)</f>
        <v>0.32</v>
      </c>
      <c r="G194" s="143">
        <f>VLOOKUP($A194,'Data shares'!$C:$FA,127)*100</f>
        <v>9.370000000000001</v>
      </c>
      <c r="H194" s="103">
        <f>VLOOKUP($A194,'OI(Volume)'!$A$7:$O$445,8)</f>
        <v>2055600</v>
      </c>
      <c r="I194" s="103">
        <f>VLOOKUP($A194,'OI(Volume)'!$A$7:$O$445,9)</f>
        <v>392000</v>
      </c>
      <c r="J194" s="103">
        <f>VLOOKUP($A194,'OI(Volume)'!$A$7:$O$445,11)</f>
        <v>1203000</v>
      </c>
      <c r="K194" s="103">
        <f>VLOOKUP($A194,'OI(Volume)'!$A$7:$O$445,12)</f>
        <v>66200</v>
      </c>
      <c r="L194" s="103">
        <f>VLOOKUP($A194,'OI(Value)'!$A$7:$O$329,8,0)</f>
        <v>513</v>
      </c>
      <c r="M194" s="103">
        <f>VLOOKUP($A194,'OI(Value)'!$A$7:$O$329,9,0)</f>
        <v>98</v>
      </c>
      <c r="N194" s="103">
        <f>VLOOKUP($A194,'OI(Value)'!$A$7:$O$329,11,0)</f>
        <v>300</v>
      </c>
      <c r="O194" s="103">
        <f>VLOOKUP($A194,'OI(Value)'!$A$7:$O$329,12,0)</f>
        <v>17</v>
      </c>
    </row>
    <row r="195" spans="1:15" x14ac:dyDescent="0.25">
      <c r="A195" s="105" t="str">
        <f>'Data Vlaue (Cr)'!C190</f>
        <v>SUNPHARMA</v>
      </c>
      <c r="B195" s="143">
        <f>VLOOKUP($A195,'Data shares'!$C:$FA,118)</f>
        <v>0.71</v>
      </c>
      <c r="C195" s="143">
        <f>VLOOKUP($A195,'Data shares'!$C:$FA,119)</f>
        <v>0.83</v>
      </c>
      <c r="D195" s="143">
        <f>VLOOKUP($A195,'Data shares'!$C:$FA,121)*100</f>
        <v>-14.46</v>
      </c>
      <c r="E195" s="143">
        <f>VLOOKUP($A195,'Data shares'!$C:$FA,124)</f>
        <v>0.74</v>
      </c>
      <c r="F195" s="143">
        <f>VLOOKUP($A195,'Data shares'!$C:$FA,125)</f>
        <v>0.81</v>
      </c>
      <c r="G195" s="143">
        <f>VLOOKUP($A195,'Data shares'!$C:$FA,127)*100</f>
        <v>-8.64</v>
      </c>
      <c r="H195" s="103">
        <f>VLOOKUP($A195,'OI(Volume)'!$A$7:$O$445,8)</f>
        <v>8200500</v>
      </c>
      <c r="I195" s="103">
        <f>VLOOKUP($A195,'OI(Volume)'!$A$7:$O$445,9)</f>
        <v>1196300</v>
      </c>
      <c r="J195" s="103">
        <f>VLOOKUP($A195,'OI(Volume)'!$A$7:$O$445,11)</f>
        <v>5840800</v>
      </c>
      <c r="K195" s="103">
        <f>VLOOKUP($A195,'OI(Volume)'!$A$7:$O$445,12)</f>
        <v>38150</v>
      </c>
      <c r="L195" s="103">
        <f>VLOOKUP($A195,'OI(Value)'!$A$7:$O$329,8,0)</f>
        <v>1374</v>
      </c>
      <c r="M195" s="103">
        <f>VLOOKUP($A195,'OI(Value)'!$A$7:$O$329,9,0)</f>
        <v>200</v>
      </c>
      <c r="N195" s="103">
        <f>VLOOKUP($A195,'OI(Value)'!$A$7:$O$329,11,0)</f>
        <v>978</v>
      </c>
      <c r="O195" s="103">
        <f>VLOOKUP($A195,'OI(Value)'!$A$7:$O$329,12,0)</f>
        <v>6</v>
      </c>
    </row>
    <row r="196" spans="1:15" x14ac:dyDescent="0.25">
      <c r="A196" s="105" t="str">
        <f>'Data Vlaue (Cr)'!C191</f>
        <v>SUPREMEIND</v>
      </c>
      <c r="B196" s="143">
        <f>VLOOKUP($A196,'Data shares'!$C:$FA,118)</f>
        <v>0.52</v>
      </c>
      <c r="C196" s="143">
        <f>VLOOKUP($A196,'Data shares'!$C:$FA,119)</f>
        <v>0.49</v>
      </c>
      <c r="D196" s="143">
        <f>VLOOKUP($A196,'Data shares'!$C:$FA,121)*100</f>
        <v>6.12</v>
      </c>
      <c r="E196" s="143">
        <f>VLOOKUP($A196,'Data shares'!$C:$FA,124)</f>
        <v>0.42</v>
      </c>
      <c r="F196" s="143">
        <f>VLOOKUP($A196,'Data shares'!$C:$FA,125)</f>
        <v>0.86</v>
      </c>
      <c r="G196" s="143">
        <f>VLOOKUP($A196,'Data shares'!$C:$FA,127)*100</f>
        <v>-51.160000000000004</v>
      </c>
      <c r="H196" s="103">
        <f>VLOOKUP($A196,'OI(Volume)'!$A$7:$O$445,8)</f>
        <v>785750</v>
      </c>
      <c r="I196" s="103">
        <f>VLOOKUP($A196,'OI(Volume)'!$A$7:$O$445,9)</f>
        <v>-12950</v>
      </c>
      <c r="J196" s="103">
        <f>VLOOKUP($A196,'OI(Volume)'!$A$7:$O$445,11)</f>
        <v>410550</v>
      </c>
      <c r="K196" s="103">
        <f>VLOOKUP($A196,'OI(Volume)'!$A$7:$O$445,12)</f>
        <v>18725</v>
      </c>
      <c r="L196" s="103">
        <f>VLOOKUP($A196,'OI(Value)'!$A$7:$O$329,8,0)</f>
        <v>292</v>
      </c>
      <c r="M196" s="103">
        <f>VLOOKUP($A196,'OI(Value)'!$A$7:$O$329,9,0)</f>
        <v>-5</v>
      </c>
      <c r="N196" s="103">
        <f>VLOOKUP($A196,'OI(Value)'!$A$7:$O$329,11,0)</f>
        <v>153</v>
      </c>
      <c r="O196" s="103">
        <f>VLOOKUP($A196,'OI(Value)'!$A$7:$O$329,12,0)</f>
        <v>7</v>
      </c>
    </row>
    <row r="197" spans="1:15" x14ac:dyDescent="0.25">
      <c r="A197" s="105" t="str">
        <f>'Data Vlaue (Cr)'!C192</f>
        <v>SUZLON</v>
      </c>
      <c r="B197" s="143">
        <f>VLOOKUP($A197,'Data shares'!$C:$FA,118)</f>
        <v>0.97</v>
      </c>
      <c r="C197" s="143">
        <f>VLOOKUP($A197,'Data shares'!$C:$FA,119)</f>
        <v>0.91</v>
      </c>
      <c r="D197" s="143">
        <f>VLOOKUP($A197,'Data shares'!$C:$FA,121)*100</f>
        <v>6.59</v>
      </c>
      <c r="E197" s="143">
        <f>VLOOKUP($A197,'Data shares'!$C:$FA,124)</f>
        <v>0.47</v>
      </c>
      <c r="F197" s="143">
        <f>VLOOKUP($A197,'Data shares'!$C:$FA,125)</f>
        <v>0.6</v>
      </c>
      <c r="G197" s="143">
        <f>VLOOKUP($A197,'Data shares'!$C:$FA,127)*100</f>
        <v>-21.67</v>
      </c>
      <c r="H197" s="103">
        <f>VLOOKUP($A197,'OI(Volume)'!$A$7:$O$445,8)</f>
        <v>177341250</v>
      </c>
      <c r="I197" s="103">
        <f>VLOOKUP($A197,'OI(Volume)'!$A$7:$O$445,9)</f>
        <v>7093650</v>
      </c>
      <c r="J197" s="103">
        <f>VLOOKUP($A197,'OI(Volume)'!$A$7:$O$445,11)</f>
        <v>172449700</v>
      </c>
      <c r="K197" s="103">
        <f>VLOOKUP($A197,'OI(Volume)'!$A$7:$O$445,12)</f>
        <v>17896575</v>
      </c>
      <c r="L197" s="103">
        <f>VLOOKUP($A197,'OI(Value)'!$A$7:$O$329,8,0)</f>
        <v>939</v>
      </c>
      <c r="M197" s="103">
        <f>VLOOKUP($A197,'OI(Value)'!$A$7:$O$329,9,0)</f>
        <v>38</v>
      </c>
      <c r="N197" s="103">
        <f>VLOOKUP($A197,'OI(Value)'!$A$7:$O$329,11,0)</f>
        <v>913</v>
      </c>
      <c r="O197" s="103">
        <f>VLOOKUP($A197,'OI(Value)'!$A$7:$O$329,12,0)</f>
        <v>95</v>
      </c>
    </row>
    <row r="198" spans="1:15" x14ac:dyDescent="0.25">
      <c r="A198" s="105" t="str">
        <f>'Data Vlaue (Cr)'!C193</f>
        <v>SWIGGY</v>
      </c>
      <c r="B198" s="143">
        <f>VLOOKUP($A198,'Data shares'!$C:$FA,118)</f>
        <v>0.56000000000000005</v>
      </c>
      <c r="C198" s="143">
        <f>VLOOKUP($A198,'Data shares'!$C:$FA,119)</f>
        <v>0.6</v>
      </c>
      <c r="D198" s="143">
        <f>VLOOKUP($A198,'Data shares'!$C:$FA,121)*100</f>
        <v>-6.67</v>
      </c>
      <c r="E198" s="143">
        <f>VLOOKUP($A198,'Data shares'!$C:$FA,124)</f>
        <v>0.31</v>
      </c>
      <c r="F198" s="143">
        <f>VLOOKUP($A198,'Data shares'!$C:$FA,125)</f>
        <v>0.35</v>
      </c>
      <c r="G198" s="143">
        <f>VLOOKUP($A198,'Data shares'!$C:$FA,127)*100</f>
        <v>-11.43</v>
      </c>
      <c r="H198" s="103">
        <f>VLOOKUP($A198,'OI(Volume)'!$A$7:$O$445,8)</f>
        <v>11849500</v>
      </c>
      <c r="I198" s="103">
        <f>VLOOKUP($A198,'OI(Volume)'!$A$7:$O$445,9)</f>
        <v>2011100</v>
      </c>
      <c r="J198" s="103">
        <f>VLOOKUP($A198,'OI(Volume)'!$A$7:$O$445,11)</f>
        <v>6578000</v>
      </c>
      <c r="K198" s="103">
        <f>VLOOKUP($A198,'OI(Volume)'!$A$7:$O$445,12)</f>
        <v>685100</v>
      </c>
      <c r="L198" s="103">
        <f>VLOOKUP($A198,'OI(Value)'!$A$7:$O$329,8,0)</f>
        <v>329</v>
      </c>
      <c r="M198" s="103">
        <f>VLOOKUP($A198,'OI(Value)'!$A$7:$O$329,9,0)</f>
        <v>56</v>
      </c>
      <c r="N198" s="103">
        <f>VLOOKUP($A198,'OI(Value)'!$A$7:$O$329,11,0)</f>
        <v>183</v>
      </c>
      <c r="O198" s="103">
        <f>VLOOKUP($A198,'OI(Value)'!$A$7:$O$329,12,0)</f>
        <v>19</v>
      </c>
    </row>
    <row r="199" spans="1:15" x14ac:dyDescent="0.25">
      <c r="A199" s="105" t="str">
        <f>'Data Vlaue (Cr)'!C194</f>
        <v>TATACONSUM</v>
      </c>
      <c r="B199" s="143">
        <f>VLOOKUP($A199,'Data shares'!$C:$FA,118)</f>
        <v>1</v>
      </c>
      <c r="C199" s="143">
        <f>VLOOKUP($A199,'Data shares'!$C:$FA,119)</f>
        <v>1.1599999999999999</v>
      </c>
      <c r="D199" s="143">
        <f>VLOOKUP($A199,'Data shares'!$C:$FA,121)*100</f>
        <v>-13.79</v>
      </c>
      <c r="E199" s="143">
        <f>VLOOKUP($A199,'Data shares'!$C:$FA,124)</f>
        <v>0.24</v>
      </c>
      <c r="F199" s="143">
        <f>VLOOKUP($A199,'Data shares'!$C:$FA,125)</f>
        <v>0.54</v>
      </c>
      <c r="G199" s="143">
        <f>VLOOKUP($A199,'Data shares'!$C:$FA,127)*100</f>
        <v>-55.559999999999995</v>
      </c>
      <c r="H199" s="103">
        <f>VLOOKUP($A199,'OI(Volume)'!$A$7:$O$445,8)</f>
        <v>2451350</v>
      </c>
      <c r="I199" s="103">
        <f>VLOOKUP($A199,'OI(Volume)'!$A$7:$O$445,9)</f>
        <v>479600</v>
      </c>
      <c r="J199" s="103">
        <f>VLOOKUP($A199,'OI(Volume)'!$A$7:$O$445,11)</f>
        <v>2457400</v>
      </c>
      <c r="K199" s="103">
        <f>VLOOKUP($A199,'OI(Volume)'!$A$7:$O$445,12)</f>
        <v>172700</v>
      </c>
      <c r="L199" s="103">
        <f>VLOOKUP($A199,'OI(Value)'!$A$7:$O$329,8,0)</f>
        <v>273</v>
      </c>
      <c r="M199" s="103">
        <f>VLOOKUP($A199,'OI(Value)'!$A$7:$O$329,9,0)</f>
        <v>53</v>
      </c>
      <c r="N199" s="103">
        <f>VLOOKUP($A199,'OI(Value)'!$A$7:$O$329,11,0)</f>
        <v>274</v>
      </c>
      <c r="O199" s="103">
        <f>VLOOKUP($A199,'OI(Value)'!$A$7:$O$329,12,0)</f>
        <v>19</v>
      </c>
    </row>
    <row r="200" spans="1:15" x14ac:dyDescent="0.25">
      <c r="A200" s="105" t="str">
        <f>'Data Vlaue (Cr)'!C195</f>
        <v>TATAELXSI</v>
      </c>
      <c r="B200" s="143">
        <f>VLOOKUP($A200,'Data shares'!$C:$FA,118)</f>
        <v>0.55000000000000004</v>
      </c>
      <c r="C200" s="143">
        <f>VLOOKUP($A200,'Data shares'!$C:$FA,119)</f>
        <v>0.66</v>
      </c>
      <c r="D200" s="143">
        <f>VLOOKUP($A200,'Data shares'!$C:$FA,121)*100</f>
        <v>-16.669999999999998</v>
      </c>
      <c r="E200" s="143">
        <f>VLOOKUP($A200,'Data shares'!$C:$FA,124)</f>
        <v>0.42</v>
      </c>
      <c r="F200" s="143">
        <f>VLOOKUP($A200,'Data shares'!$C:$FA,125)</f>
        <v>0.46</v>
      </c>
      <c r="G200" s="143">
        <f>VLOOKUP($A200,'Data shares'!$C:$FA,127)*100</f>
        <v>-8.6999999999999993</v>
      </c>
      <c r="H200" s="103">
        <f>VLOOKUP($A200,'OI(Volume)'!$A$7:$O$445,8)</f>
        <v>915200</v>
      </c>
      <c r="I200" s="103">
        <f>VLOOKUP($A200,'OI(Volume)'!$A$7:$O$445,9)</f>
        <v>161600</v>
      </c>
      <c r="J200" s="103">
        <f>VLOOKUP($A200,'OI(Volume)'!$A$7:$O$445,11)</f>
        <v>503000</v>
      </c>
      <c r="K200" s="103">
        <f>VLOOKUP($A200,'OI(Volume)'!$A$7:$O$445,12)</f>
        <v>4300</v>
      </c>
      <c r="L200" s="103">
        <f>VLOOKUP($A200,'OI(Value)'!$A$7:$O$329,8,0)</f>
        <v>421</v>
      </c>
      <c r="M200" s="103">
        <f>VLOOKUP($A200,'OI(Value)'!$A$7:$O$329,9,0)</f>
        <v>74</v>
      </c>
      <c r="N200" s="103">
        <f>VLOOKUP($A200,'OI(Value)'!$A$7:$O$329,11,0)</f>
        <v>231</v>
      </c>
      <c r="O200" s="103">
        <f>VLOOKUP($A200,'OI(Value)'!$A$7:$O$329,12,0)</f>
        <v>2</v>
      </c>
    </row>
    <row r="201" spans="1:15" x14ac:dyDescent="0.25">
      <c r="A201" s="105" t="str">
        <f>'Data Vlaue (Cr)'!C196</f>
        <v>TATAPOWER</v>
      </c>
      <c r="B201" s="143">
        <f>VLOOKUP($A201,'Data shares'!$C:$FA,118)</f>
        <v>0.86</v>
      </c>
      <c r="C201" s="143">
        <f>VLOOKUP($A201,'Data shares'!$C:$FA,119)</f>
        <v>0.78</v>
      </c>
      <c r="D201" s="143">
        <f>VLOOKUP($A201,'Data shares'!$C:$FA,121)*100</f>
        <v>10.26</v>
      </c>
      <c r="E201" s="143">
        <f>VLOOKUP($A201,'Data shares'!$C:$FA,124)</f>
        <v>0.75</v>
      </c>
      <c r="F201" s="143">
        <f>VLOOKUP($A201,'Data shares'!$C:$FA,125)</f>
        <v>0.4</v>
      </c>
      <c r="G201" s="143">
        <f>VLOOKUP($A201,'Data shares'!$C:$FA,127)*100</f>
        <v>87.5</v>
      </c>
      <c r="H201" s="103">
        <f>VLOOKUP($A201,'OI(Volume)'!$A$7:$O$445,8)</f>
        <v>36669050</v>
      </c>
      <c r="I201" s="103">
        <f>VLOOKUP($A201,'OI(Volume)'!$A$7:$O$445,9)</f>
        <v>-575650</v>
      </c>
      <c r="J201" s="103">
        <f>VLOOKUP($A201,'OI(Volume)'!$A$7:$O$445,11)</f>
        <v>31375100</v>
      </c>
      <c r="K201" s="103">
        <f>VLOOKUP($A201,'OI(Volume)'!$A$7:$O$445,12)</f>
        <v>2215600</v>
      </c>
      <c r="L201" s="103">
        <f>VLOOKUP($A201,'OI(Value)'!$A$7:$O$329,8,0)</f>
        <v>1569</v>
      </c>
      <c r="M201" s="103">
        <f>VLOOKUP($A201,'OI(Value)'!$A$7:$O$329,9,0)</f>
        <v>-25</v>
      </c>
      <c r="N201" s="103">
        <f>VLOOKUP($A201,'OI(Value)'!$A$7:$O$329,11,0)</f>
        <v>1343</v>
      </c>
      <c r="O201" s="103">
        <f>VLOOKUP($A201,'OI(Value)'!$A$7:$O$329,12,0)</f>
        <v>95</v>
      </c>
    </row>
    <row r="202" spans="1:15" x14ac:dyDescent="0.25">
      <c r="A202" s="105" t="str">
        <f>'Data Vlaue (Cr)'!C197</f>
        <v>TATASTEEL</v>
      </c>
      <c r="B202" s="143">
        <f>VLOOKUP($A202,'Data shares'!$C:$FA,118)</f>
        <v>0.86</v>
      </c>
      <c r="C202" s="143">
        <f>VLOOKUP($A202,'Data shares'!$C:$FA,119)</f>
        <v>0.8</v>
      </c>
      <c r="D202" s="143">
        <f>VLOOKUP($A202,'Data shares'!$C:$FA,121)*100</f>
        <v>7.5</v>
      </c>
      <c r="E202" s="143">
        <f>VLOOKUP($A202,'Data shares'!$C:$FA,124)</f>
        <v>0.65</v>
      </c>
      <c r="F202" s="143">
        <f>VLOOKUP($A202,'Data shares'!$C:$FA,125)</f>
        <v>0.52</v>
      </c>
      <c r="G202" s="143">
        <f>VLOOKUP($A202,'Data shares'!$C:$FA,127)*100</f>
        <v>25</v>
      </c>
      <c r="H202" s="103">
        <f>VLOOKUP($A202,'OI(Volume)'!$A$7:$O$445,8)</f>
        <v>116435000</v>
      </c>
      <c r="I202" s="103">
        <f>VLOOKUP($A202,'OI(Volume)'!$A$7:$O$445,9)</f>
        <v>-676500</v>
      </c>
      <c r="J202" s="103">
        <f>VLOOKUP($A202,'OI(Volume)'!$A$7:$O$445,11)</f>
        <v>99880000</v>
      </c>
      <c r="K202" s="103">
        <f>VLOOKUP($A202,'OI(Volume)'!$A$7:$O$445,12)</f>
        <v>5956500</v>
      </c>
      <c r="L202" s="103">
        <f>VLOOKUP($A202,'OI(Value)'!$A$7:$O$329,8,0)</f>
        <v>2472</v>
      </c>
      <c r="M202" s="103">
        <f>VLOOKUP($A202,'OI(Value)'!$A$7:$O$329,9,0)</f>
        <v>-14</v>
      </c>
      <c r="N202" s="103">
        <f>VLOOKUP($A202,'OI(Value)'!$A$7:$O$329,11,0)</f>
        <v>2120</v>
      </c>
      <c r="O202" s="103">
        <f>VLOOKUP($A202,'OI(Value)'!$A$7:$O$329,12,0)</f>
        <v>126</v>
      </c>
    </row>
    <row r="203" spans="1:15" x14ac:dyDescent="0.25">
      <c r="A203" s="105" t="str">
        <f>'Data Vlaue (Cr)'!C198</f>
        <v>TATATECH</v>
      </c>
      <c r="B203" s="143">
        <f>VLOOKUP($A203,'Data shares'!$C:$FA,118)</f>
        <v>0.66</v>
      </c>
      <c r="C203" s="143">
        <f>VLOOKUP($A203,'Data shares'!$C:$FA,119)</f>
        <v>0.68</v>
      </c>
      <c r="D203" s="143">
        <f>VLOOKUP($A203,'Data shares'!$C:$FA,121)*100</f>
        <v>-2.94</v>
      </c>
      <c r="E203" s="143">
        <f>VLOOKUP($A203,'Data shares'!$C:$FA,124)</f>
        <v>0.32</v>
      </c>
      <c r="F203" s="143">
        <f>VLOOKUP($A203,'Data shares'!$C:$FA,125)</f>
        <v>0.28000000000000003</v>
      </c>
      <c r="G203" s="143">
        <f>VLOOKUP($A203,'Data shares'!$C:$FA,127)*100</f>
        <v>14.29</v>
      </c>
      <c r="H203" s="103">
        <f>VLOOKUP($A203,'OI(Volume)'!$A$7:$O$445,8)</f>
        <v>2736800</v>
      </c>
      <c r="I203" s="103">
        <f>VLOOKUP($A203,'OI(Volume)'!$A$7:$O$445,9)</f>
        <v>56800</v>
      </c>
      <c r="J203" s="103">
        <f>VLOOKUP($A203,'OI(Volume)'!$A$7:$O$445,11)</f>
        <v>1817600</v>
      </c>
      <c r="K203" s="103">
        <f>VLOOKUP($A203,'OI(Volume)'!$A$7:$O$445,12)</f>
        <v>-15200</v>
      </c>
      <c r="L203" s="103">
        <f>VLOOKUP($A203,'OI(Value)'!$A$7:$O$329,8,0)</f>
        <v>162</v>
      </c>
      <c r="M203" s="103">
        <f>VLOOKUP($A203,'OI(Value)'!$A$7:$O$329,9,0)</f>
        <v>3</v>
      </c>
      <c r="N203" s="103">
        <f>VLOOKUP($A203,'OI(Value)'!$A$7:$O$329,11,0)</f>
        <v>107</v>
      </c>
      <c r="O203" s="103">
        <f>VLOOKUP($A203,'OI(Value)'!$A$7:$O$329,12,0)</f>
        <v>-1</v>
      </c>
    </row>
    <row r="204" spans="1:15" x14ac:dyDescent="0.25">
      <c r="A204" s="105" t="str">
        <f>'Data Vlaue (Cr)'!C199</f>
        <v>TCS</v>
      </c>
      <c r="B204" s="143">
        <f>VLOOKUP($A204,'Data shares'!$C:$FA,118)</f>
        <v>0.65</v>
      </c>
      <c r="C204" s="143">
        <f>VLOOKUP($A204,'Data shares'!$C:$FA,119)</f>
        <v>0.61</v>
      </c>
      <c r="D204" s="143">
        <f>VLOOKUP($A204,'Data shares'!$C:$FA,121)*100</f>
        <v>6.5600000000000005</v>
      </c>
      <c r="E204" s="143">
        <f>VLOOKUP($A204,'Data shares'!$C:$FA,124)</f>
        <v>0.57999999999999996</v>
      </c>
      <c r="F204" s="143">
        <f>VLOOKUP($A204,'Data shares'!$C:$FA,125)</f>
        <v>0.55000000000000004</v>
      </c>
      <c r="G204" s="143">
        <f>VLOOKUP($A204,'Data shares'!$C:$FA,127)*100</f>
        <v>5.45</v>
      </c>
      <c r="H204" s="103">
        <f>VLOOKUP($A204,'OI(Volume)'!$A$7:$O$445,8)</f>
        <v>18088175</v>
      </c>
      <c r="I204" s="103">
        <f>VLOOKUP($A204,'OI(Volume)'!$A$7:$O$445,9)</f>
        <v>-892675</v>
      </c>
      <c r="J204" s="103">
        <f>VLOOKUP($A204,'OI(Volume)'!$A$7:$O$445,11)</f>
        <v>11833675</v>
      </c>
      <c r="K204" s="103">
        <f>VLOOKUP($A204,'OI(Volume)'!$A$7:$O$445,12)</f>
        <v>260925</v>
      </c>
      <c r="L204" s="103">
        <f>VLOOKUP($A204,'OI(Value)'!$A$7:$O$329,8,0)</f>
        <v>4633</v>
      </c>
      <c r="M204" s="103">
        <f>VLOOKUP($A204,'OI(Value)'!$A$7:$O$329,9,0)</f>
        <v>-229</v>
      </c>
      <c r="N204" s="103">
        <f>VLOOKUP($A204,'OI(Value)'!$A$7:$O$329,11,0)</f>
        <v>3031</v>
      </c>
      <c r="O204" s="103">
        <f>VLOOKUP($A204,'OI(Value)'!$A$7:$O$329,12,0)</f>
        <v>67</v>
      </c>
    </row>
    <row r="205" spans="1:15" x14ac:dyDescent="0.25">
      <c r="A205" s="105" t="str">
        <f>'Data Vlaue (Cr)'!C200</f>
        <v>TECHM</v>
      </c>
      <c r="B205" s="143">
        <f>VLOOKUP($A205,'Data shares'!$C:$FA,118)</f>
        <v>0.84</v>
      </c>
      <c r="C205" s="143">
        <f>VLOOKUP($A205,'Data shares'!$C:$FA,119)</f>
        <v>0.92</v>
      </c>
      <c r="D205" s="143">
        <f>VLOOKUP($A205,'Data shares'!$C:$FA,121)*100</f>
        <v>-8.6999999999999993</v>
      </c>
      <c r="E205" s="143">
        <f>VLOOKUP($A205,'Data shares'!$C:$FA,124)</f>
        <v>0.46</v>
      </c>
      <c r="F205" s="143">
        <f>VLOOKUP($A205,'Data shares'!$C:$FA,125)</f>
        <v>0.56000000000000005</v>
      </c>
      <c r="G205" s="143">
        <f>VLOOKUP($A205,'Data shares'!$C:$FA,127)*100</f>
        <v>-17.86</v>
      </c>
      <c r="H205" s="103">
        <f>VLOOKUP($A205,'OI(Volume)'!$A$7:$O$445,8)</f>
        <v>4977000</v>
      </c>
      <c r="I205" s="103">
        <f>VLOOKUP($A205,'OI(Volume)'!$A$7:$O$445,9)</f>
        <v>260400</v>
      </c>
      <c r="J205" s="103">
        <f>VLOOKUP($A205,'OI(Volume)'!$A$7:$O$445,11)</f>
        <v>4185600</v>
      </c>
      <c r="K205" s="103">
        <f>VLOOKUP($A205,'OI(Volume)'!$A$7:$O$445,12)</f>
        <v>-160800</v>
      </c>
      <c r="L205" s="103">
        <f>VLOOKUP($A205,'OI(Value)'!$A$7:$O$329,8,0)</f>
        <v>748</v>
      </c>
      <c r="M205" s="103">
        <f>VLOOKUP($A205,'OI(Value)'!$A$7:$O$329,9,0)</f>
        <v>39</v>
      </c>
      <c r="N205" s="103">
        <f>VLOOKUP($A205,'OI(Value)'!$A$7:$O$329,11,0)</f>
        <v>629</v>
      </c>
      <c r="O205" s="103">
        <f>VLOOKUP($A205,'OI(Value)'!$A$7:$O$329,12,0)</f>
        <v>-24</v>
      </c>
    </row>
    <row r="206" spans="1:15" x14ac:dyDescent="0.25">
      <c r="A206" s="105" t="str">
        <f>'Data Vlaue (Cr)'!C201</f>
        <v>TIINDIA</v>
      </c>
      <c r="B206" s="143">
        <f>VLOOKUP($A206,'Data shares'!$C:$FA,118)</f>
        <v>0.44</v>
      </c>
      <c r="C206" s="143">
        <f>VLOOKUP($A206,'Data shares'!$C:$FA,119)</f>
        <v>0.51</v>
      </c>
      <c r="D206" s="143">
        <f>VLOOKUP($A206,'Data shares'!$C:$FA,121)*100</f>
        <v>-13.73</v>
      </c>
      <c r="E206" s="143">
        <f>VLOOKUP($A206,'Data shares'!$C:$FA,124)</f>
        <v>0.14000000000000001</v>
      </c>
      <c r="F206" s="143">
        <f>VLOOKUP($A206,'Data shares'!$C:$FA,125)</f>
        <v>0.22</v>
      </c>
      <c r="G206" s="143">
        <f>VLOOKUP($A206,'Data shares'!$C:$FA,127)*100</f>
        <v>-36.36</v>
      </c>
      <c r="H206" s="103">
        <f>VLOOKUP($A206,'OI(Volume)'!$A$7:$O$445,8)</f>
        <v>552600</v>
      </c>
      <c r="I206" s="103">
        <f>VLOOKUP($A206,'OI(Volume)'!$A$7:$O$445,9)</f>
        <v>77400</v>
      </c>
      <c r="J206" s="103">
        <f>VLOOKUP($A206,'OI(Volume)'!$A$7:$O$445,11)</f>
        <v>240600</v>
      </c>
      <c r="K206" s="103">
        <f>VLOOKUP($A206,'OI(Volume)'!$A$7:$O$445,12)</f>
        <v>-2200</v>
      </c>
      <c r="L206" s="103">
        <f>VLOOKUP($A206,'OI(Value)'!$A$7:$O$329,8,0)</f>
        <v>155</v>
      </c>
      <c r="M206" s="103">
        <f>VLOOKUP($A206,'OI(Value)'!$A$7:$O$329,9,0)</f>
        <v>22</v>
      </c>
      <c r="N206" s="103">
        <f>VLOOKUP($A206,'OI(Value)'!$A$7:$O$329,11,0)</f>
        <v>67</v>
      </c>
      <c r="O206" s="103">
        <f>VLOOKUP($A206,'OI(Value)'!$A$7:$O$329,12,0)</f>
        <v>-1</v>
      </c>
    </row>
    <row r="207" spans="1:15" x14ac:dyDescent="0.25">
      <c r="A207" s="105" t="str">
        <f>'Data Vlaue (Cr)'!C202</f>
        <v>TITAN</v>
      </c>
      <c r="B207" s="143">
        <f>VLOOKUP($A207,'Data shares'!$C:$FA,118)</f>
        <v>0.81</v>
      </c>
      <c r="C207" s="143">
        <f>VLOOKUP($A207,'Data shares'!$C:$FA,119)</f>
        <v>0.7</v>
      </c>
      <c r="D207" s="143">
        <f>VLOOKUP($A207,'Data shares'!$C:$FA,121)*100</f>
        <v>15.709999999999999</v>
      </c>
      <c r="E207" s="143">
        <f>VLOOKUP($A207,'Data shares'!$C:$FA,124)</f>
        <v>0.93</v>
      </c>
      <c r="F207" s="143">
        <f>VLOOKUP($A207,'Data shares'!$C:$FA,125)</f>
        <v>0.72</v>
      </c>
      <c r="G207" s="143">
        <f>VLOOKUP($A207,'Data shares'!$C:$FA,127)*100</f>
        <v>29.17</v>
      </c>
      <c r="H207" s="103">
        <f>VLOOKUP($A207,'OI(Volume)'!$A$7:$O$445,8)</f>
        <v>3935925</v>
      </c>
      <c r="I207" s="103">
        <f>VLOOKUP($A207,'OI(Volume)'!$A$7:$O$445,9)</f>
        <v>-65975</v>
      </c>
      <c r="J207" s="103">
        <f>VLOOKUP($A207,'OI(Volume)'!$A$7:$O$445,11)</f>
        <v>3203025</v>
      </c>
      <c r="K207" s="103">
        <f>VLOOKUP($A207,'OI(Volume)'!$A$7:$O$445,12)</f>
        <v>382025</v>
      </c>
      <c r="L207" s="103">
        <f>VLOOKUP($A207,'OI(Value)'!$A$7:$O$329,8,0)</f>
        <v>1781</v>
      </c>
      <c r="M207" s="103">
        <f>VLOOKUP($A207,'OI(Value)'!$A$7:$O$329,9,0)</f>
        <v>-30</v>
      </c>
      <c r="N207" s="103">
        <f>VLOOKUP($A207,'OI(Value)'!$A$7:$O$329,11,0)</f>
        <v>1449</v>
      </c>
      <c r="O207" s="103">
        <f>VLOOKUP($A207,'OI(Value)'!$A$7:$O$329,12,0)</f>
        <v>173</v>
      </c>
    </row>
    <row r="208" spans="1:15" x14ac:dyDescent="0.25">
      <c r="A208" s="105" t="str">
        <f>'Data Vlaue (Cr)'!C203</f>
        <v>TMPV</v>
      </c>
      <c r="B208" s="143">
        <f>VLOOKUP($A208,'Data shares'!$C:$FA,118)</f>
        <v>0.8</v>
      </c>
      <c r="C208" s="143">
        <f>VLOOKUP($A208,'Data shares'!$C:$FA,119)</f>
        <v>0.77</v>
      </c>
      <c r="D208" s="143">
        <f>VLOOKUP($A208,'Data shares'!$C:$FA,121)*100</f>
        <v>3.9</v>
      </c>
      <c r="E208" s="143">
        <f>VLOOKUP($A208,'Data shares'!$C:$FA,124)</f>
        <v>0.69</v>
      </c>
      <c r="F208" s="143">
        <f>VLOOKUP($A208,'Data shares'!$C:$FA,125)</f>
        <v>0.6</v>
      </c>
      <c r="G208" s="143">
        <f>VLOOKUP($A208,'Data shares'!$C:$FA,127)*100</f>
        <v>15</v>
      </c>
      <c r="H208" s="103">
        <f>VLOOKUP($A208,'OI(Volume)'!$A$7:$O$445,8)</f>
        <v>35904000</v>
      </c>
      <c r="I208" s="103">
        <f>VLOOKUP($A208,'OI(Volume)'!$A$7:$O$445,9)</f>
        <v>-442400</v>
      </c>
      <c r="J208" s="103">
        <f>VLOOKUP($A208,'OI(Volume)'!$A$7:$O$445,11)</f>
        <v>28884800</v>
      </c>
      <c r="K208" s="103">
        <f>VLOOKUP($A208,'OI(Volume)'!$A$7:$O$445,12)</f>
        <v>999200</v>
      </c>
      <c r="L208" s="103">
        <f>VLOOKUP($A208,'OI(Value)'!$A$7:$O$329,8,0)</f>
        <v>1293</v>
      </c>
      <c r="M208" s="103">
        <f>VLOOKUP($A208,'OI(Value)'!$A$7:$O$329,9,0)</f>
        <v>-16</v>
      </c>
      <c r="N208" s="103">
        <f>VLOOKUP($A208,'OI(Value)'!$A$7:$O$329,11,0)</f>
        <v>1041</v>
      </c>
      <c r="O208" s="103">
        <f>VLOOKUP($A208,'OI(Value)'!$A$7:$O$329,12,0)</f>
        <v>36</v>
      </c>
    </row>
    <row r="209" spans="1:15" x14ac:dyDescent="0.25">
      <c r="A209" s="105" t="str">
        <f>'Data Vlaue (Cr)'!C204</f>
        <v>TORNTPHARM</v>
      </c>
      <c r="B209" s="143">
        <f>VLOOKUP($A209,'Data shares'!$C:$FA,118)</f>
        <v>0.7</v>
      </c>
      <c r="C209" s="143">
        <f>VLOOKUP($A209,'Data shares'!$C:$FA,119)</f>
        <v>0.67</v>
      </c>
      <c r="D209" s="143">
        <f>VLOOKUP($A209,'Data shares'!$C:$FA,121)*100</f>
        <v>4.4799999999999995</v>
      </c>
      <c r="E209" s="143">
        <f>VLOOKUP($A209,'Data shares'!$C:$FA,124)</f>
        <v>0.47</v>
      </c>
      <c r="F209" s="143">
        <f>VLOOKUP($A209,'Data shares'!$C:$FA,125)</f>
        <v>0.87</v>
      </c>
      <c r="G209" s="143">
        <f>VLOOKUP($A209,'Data shares'!$C:$FA,127)*100</f>
        <v>-45.98</v>
      </c>
      <c r="H209" s="103">
        <f>VLOOKUP($A209,'OI(Volume)'!$A$7:$O$445,8)</f>
        <v>668750</v>
      </c>
      <c r="I209" s="103">
        <f>VLOOKUP($A209,'OI(Volume)'!$A$7:$O$445,9)</f>
        <v>-33750</v>
      </c>
      <c r="J209" s="103">
        <f>VLOOKUP($A209,'OI(Volume)'!$A$7:$O$445,11)</f>
        <v>469750</v>
      </c>
      <c r="K209" s="103">
        <f>VLOOKUP($A209,'OI(Volume)'!$A$7:$O$445,12)</f>
        <v>-1500</v>
      </c>
      <c r="L209" s="103">
        <f>VLOOKUP($A209,'OI(Value)'!$A$7:$O$329,8,0)</f>
        <v>279</v>
      </c>
      <c r="M209" s="103">
        <f>VLOOKUP($A209,'OI(Value)'!$A$7:$O$329,9,0)</f>
        <v>-14</v>
      </c>
      <c r="N209" s="103">
        <f>VLOOKUP($A209,'OI(Value)'!$A$7:$O$329,11,0)</f>
        <v>196</v>
      </c>
      <c r="O209" s="103">
        <f>VLOOKUP($A209,'OI(Value)'!$A$7:$O$329,12,0)</f>
        <v>-1</v>
      </c>
    </row>
    <row r="210" spans="1:15" x14ac:dyDescent="0.25">
      <c r="A210" s="105" t="str">
        <f>'Data Vlaue (Cr)'!C205</f>
        <v>TORNTPOWER</v>
      </c>
      <c r="B210" s="143">
        <f>VLOOKUP($A210,'Data shares'!$C:$FA,118)</f>
        <v>0.73</v>
      </c>
      <c r="C210" s="143">
        <f>VLOOKUP($A210,'Data shares'!$C:$FA,119)</f>
        <v>0.78</v>
      </c>
      <c r="D210" s="143">
        <f>VLOOKUP($A210,'Data shares'!$C:$FA,121)*100</f>
        <v>-6.41</v>
      </c>
      <c r="E210" s="143">
        <f>VLOOKUP($A210,'Data shares'!$C:$FA,124)</f>
        <v>0.28000000000000003</v>
      </c>
      <c r="F210" s="143">
        <f>VLOOKUP($A210,'Data shares'!$C:$FA,125)</f>
        <v>0.24</v>
      </c>
      <c r="G210" s="143">
        <f>VLOOKUP($A210,'Data shares'!$C:$FA,127)*100</f>
        <v>16.669999999999998</v>
      </c>
      <c r="H210" s="103">
        <f>VLOOKUP($A210,'OI(Volume)'!$A$7:$O$445,8)</f>
        <v>1126675</v>
      </c>
      <c r="I210" s="103">
        <f>VLOOKUP($A210,'OI(Volume)'!$A$7:$O$445,9)</f>
        <v>157250</v>
      </c>
      <c r="J210" s="103">
        <f>VLOOKUP($A210,'OI(Volume)'!$A$7:$O$445,11)</f>
        <v>819400</v>
      </c>
      <c r="K210" s="103">
        <f>VLOOKUP($A210,'OI(Volume)'!$A$7:$O$445,12)</f>
        <v>66725</v>
      </c>
      <c r="L210" s="103">
        <f>VLOOKUP($A210,'OI(Value)'!$A$7:$O$329,8,0)</f>
        <v>176</v>
      </c>
      <c r="M210" s="103">
        <f>VLOOKUP($A210,'OI(Value)'!$A$7:$O$329,9,0)</f>
        <v>25</v>
      </c>
      <c r="N210" s="103">
        <f>VLOOKUP($A210,'OI(Value)'!$A$7:$O$329,11,0)</f>
        <v>128</v>
      </c>
      <c r="O210" s="103">
        <f>VLOOKUP($A210,'OI(Value)'!$A$7:$O$329,12,0)</f>
        <v>10</v>
      </c>
    </row>
    <row r="211" spans="1:15" x14ac:dyDescent="0.25">
      <c r="A211" s="105" t="str">
        <f>'Data Vlaue (Cr)'!C206</f>
        <v>TRENT</v>
      </c>
      <c r="B211" s="143">
        <f>VLOOKUP($A211,'Data shares'!$C:$FA,118)</f>
        <v>0.86</v>
      </c>
      <c r="C211" s="143">
        <f>VLOOKUP($A211,'Data shares'!$C:$FA,119)</f>
        <v>0.9</v>
      </c>
      <c r="D211" s="143">
        <f>VLOOKUP($A211,'Data shares'!$C:$FA,121)*100</f>
        <v>-4.4400000000000004</v>
      </c>
      <c r="E211" s="143">
        <f>VLOOKUP($A211,'Data shares'!$C:$FA,124)</f>
        <v>0.48</v>
      </c>
      <c r="F211" s="143">
        <f>VLOOKUP($A211,'Data shares'!$C:$FA,125)</f>
        <v>0.47</v>
      </c>
      <c r="G211" s="143">
        <f>VLOOKUP($A211,'Data shares'!$C:$FA,127)*100</f>
        <v>2.13</v>
      </c>
      <c r="H211" s="103">
        <f>VLOOKUP($A211,'OI(Volume)'!$A$7:$O$445,8)</f>
        <v>0</v>
      </c>
      <c r="I211" s="103">
        <f>VLOOKUP($A211,'OI(Volume)'!$A$7:$O$445,9)</f>
        <v>0</v>
      </c>
      <c r="J211" s="103">
        <f>VLOOKUP($A211,'OI(Volume)'!$A$7:$O$445,11)</f>
        <v>0</v>
      </c>
      <c r="K211" s="103">
        <f>VLOOKUP($A211,'OI(Volume)'!$A$7:$O$445,12)</f>
        <v>0</v>
      </c>
      <c r="L211" s="103">
        <f>VLOOKUP($A211,'OI(Value)'!$A$7:$O$329,8,0)</f>
        <v>1201</v>
      </c>
      <c r="M211" s="103">
        <f>VLOOKUP($A211,'OI(Value)'!$A$7:$O$329,9,0)</f>
        <v>71</v>
      </c>
      <c r="N211" s="103">
        <f>VLOOKUP($A211,'OI(Value)'!$A$7:$O$329,11,0)</f>
        <v>1032</v>
      </c>
      <c r="O211" s="103">
        <f>VLOOKUP($A211,'OI(Value)'!$A$7:$O$329,12,0)</f>
        <v>20</v>
      </c>
    </row>
    <row r="212" spans="1:15" x14ac:dyDescent="0.25">
      <c r="A212" s="105" t="str">
        <f>'Data Vlaue (Cr)'!C207</f>
        <v>TVSMOTOR</v>
      </c>
      <c r="B212" s="143">
        <f>VLOOKUP($A212,'Data shares'!$C:$FA,118)</f>
        <v>0.7</v>
      </c>
      <c r="C212" s="143">
        <f>VLOOKUP($A212,'Data shares'!$C:$FA,119)</f>
        <v>0.71</v>
      </c>
      <c r="D212" s="143">
        <f>VLOOKUP($A212,'Data shares'!$C:$FA,121)*100</f>
        <v>-1.41</v>
      </c>
      <c r="E212" s="143">
        <f>VLOOKUP($A212,'Data shares'!$C:$FA,124)</f>
        <v>0.62</v>
      </c>
      <c r="F212" s="143">
        <f>VLOOKUP($A212,'Data shares'!$C:$FA,125)</f>
        <v>0.54</v>
      </c>
      <c r="G212" s="143">
        <f>VLOOKUP($A212,'Data shares'!$C:$FA,127)*100</f>
        <v>14.81</v>
      </c>
      <c r="H212" s="103">
        <f>VLOOKUP($A212,'OI(Volume)'!$A$7:$O$445,8)</f>
        <v>0</v>
      </c>
      <c r="I212" s="103">
        <f>VLOOKUP($A212,'OI(Volume)'!$A$7:$O$445,9)</f>
        <v>0</v>
      </c>
      <c r="J212" s="103">
        <f>VLOOKUP($A212,'OI(Volume)'!$A$7:$O$445,11)</f>
        <v>0</v>
      </c>
      <c r="K212" s="103">
        <f>VLOOKUP($A212,'OI(Volume)'!$A$7:$O$445,12)</f>
        <v>0</v>
      </c>
      <c r="L212" s="103">
        <f>VLOOKUP($A212,'OI(Value)'!$A$7:$O$329,8,0)</f>
        <v>613</v>
      </c>
      <c r="M212" s="103">
        <f>VLOOKUP($A212,'OI(Value)'!$A$7:$O$329,9,0)</f>
        <v>22</v>
      </c>
      <c r="N212" s="103">
        <f>VLOOKUP($A212,'OI(Value)'!$A$7:$O$329,11,0)</f>
        <v>430</v>
      </c>
      <c r="O212" s="103">
        <f>VLOOKUP($A212,'OI(Value)'!$A$7:$O$329,12,0)</f>
        <v>9</v>
      </c>
    </row>
    <row r="213" spans="1:15" x14ac:dyDescent="0.25">
      <c r="A213" s="105" t="str">
        <f>'Data Vlaue (Cr)'!C208</f>
        <v>ULTRACEMCO</v>
      </c>
      <c r="B213" s="143">
        <f>VLOOKUP($A213,'Data shares'!$C:$FA,118)</f>
        <v>0.62</v>
      </c>
      <c r="C213" s="143">
        <f>VLOOKUP($A213,'Data shares'!$C:$FA,119)</f>
        <v>0.63</v>
      </c>
      <c r="D213" s="143">
        <f>VLOOKUP($A213,'Data shares'!$C:$FA,121)*100</f>
        <v>-1.59</v>
      </c>
      <c r="E213" s="143">
        <f>VLOOKUP($A213,'Data shares'!$C:$FA,124)</f>
        <v>0.47</v>
      </c>
      <c r="F213" s="143">
        <f>VLOOKUP($A213,'Data shares'!$C:$FA,125)</f>
        <v>0.5</v>
      </c>
      <c r="G213" s="143">
        <f>VLOOKUP($A213,'Data shares'!$C:$FA,127)*100</f>
        <v>-6</v>
      </c>
      <c r="H213" s="103">
        <f>VLOOKUP($A213,'OI(Volume)'!$A$7:$O$445,8)</f>
        <v>0</v>
      </c>
      <c r="I213" s="103">
        <f>VLOOKUP($A213,'OI(Volume)'!$A$7:$O$445,9)</f>
        <v>0</v>
      </c>
      <c r="J213" s="103">
        <f>VLOOKUP($A213,'OI(Volume)'!$A$7:$O$445,11)</f>
        <v>0</v>
      </c>
      <c r="K213" s="103">
        <f>VLOOKUP($A213,'OI(Volume)'!$A$7:$O$445,12)</f>
        <v>0</v>
      </c>
      <c r="L213" s="103">
        <f>VLOOKUP($A213,'OI(Value)'!$A$7:$O$329,8,0)</f>
        <v>828</v>
      </c>
      <c r="M213" s="103">
        <f>VLOOKUP($A213,'OI(Value)'!$A$7:$O$329,9,0)</f>
        <v>65</v>
      </c>
      <c r="N213" s="103">
        <f>VLOOKUP($A213,'OI(Value)'!$A$7:$O$329,11,0)</f>
        <v>510</v>
      </c>
      <c r="O213" s="103">
        <f>VLOOKUP($A213,'OI(Value)'!$A$7:$O$329,12,0)</f>
        <v>31</v>
      </c>
    </row>
    <row r="214" spans="1:15" x14ac:dyDescent="0.25">
      <c r="A214" s="105" t="str">
        <f>'Data Vlaue (Cr)'!C209</f>
        <v>UNIONBANK</v>
      </c>
      <c r="B214" s="143">
        <f>VLOOKUP($A214,'Data shares'!$C:$FA,118)</f>
        <v>0.79</v>
      </c>
      <c r="C214" s="143">
        <f>VLOOKUP($A214,'Data shares'!$C:$FA,119)</f>
        <v>0.8</v>
      </c>
      <c r="D214" s="143">
        <f>VLOOKUP($A214,'Data shares'!$C:$FA,121)*100</f>
        <v>-1.25</v>
      </c>
      <c r="E214" s="143">
        <f>VLOOKUP($A214,'Data shares'!$C:$FA,124)</f>
        <v>0.56000000000000005</v>
      </c>
      <c r="F214" s="143">
        <f>VLOOKUP($A214,'Data shares'!$C:$FA,125)</f>
        <v>0.64</v>
      </c>
      <c r="G214" s="143">
        <f>VLOOKUP($A214,'Data shares'!$C:$FA,127)*100</f>
        <v>-12.5</v>
      </c>
      <c r="H214" s="103">
        <f>VLOOKUP($A214,'OI(Volume)'!$A$7:$O$445,8)</f>
        <v>0</v>
      </c>
      <c r="I214" s="103">
        <f>VLOOKUP($A214,'OI(Volume)'!$A$7:$O$445,9)</f>
        <v>0</v>
      </c>
      <c r="J214" s="103">
        <f>VLOOKUP($A214,'OI(Volume)'!$A$7:$O$445,11)</f>
        <v>0</v>
      </c>
      <c r="K214" s="103">
        <f>VLOOKUP($A214,'OI(Volume)'!$A$7:$O$445,12)</f>
        <v>0</v>
      </c>
      <c r="L214" s="103">
        <f>VLOOKUP($A214,'OI(Value)'!$A$7:$O$329,8,0)</f>
        <v>679</v>
      </c>
      <c r="M214" s="103">
        <f>VLOOKUP($A214,'OI(Value)'!$A$7:$O$329,9,0)</f>
        <v>30</v>
      </c>
      <c r="N214" s="103">
        <f>VLOOKUP($A214,'OI(Value)'!$A$7:$O$329,11,0)</f>
        <v>536</v>
      </c>
      <c r="O214" s="103">
        <f>VLOOKUP($A214,'OI(Value)'!$A$7:$O$329,12,0)</f>
        <v>14</v>
      </c>
    </row>
    <row r="215" spans="1:15" x14ac:dyDescent="0.25">
      <c r="A215" s="105" t="str">
        <f>'Data Vlaue (Cr)'!C210</f>
        <v>UNITDSPR</v>
      </c>
      <c r="B215" s="143">
        <f>VLOOKUP($A215,'Data shares'!$C:$FA,118)</f>
        <v>0.65</v>
      </c>
      <c r="C215" s="143">
        <f>VLOOKUP($A215,'Data shares'!$C:$FA,119)</f>
        <v>0.56000000000000005</v>
      </c>
      <c r="D215" s="143">
        <f>VLOOKUP($A215,'Data shares'!$C:$FA,121)*100</f>
        <v>16.07</v>
      </c>
      <c r="E215" s="143">
        <f>VLOOKUP($A215,'Data shares'!$C:$FA,124)</f>
        <v>0.27</v>
      </c>
      <c r="F215" s="143">
        <f>VLOOKUP($A215,'Data shares'!$C:$FA,125)</f>
        <v>0.24</v>
      </c>
      <c r="G215" s="143">
        <f>VLOOKUP($A215,'Data shares'!$C:$FA,127)*100</f>
        <v>12.5</v>
      </c>
      <c r="H215" s="103">
        <f>VLOOKUP($A215,'OI(Volume)'!$A$7:$O$445,8)</f>
        <v>0</v>
      </c>
      <c r="I215" s="103">
        <f>VLOOKUP($A215,'OI(Volume)'!$A$7:$O$445,9)</f>
        <v>0</v>
      </c>
      <c r="J215" s="103">
        <f>VLOOKUP($A215,'OI(Volume)'!$A$7:$O$445,11)</f>
        <v>0</v>
      </c>
      <c r="K215" s="103">
        <f>VLOOKUP($A215,'OI(Volume)'!$A$7:$O$445,12)</f>
        <v>0</v>
      </c>
      <c r="L215" s="103">
        <f>VLOOKUP($A215,'OI(Value)'!$A$7:$O$329,8,0)</f>
        <v>603</v>
      </c>
      <c r="M215" s="103">
        <f>VLOOKUP($A215,'OI(Value)'!$A$7:$O$329,9,0)</f>
        <v>-8</v>
      </c>
      <c r="N215" s="103">
        <f>VLOOKUP($A215,'OI(Value)'!$A$7:$O$329,11,0)</f>
        <v>395</v>
      </c>
      <c r="O215" s="103">
        <f>VLOOKUP($A215,'OI(Value)'!$A$7:$O$329,12,0)</f>
        <v>51</v>
      </c>
    </row>
    <row r="216" spans="1:15" x14ac:dyDescent="0.25">
      <c r="A216" s="105" t="str">
        <f>'Data Vlaue (Cr)'!C211</f>
        <v>UNOMINDA</v>
      </c>
      <c r="B216" s="143">
        <f>VLOOKUP($A216,'Data shares'!$C:$FA,118)</f>
        <v>0.41</v>
      </c>
      <c r="C216" s="143">
        <f>VLOOKUP($A216,'Data shares'!$C:$FA,119)</f>
        <v>0.42</v>
      </c>
      <c r="D216" s="143">
        <f>VLOOKUP($A216,'Data shares'!$C:$FA,121)*100</f>
        <v>-2.3800000000000003</v>
      </c>
      <c r="E216" s="143">
        <f>VLOOKUP($A216,'Data shares'!$C:$FA,124)</f>
        <v>0.22</v>
      </c>
      <c r="F216" s="143">
        <f>VLOOKUP($A216,'Data shares'!$C:$FA,125)</f>
        <v>0.22</v>
      </c>
      <c r="G216" s="143">
        <f>VLOOKUP($A216,'Data shares'!$C:$FA,127)*100</f>
        <v>0</v>
      </c>
      <c r="H216" s="103">
        <f>VLOOKUP($A216,'OI(Volume)'!$A$7:$O$445,8)</f>
        <v>0</v>
      </c>
      <c r="I216" s="103">
        <f>VLOOKUP($A216,'OI(Volume)'!$A$7:$O$445,9)</f>
        <v>0</v>
      </c>
      <c r="J216" s="103">
        <f>VLOOKUP($A216,'OI(Volume)'!$A$7:$O$445,11)</f>
        <v>0</v>
      </c>
      <c r="K216" s="103">
        <f>VLOOKUP($A216,'OI(Volume)'!$A$7:$O$445,12)</f>
        <v>0</v>
      </c>
      <c r="L216" s="103">
        <f>VLOOKUP($A216,'OI(Value)'!$A$7:$O$329,8,0)</f>
        <v>194</v>
      </c>
      <c r="M216" s="103">
        <f>VLOOKUP($A216,'OI(Value)'!$A$7:$O$329,9,0)</f>
        <v>13</v>
      </c>
      <c r="N216" s="103">
        <f>VLOOKUP($A216,'OI(Value)'!$A$7:$O$329,11,0)</f>
        <v>79</v>
      </c>
      <c r="O216" s="103">
        <f>VLOOKUP($A216,'OI(Value)'!$A$7:$O$329,12,0)</f>
        <v>3</v>
      </c>
    </row>
    <row r="217" spans="1:15" x14ac:dyDescent="0.25">
      <c r="A217" s="105" t="str">
        <f>'Data Vlaue (Cr)'!C212</f>
        <v>UPL</v>
      </c>
      <c r="B217" s="143">
        <f>VLOOKUP($A217,'Data shares'!$C:$FA,118)</f>
        <v>0.75</v>
      </c>
      <c r="C217" s="143">
        <f>VLOOKUP($A217,'Data shares'!$C:$FA,119)</f>
        <v>0.69</v>
      </c>
      <c r="D217" s="143">
        <f>VLOOKUP($A217,'Data shares'!$C:$FA,121)*100</f>
        <v>8.6999999999999993</v>
      </c>
      <c r="E217" s="143">
        <f>VLOOKUP($A217,'Data shares'!$C:$FA,124)</f>
        <v>0.72</v>
      </c>
      <c r="F217" s="143">
        <f>VLOOKUP($A217,'Data shares'!$C:$FA,125)</f>
        <v>0.5</v>
      </c>
      <c r="G217" s="143">
        <f>VLOOKUP($A217,'Data shares'!$C:$FA,127)*100</f>
        <v>44</v>
      </c>
      <c r="H217" s="103">
        <f>VLOOKUP($A217,'OI(Volume)'!$A$7:$O$445,8)</f>
        <v>0</v>
      </c>
      <c r="I217" s="103">
        <f>VLOOKUP($A217,'OI(Volume)'!$A$7:$O$445,9)</f>
        <v>0</v>
      </c>
      <c r="J217" s="103">
        <f>VLOOKUP($A217,'OI(Volume)'!$A$7:$O$445,11)</f>
        <v>0</v>
      </c>
      <c r="K217" s="103">
        <f>VLOOKUP($A217,'OI(Volume)'!$A$7:$O$445,12)</f>
        <v>0</v>
      </c>
      <c r="L217" s="103">
        <f>VLOOKUP($A217,'OI(Value)'!$A$7:$O$329,8,0)</f>
        <v>657</v>
      </c>
      <c r="M217" s="103">
        <f>VLOOKUP($A217,'OI(Value)'!$A$7:$O$329,9,0)</f>
        <v>-18</v>
      </c>
      <c r="N217" s="103">
        <f>VLOOKUP($A217,'OI(Value)'!$A$7:$O$329,11,0)</f>
        <v>491</v>
      </c>
      <c r="O217" s="103">
        <f>VLOOKUP($A217,'OI(Value)'!$A$7:$O$329,12,0)</f>
        <v>22</v>
      </c>
    </row>
    <row r="218" spans="1:15" x14ac:dyDescent="0.25">
      <c r="A218" s="105" t="str">
        <f>'Data Vlaue (Cr)'!C213</f>
        <v>VBL</v>
      </c>
      <c r="B218" s="143">
        <f>VLOOKUP($A218,'Data shares'!$C:$FA,118)</f>
        <v>0.62</v>
      </c>
      <c r="C218" s="143">
        <f>VLOOKUP($A218,'Data shares'!$C:$FA,119)</f>
        <v>0.6</v>
      </c>
      <c r="D218" s="143">
        <f>VLOOKUP($A218,'Data shares'!$C:$FA,121)*100</f>
        <v>3.3300000000000005</v>
      </c>
      <c r="E218" s="143">
        <f>VLOOKUP($A218,'Data shares'!$C:$FA,124)</f>
        <v>0.45</v>
      </c>
      <c r="F218" s="143">
        <f>VLOOKUP($A218,'Data shares'!$C:$FA,125)</f>
        <v>0.49</v>
      </c>
      <c r="G218" s="143">
        <f>VLOOKUP($A218,'Data shares'!$C:$FA,127)*100</f>
        <v>-8.16</v>
      </c>
      <c r="H218" s="103">
        <f>VLOOKUP($A218,'OI(Volume)'!$A$7:$O$445,8)</f>
        <v>0</v>
      </c>
      <c r="I218" s="103">
        <f>VLOOKUP($A218,'OI(Volume)'!$A$7:$O$445,9)</f>
        <v>0</v>
      </c>
      <c r="J218" s="103">
        <f>VLOOKUP($A218,'OI(Volume)'!$A$7:$O$445,11)</f>
        <v>0</v>
      </c>
      <c r="K218" s="103">
        <f>VLOOKUP($A218,'OI(Volume)'!$A$7:$O$445,12)</f>
        <v>0</v>
      </c>
      <c r="L218" s="103">
        <f>VLOOKUP($A218,'OI(Value)'!$A$7:$O$329,8,0)</f>
        <v>772</v>
      </c>
      <c r="M218" s="103">
        <f>VLOOKUP($A218,'OI(Value)'!$A$7:$O$329,9,0)</f>
        <v>61</v>
      </c>
      <c r="N218" s="103">
        <f>VLOOKUP($A218,'OI(Value)'!$A$7:$O$329,11,0)</f>
        <v>478</v>
      </c>
      <c r="O218" s="103">
        <f>VLOOKUP($A218,'OI(Value)'!$A$7:$O$329,12,0)</f>
        <v>52</v>
      </c>
    </row>
    <row r="219" spans="1:15" x14ac:dyDescent="0.25">
      <c r="A219" s="105" t="str">
        <f>'Data Vlaue (Cr)'!C214</f>
        <v>VEDL</v>
      </c>
      <c r="B219" s="143">
        <f>VLOOKUP($A219,'Data shares'!$C:$FA,118)</f>
        <v>0.98</v>
      </c>
      <c r="C219" s="143">
        <f>VLOOKUP($A219,'Data shares'!$C:$FA,119)</f>
        <v>1</v>
      </c>
      <c r="D219" s="143">
        <f>VLOOKUP($A219,'Data shares'!$C:$FA,121)*100</f>
        <v>-2</v>
      </c>
      <c r="E219" s="143">
        <f>VLOOKUP($A219,'Data shares'!$C:$FA,124)</f>
        <v>0.7</v>
      </c>
      <c r="F219" s="143">
        <f>VLOOKUP($A219,'Data shares'!$C:$FA,125)</f>
        <v>0.63</v>
      </c>
      <c r="G219" s="143">
        <f>VLOOKUP($A219,'Data shares'!$C:$FA,127)*100</f>
        <v>11.110000000000001</v>
      </c>
      <c r="H219" s="103">
        <f>VLOOKUP($A219,'OI(Volume)'!$A$7:$O$445,8)</f>
        <v>0</v>
      </c>
      <c r="I219" s="103">
        <f>VLOOKUP($A219,'OI(Volume)'!$A$7:$O$445,9)</f>
        <v>0</v>
      </c>
      <c r="J219" s="103">
        <f>VLOOKUP($A219,'OI(Volume)'!$A$7:$O$445,11)</f>
        <v>0</v>
      </c>
      <c r="K219" s="103">
        <f>VLOOKUP($A219,'OI(Volume)'!$A$7:$O$445,12)</f>
        <v>0</v>
      </c>
      <c r="L219" s="103">
        <f>VLOOKUP($A219,'OI(Value)'!$A$7:$O$329,8,0)</f>
        <v>2456</v>
      </c>
      <c r="M219" s="103">
        <f>VLOOKUP($A219,'OI(Value)'!$A$7:$O$329,9,0)</f>
        <v>145</v>
      </c>
      <c r="N219" s="103">
        <f>VLOOKUP($A219,'OI(Value)'!$A$7:$O$329,11,0)</f>
        <v>2416</v>
      </c>
      <c r="O219" s="103">
        <f>VLOOKUP($A219,'OI(Value)'!$A$7:$O$329,12,0)</f>
        <v>108</v>
      </c>
    </row>
    <row r="220" spans="1:15" x14ac:dyDescent="0.25">
      <c r="A220" s="105" t="str">
        <f>'Data Vlaue (Cr)'!C215</f>
        <v>VMM</v>
      </c>
      <c r="B220" s="143">
        <f>VLOOKUP($A220,'Data shares'!$C:$FA,118)</f>
        <v>0.61</v>
      </c>
      <c r="C220" s="143">
        <f>VLOOKUP($A220,'Data shares'!$C:$FA,119)</f>
        <v>0.7</v>
      </c>
      <c r="D220" s="143">
        <f>VLOOKUP($A220,'Data shares'!$C:$FA,121)*100</f>
        <v>-12.86</v>
      </c>
      <c r="E220" s="143">
        <f>VLOOKUP($A220,'Data shares'!$C:$FA,124)</f>
        <v>0.17</v>
      </c>
      <c r="F220" s="143">
        <f>VLOOKUP($A220,'Data shares'!$C:$FA,125)</f>
        <v>0.48</v>
      </c>
      <c r="G220" s="143">
        <f>VLOOKUP($A220,'Data shares'!$C:$FA,127)*100</f>
        <v>-64.58</v>
      </c>
      <c r="H220" s="103">
        <f>VLOOKUP($A220,'OI(Volume)'!$A$7:$O$445,8)</f>
        <v>0</v>
      </c>
      <c r="I220" s="103">
        <f>VLOOKUP($A220,'OI(Volume)'!$A$7:$O$445,9)</f>
        <v>0</v>
      </c>
      <c r="J220" s="103">
        <f>VLOOKUP($A220,'OI(Volume)'!$A$7:$O$445,11)</f>
        <v>0</v>
      </c>
      <c r="K220" s="103">
        <f>VLOOKUP($A220,'OI(Volume)'!$A$7:$O$445,12)</f>
        <v>0</v>
      </c>
      <c r="L220" s="103">
        <f>VLOOKUP($A220,'OI(Value)'!$A$7:$O$329,8,0)</f>
        <v>78</v>
      </c>
      <c r="M220" s="103">
        <f>VLOOKUP($A220,'OI(Value)'!$A$7:$O$329,9,0)</f>
        <v>13</v>
      </c>
      <c r="N220" s="103">
        <f>VLOOKUP($A220,'OI(Value)'!$A$7:$O$329,11,0)</f>
        <v>47</v>
      </c>
      <c r="O220" s="103">
        <f>VLOOKUP($A220,'OI(Value)'!$A$7:$O$329,12,0)</f>
        <v>2</v>
      </c>
    </row>
    <row r="221" spans="1:15" x14ac:dyDescent="0.25">
      <c r="A221" s="105" t="str">
        <f>'Data Vlaue (Cr)'!C216</f>
        <v>VOLTAS</v>
      </c>
      <c r="B221" s="143">
        <f>VLOOKUP($A221,'Data shares'!$C:$FA,118)</f>
        <v>0.95</v>
      </c>
      <c r="C221" s="143">
        <f>VLOOKUP($A221,'Data shares'!$C:$FA,119)</f>
        <v>0.79</v>
      </c>
      <c r="D221" s="143">
        <f>VLOOKUP($A221,'Data shares'!$C:$FA,121)*100</f>
        <v>20.25</v>
      </c>
      <c r="E221" s="143">
        <f>VLOOKUP($A221,'Data shares'!$C:$FA,124)</f>
        <v>0.52</v>
      </c>
      <c r="F221" s="143">
        <f>VLOOKUP($A221,'Data shares'!$C:$FA,125)</f>
        <v>0.52</v>
      </c>
      <c r="G221" s="143">
        <f>VLOOKUP($A221,'Data shares'!$C:$FA,127)*100</f>
        <v>0</v>
      </c>
      <c r="H221" s="103">
        <f>VLOOKUP($A221,'OI(Volume)'!$A$7:$O$445,8)</f>
        <v>0</v>
      </c>
      <c r="I221" s="103">
        <f>VLOOKUP($A221,'OI(Volume)'!$A$7:$O$445,9)</f>
        <v>0</v>
      </c>
      <c r="J221" s="103">
        <f>VLOOKUP($A221,'OI(Volume)'!$A$7:$O$445,11)</f>
        <v>0</v>
      </c>
      <c r="K221" s="103">
        <f>VLOOKUP($A221,'OI(Volume)'!$A$7:$O$445,12)</f>
        <v>0</v>
      </c>
      <c r="L221" s="103">
        <f>VLOOKUP($A221,'OI(Value)'!$A$7:$O$329,8,0)</f>
        <v>617</v>
      </c>
      <c r="M221" s="103">
        <f>VLOOKUP($A221,'OI(Value)'!$A$7:$O$329,9,0)</f>
        <v>-63</v>
      </c>
      <c r="N221" s="103">
        <f>VLOOKUP($A221,'OI(Value)'!$A$7:$O$329,11,0)</f>
        <v>583</v>
      </c>
      <c r="O221" s="103">
        <f>VLOOKUP($A221,'OI(Value)'!$A$7:$O$329,12,0)</f>
        <v>48</v>
      </c>
    </row>
    <row r="222" spans="1:15" x14ac:dyDescent="0.25">
      <c r="A222" s="105" t="str">
        <f>'Data Vlaue (Cr)'!C217</f>
        <v>WAAREEENER</v>
      </c>
      <c r="B222" s="143">
        <f>VLOOKUP($A222,'Data shares'!$C:$FA,118)</f>
        <v>0.74</v>
      </c>
      <c r="C222" s="143">
        <f>VLOOKUP($A222,'Data shares'!$C:$FA,119)</f>
        <v>0.82</v>
      </c>
      <c r="D222" s="143">
        <f>VLOOKUP($A222,'Data shares'!$C:$FA,121)*100</f>
        <v>-9.76</v>
      </c>
      <c r="E222" s="143">
        <f>VLOOKUP($A222,'Data shares'!$C:$FA,124)</f>
        <v>0.49</v>
      </c>
      <c r="F222" s="143">
        <f>VLOOKUP($A222,'Data shares'!$C:$FA,125)</f>
        <v>0.72</v>
      </c>
      <c r="G222" s="143">
        <f>VLOOKUP($A222,'Data shares'!$C:$FA,127)*100</f>
        <v>-31.94</v>
      </c>
      <c r="H222" s="103">
        <f>VLOOKUP($A222,'OI(Volume)'!$A$7:$O$445,8)</f>
        <v>0</v>
      </c>
      <c r="I222" s="103">
        <f>VLOOKUP($A222,'OI(Volume)'!$A$7:$O$445,9)</f>
        <v>0</v>
      </c>
      <c r="J222" s="103">
        <f>VLOOKUP($A222,'OI(Volume)'!$A$7:$O$445,11)</f>
        <v>0</v>
      </c>
      <c r="K222" s="103">
        <f>VLOOKUP($A222,'OI(Volume)'!$A$7:$O$445,12)</f>
        <v>0</v>
      </c>
      <c r="L222" s="103">
        <f>VLOOKUP($A222,'OI(Value)'!$A$7:$O$329,8,0)</f>
        <v>744</v>
      </c>
      <c r="M222" s="103">
        <f>VLOOKUP($A222,'OI(Value)'!$A$7:$O$329,9,0)</f>
        <v>23</v>
      </c>
      <c r="N222" s="103">
        <f>VLOOKUP($A222,'OI(Value)'!$A$7:$O$329,11,0)</f>
        <v>548</v>
      </c>
      <c r="O222" s="103">
        <f>VLOOKUP($A222,'OI(Value)'!$A$7:$O$329,12,0)</f>
        <v>-41</v>
      </c>
    </row>
    <row r="223" spans="1:15" x14ac:dyDescent="0.25">
      <c r="A223" s="105" t="str">
        <f>'Data Vlaue (Cr)'!C218</f>
        <v>WIPRO</v>
      </c>
      <c r="B223" s="143">
        <f>VLOOKUP($A223,'Data shares'!$C:$FA,118)</f>
        <v>0.49</v>
      </c>
      <c r="C223" s="143">
        <f>VLOOKUP($A223,'Data shares'!$C:$FA,119)</f>
        <v>0.51</v>
      </c>
      <c r="D223" s="143">
        <f>VLOOKUP($A223,'Data shares'!$C:$FA,121)*100</f>
        <v>-3.92</v>
      </c>
      <c r="E223" s="143">
        <f>VLOOKUP($A223,'Data shares'!$C:$FA,124)</f>
        <v>0.52</v>
      </c>
      <c r="F223" s="143">
        <f>VLOOKUP($A223,'Data shares'!$C:$FA,125)</f>
        <v>0.44</v>
      </c>
      <c r="G223" s="143">
        <f>VLOOKUP($A223,'Data shares'!$C:$FA,127)*100</f>
        <v>18.18</v>
      </c>
      <c r="H223" s="103">
        <f>VLOOKUP($A223,'OI(Volume)'!$A$7:$O$445,8)</f>
        <v>0</v>
      </c>
      <c r="I223" s="103">
        <f>VLOOKUP($A223,'OI(Volume)'!$A$7:$O$445,9)</f>
        <v>0</v>
      </c>
      <c r="J223" s="103">
        <f>VLOOKUP($A223,'OI(Volume)'!$A$7:$O$445,11)</f>
        <v>0</v>
      </c>
      <c r="K223" s="103">
        <f>VLOOKUP($A223,'OI(Volume)'!$A$7:$O$445,12)</f>
        <v>0</v>
      </c>
      <c r="L223" s="103">
        <f>VLOOKUP($A223,'OI(Value)'!$A$7:$O$329,8,0)</f>
        <v>3445</v>
      </c>
      <c r="M223" s="103">
        <f>VLOOKUP($A223,'OI(Value)'!$A$7:$O$329,9,0)</f>
        <v>682</v>
      </c>
      <c r="N223" s="103">
        <f>VLOOKUP($A223,'OI(Value)'!$A$7:$O$329,11,0)</f>
        <v>1691</v>
      </c>
      <c r="O223" s="103">
        <f>VLOOKUP($A223,'OI(Value)'!$A$7:$O$329,12,0)</f>
        <v>281</v>
      </c>
    </row>
    <row r="224" spans="1:15" x14ac:dyDescent="0.25">
      <c r="A224" s="105" t="str">
        <f>'Data Vlaue (Cr)'!C219</f>
        <v>YESBANK</v>
      </c>
      <c r="B224" s="143">
        <f>VLOOKUP($A224,'Data shares'!$C:$FA,118)</f>
        <v>0.63</v>
      </c>
      <c r="C224" s="143">
        <f>VLOOKUP($A224,'Data shares'!$C:$FA,119)</f>
        <v>0.86</v>
      </c>
      <c r="D224" s="143">
        <f>VLOOKUP($A224,'Data shares'!$C:$FA,121)*100</f>
        <v>-26.740000000000002</v>
      </c>
      <c r="E224" s="143">
        <f>VLOOKUP($A224,'Data shares'!$C:$FA,124)</f>
        <v>0.21</v>
      </c>
      <c r="F224" s="143">
        <f>VLOOKUP($A224,'Data shares'!$C:$FA,125)</f>
        <v>0.34</v>
      </c>
      <c r="G224" s="143">
        <f>VLOOKUP($A224,'Data shares'!$C:$FA,127)*100</f>
        <v>-38.24</v>
      </c>
      <c r="H224" s="103">
        <f>VLOOKUP($A224,'OI(Volume)'!$A$7:$O$445,8)</f>
        <v>0</v>
      </c>
      <c r="I224" s="103">
        <f>VLOOKUP($A224,'OI(Volume)'!$A$7:$O$445,9)</f>
        <v>0</v>
      </c>
      <c r="J224" s="103">
        <f>VLOOKUP($A224,'OI(Volume)'!$A$7:$O$445,11)</f>
        <v>0</v>
      </c>
      <c r="K224" s="103">
        <f>VLOOKUP($A224,'OI(Volume)'!$A$7:$O$445,12)</f>
        <v>0</v>
      </c>
      <c r="L224" s="103">
        <f>VLOOKUP($A224,'OI(Value)'!$A$7:$O$329,8,0)</f>
        <v>989</v>
      </c>
      <c r="M224" s="103">
        <f>VLOOKUP($A224,'OI(Value)'!$A$7:$O$329,9,0)</f>
        <v>346</v>
      </c>
      <c r="N224" s="103">
        <f>VLOOKUP($A224,'OI(Value)'!$A$7:$O$329,11,0)</f>
        <v>625</v>
      </c>
      <c r="O224" s="103">
        <f>VLOOKUP($A224,'OI(Value)'!$A$7:$O$329,12,0)</f>
        <v>73</v>
      </c>
    </row>
    <row r="225" spans="1:15" x14ac:dyDescent="0.25">
      <c r="A225" s="105" t="str">
        <f>'Data Vlaue (Cr)'!C220</f>
        <v>ZYDUSLIFE</v>
      </c>
      <c r="B225" s="143">
        <f>VLOOKUP($A225,'Data shares'!$C:$FA,118)</f>
        <v>0.77</v>
      </c>
      <c r="C225" s="143">
        <f>VLOOKUP($A225,'Data shares'!$C:$FA,119)</f>
        <v>0.78</v>
      </c>
      <c r="D225" s="143">
        <f>VLOOKUP($A225,'Data shares'!$C:$FA,121)*100</f>
        <v>-1.28</v>
      </c>
      <c r="E225" s="143">
        <f>VLOOKUP($A225,'Data shares'!$C:$FA,124)</f>
        <v>0.36</v>
      </c>
      <c r="F225" s="143">
        <f>VLOOKUP($A225,'Data shares'!$C:$FA,125)</f>
        <v>0.3</v>
      </c>
      <c r="G225" s="143">
        <f>VLOOKUP($A225,'Data shares'!$C:$FA,127)*100</f>
        <v>20</v>
      </c>
      <c r="H225" s="103">
        <f>VLOOKUP($A225,'OI(Volume)'!$A$7:$O$445,8)</f>
        <v>0</v>
      </c>
      <c r="I225" s="103">
        <f>VLOOKUP($A225,'OI(Volume)'!$A$7:$O$445,9)</f>
        <v>0</v>
      </c>
      <c r="J225" s="103">
        <f>VLOOKUP($A225,'OI(Volume)'!$A$7:$O$445,11)</f>
        <v>0</v>
      </c>
      <c r="K225" s="103">
        <f>VLOOKUP($A225,'OI(Volume)'!$A$7:$O$445,12)</f>
        <v>0</v>
      </c>
      <c r="L225" s="103">
        <f>VLOOKUP($A225,'OI(Value)'!$A$7:$O$329,8,0)</f>
        <v>279</v>
      </c>
      <c r="M225" s="103">
        <f>VLOOKUP($A225,'OI(Value)'!$A$7:$O$329,9,0)</f>
        <v>-12</v>
      </c>
      <c r="N225" s="103">
        <f>VLOOKUP($A225,'OI(Value)'!$A$7:$O$329,11,0)</f>
        <v>214</v>
      </c>
      <c r="O225" s="103">
        <f>VLOOKUP($A225,'OI(Value)'!$A$7:$O$329,12,0)</f>
        <v>-15</v>
      </c>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4971325080</v>
      </c>
      <c r="I241" s="135">
        <f t="shared" si="0"/>
        <v>181185463</v>
      </c>
      <c r="J241" s="135">
        <f t="shared" si="0"/>
        <v>3555239815</v>
      </c>
      <c r="K241" s="135">
        <f t="shared" si="0"/>
        <v>187543259</v>
      </c>
      <c r="L241" s="135">
        <f t="shared" si="0"/>
        <v>903687</v>
      </c>
      <c r="M241" s="135">
        <f t="shared" si="0"/>
        <v>62595</v>
      </c>
      <c r="N241" s="135">
        <f t="shared" si="0"/>
        <v>901740</v>
      </c>
      <c r="O241" s="135">
        <f>SUM(O7:O240)</f>
        <v>133450</v>
      </c>
    </row>
    <row r="242" spans="1:15" x14ac:dyDescent="0.25">
      <c r="A242" s="126" t="s">
        <v>415</v>
      </c>
      <c r="B242" s="136"/>
      <c r="C242" s="136"/>
      <c r="D242" s="136"/>
      <c r="E242" s="136"/>
      <c r="F242" s="136"/>
      <c r="G242" s="136"/>
      <c r="H242" s="137">
        <f>H241/10000000</f>
        <v>497.13250799999997</v>
      </c>
      <c r="I242" s="137">
        <f>I241/10000000</f>
        <v>18.118546299999998</v>
      </c>
      <c r="J242" s="137">
        <f>J241/10000000</f>
        <v>355.52398149999999</v>
      </c>
      <c r="K242" s="137">
        <f>K241/10000000</f>
        <v>18.754325900000001</v>
      </c>
      <c r="L242" s="138">
        <f>L241</f>
        <v>903687</v>
      </c>
      <c r="M242" s="138">
        <f>M241</f>
        <v>62595</v>
      </c>
      <c r="N242" s="138">
        <f>N241</f>
        <v>901740</v>
      </c>
      <c r="O242" s="138">
        <f>O241</f>
        <v>133450</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2026-02-05T03:35:01Z</cp:lastPrinted>
  <dcterms:created xsi:type="dcterms:W3CDTF">2020-04-05T11:10:02Z</dcterms:created>
  <dcterms:modified xsi:type="dcterms:W3CDTF">2026-04-20T03:29:28Z</dcterms:modified>
</cp:coreProperties>
</file>